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drawings/drawing3.xml" ContentType="application/vnd.openxmlformats-officedocument.drawingml.chartshapes+xml"/>
  <Override PartName="/xl/charts/chart4.xml" ContentType="application/vnd.openxmlformats-officedocument.drawingml.chart+xml"/>
  <Override PartName="/xl/charts/style3.xml" ContentType="application/vnd.ms-office.chartstyle+xml"/>
  <Override PartName="/xl/charts/colors3.xml" ContentType="application/vnd.ms-office.chartcolorstyle+xml"/>
  <Override PartName="/xl/charts/chart5.xml" ContentType="application/vnd.openxmlformats-officedocument.drawingml.chart+xml"/>
  <Override PartName="/xl/charts/style4.xml" ContentType="application/vnd.ms-office.chartstyle+xml"/>
  <Override PartName="/xl/charts/colors4.xml" ContentType="application/vnd.ms-office.chartcolorstyle+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cepos.sharepoint.com/sites/Analyser/Delte dokumenter/Analyser - Jonas H/063 A systematic literature review - How well did lockdowns work/JOURNAL Submission/"/>
    </mc:Choice>
  </mc:AlternateContent>
  <xr:revisionPtr revIDLastSave="4173" documentId="8_{1BE19A7A-9520-423E-8974-F530C09C1FB6}" xr6:coauthVersionLast="47" xr6:coauthVersionMax="47" xr10:uidLastSave="{EA8F0CFB-77D1-4A99-951A-5688F683BD6B}"/>
  <bookViews>
    <workbookView xWindow="-120" yWindow="-120" windowWidth="29040" windowHeight="15840" xr2:uid="{00000000-000D-0000-FFFF-FFFF00000000}"/>
  </bookViews>
  <sheets>
    <sheet name="Standardizing estimates" sheetId="5" r:id="rId1"/>
    <sheet name="Selective reporting" sheetId="7" r:id="rId2"/>
    <sheet name="Input"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75" i="7" l="1"/>
  <c r="Q374" i="7"/>
  <c r="Q373" i="7"/>
  <c r="Q372" i="7"/>
  <c r="Q371" i="7"/>
  <c r="Q370" i="7"/>
  <c r="Q369" i="7"/>
  <c r="Q368" i="7"/>
  <c r="P376" i="7"/>
  <c r="P453" i="7"/>
  <c r="Q452" i="7"/>
  <c r="Q451" i="7"/>
  <c r="Q450" i="7"/>
  <c r="Q449" i="7"/>
  <c r="Q448" i="7"/>
  <c r="Q447" i="7"/>
  <c r="Q446" i="7"/>
  <c r="Q445" i="7"/>
  <c r="Q444" i="7"/>
  <c r="Q443" i="7"/>
  <c r="Q457" i="7" a="1"/>
  <c r="Q457" i="7" s="1"/>
  <c r="P452" i="7"/>
  <c r="P450" i="7"/>
  <c r="P451" i="7"/>
  <c r="P449" i="7"/>
  <c r="P448" i="7"/>
  <c r="P447" i="7"/>
  <c r="P446" i="7"/>
  <c r="P445" i="7"/>
  <c r="P444" i="7"/>
  <c r="P443" i="7"/>
  <c r="H370" i="5"/>
  <c r="H369" i="5"/>
  <c r="H368" i="5"/>
  <c r="H367" i="5"/>
  <c r="H366" i="5"/>
  <c r="H365" i="5"/>
  <c r="H364" i="5"/>
  <c r="H371" i="5" s="1" a="1"/>
  <c r="H371" i="5" s="1"/>
  <c r="H363" i="5"/>
  <c r="G356" i="5"/>
  <c r="F356" i="5"/>
  <c r="G355" i="5"/>
  <c r="F355" i="5"/>
  <c r="G354" i="5"/>
  <c r="F354" i="5"/>
  <c r="G353" i="5"/>
  <c r="F353" i="5"/>
  <c r="G352" i="5"/>
  <c r="F352" i="5"/>
  <c r="G351" i="5"/>
  <c r="F351" i="5"/>
  <c r="G350" i="5"/>
  <c r="F350" i="5"/>
  <c r="G349" i="5"/>
  <c r="F349" i="5"/>
  <c r="G348" i="5"/>
  <c r="F348" i="5"/>
  <c r="G371" i="5" a="1"/>
  <c r="G371" i="5" s="1"/>
  <c r="E370" i="5"/>
  <c r="E369" i="5"/>
  <c r="E368" i="5"/>
  <c r="E367" i="5"/>
  <c r="E366" i="5"/>
  <c r="E365" i="5"/>
  <c r="E364" i="5"/>
  <c r="E363" i="5"/>
  <c r="E362" i="5"/>
  <c r="R462" i="7" l="1"/>
  <c r="R463" i="7" s="1"/>
  <c r="Q462" i="7"/>
  <c r="Q463" i="7" s="1"/>
  <c r="H362" i="5"/>
  <c r="G370" i="5"/>
  <c r="G369" i="5"/>
  <c r="G368" i="5"/>
  <c r="G367" i="5"/>
  <c r="G366" i="5"/>
  <c r="G365" i="5"/>
  <c r="G364" i="5"/>
  <c r="G363" i="5"/>
  <c r="G362" i="5"/>
  <c r="H343" i="5"/>
  <c r="H342" i="5"/>
  <c r="H341" i="5"/>
  <c r="H340" i="5"/>
  <c r="H339" i="5"/>
  <c r="H338" i="5"/>
  <c r="H337" i="5"/>
  <c r="H336" i="5"/>
  <c r="H335" i="5"/>
  <c r="J444" i="7"/>
  <c r="J445" i="7" s="1"/>
  <c r="J446" i="7" s="1"/>
  <c r="J447" i="7" s="1"/>
  <c r="J448" i="7" s="1"/>
  <c r="J449" i="7" s="1"/>
  <c r="J450" i="7" s="1"/>
  <c r="J451" i="7" s="1"/>
  <c r="J452" i="7" s="1"/>
  <c r="J453" i="7" s="1"/>
  <c r="J454" i="7" s="1"/>
  <c r="J455" i="7" s="1"/>
  <c r="J456" i="7" s="1"/>
  <c r="J457" i="7" s="1"/>
  <c r="J458" i="7" s="1"/>
  <c r="J459" i="7" s="1"/>
  <c r="J460" i="7" s="1"/>
  <c r="J461" i="7" s="1"/>
  <c r="J462" i="7" s="1"/>
  <c r="J463" i="7" s="1"/>
  <c r="J464" i="7" s="1"/>
  <c r="J465" i="7" s="1"/>
  <c r="J466" i="7" s="1"/>
  <c r="J467" i="7" s="1"/>
  <c r="J468" i="7" s="1"/>
  <c r="J469" i="7" s="1"/>
  <c r="J470" i="7" s="1"/>
  <c r="J471" i="7" s="1"/>
  <c r="J472" i="7" s="1"/>
  <c r="J473" i="7" s="1"/>
  <c r="J474" i="7" s="1"/>
  <c r="J475" i="7" s="1"/>
  <c r="J476" i="7" s="1"/>
  <c r="J477" i="7" s="1"/>
  <c r="J478" i="7" s="1"/>
  <c r="J479" i="7" s="1"/>
  <c r="J480" i="7" s="1"/>
  <c r="J481" i="7" s="1"/>
  <c r="J482" i="7" s="1"/>
  <c r="J483" i="7" s="1"/>
  <c r="J484" i="7" s="1"/>
  <c r="J485" i="7" s="1"/>
  <c r="J486" i="7" s="1"/>
  <c r="J487" i="7" s="1"/>
  <c r="J488" i="7" s="1"/>
  <c r="J489" i="7" s="1"/>
  <c r="J490" i="7" s="1"/>
  <c r="J491" i="7" s="1"/>
  <c r="J492" i="7" s="1"/>
  <c r="J493" i="7" s="1"/>
  <c r="J369" i="7"/>
  <c r="J370" i="7" s="1"/>
  <c r="J371" i="7" s="1"/>
  <c r="J372" i="7" s="1"/>
  <c r="J373" i="7" s="1"/>
  <c r="J374" i="7" s="1"/>
  <c r="J375" i="7" s="1"/>
  <c r="J376" i="7" s="1"/>
  <c r="J377" i="7" s="1"/>
  <c r="J378" i="7" s="1"/>
  <c r="J379" i="7" s="1"/>
  <c r="J380" i="7" s="1"/>
  <c r="J381" i="7" s="1"/>
  <c r="J382" i="7" s="1"/>
  <c r="J383" i="7" s="1"/>
  <c r="J384" i="7" s="1"/>
  <c r="J385" i="7" s="1"/>
  <c r="J386" i="7" s="1"/>
  <c r="J387" i="7" s="1"/>
  <c r="J388" i="7" s="1"/>
  <c r="J389" i="7" s="1"/>
  <c r="J390" i="7" s="1"/>
  <c r="J391" i="7" s="1"/>
  <c r="J392" i="7" s="1"/>
  <c r="J393" i="7" s="1"/>
  <c r="J394" i="7" s="1"/>
  <c r="J395" i="7" s="1"/>
  <c r="J396" i="7" s="1"/>
  <c r="J397" i="7" s="1"/>
  <c r="J398" i="7" s="1"/>
  <c r="J399" i="7" s="1"/>
  <c r="J400" i="7" s="1"/>
  <c r="J401" i="7" s="1"/>
  <c r="J402" i="7" s="1"/>
  <c r="J403" i="7" s="1"/>
  <c r="J404" i="7" s="1"/>
  <c r="J405" i="7" s="1"/>
  <c r="J406" i="7" s="1"/>
  <c r="J407" i="7" s="1"/>
  <c r="J408" i="7" s="1"/>
  <c r="J409" i="7" s="1"/>
  <c r="J410" i="7" s="1"/>
  <c r="J411" i="7" s="1"/>
  <c r="J412" i="7" s="1"/>
  <c r="J413" i="7" s="1"/>
  <c r="J414" i="7" s="1"/>
  <c r="J415" i="7" s="1"/>
  <c r="J416" i="7" s="1"/>
  <c r="J417" i="7" s="1"/>
  <c r="J418" i="7" s="1"/>
  <c r="G31" i="7" l="1"/>
  <c r="F31" i="7"/>
  <c r="G30" i="7"/>
  <c r="F30" i="7"/>
  <c r="G29" i="7"/>
  <c r="F29" i="7"/>
  <c r="D132" i="5"/>
  <c r="D131" i="5"/>
  <c r="D130" i="5"/>
  <c r="K1408" i="5"/>
  <c r="J1408" i="5"/>
  <c r="K1411" i="5"/>
  <c r="J1411" i="5"/>
  <c r="J1407" i="5"/>
  <c r="F1402" i="5"/>
  <c r="E132" i="5" s="1"/>
  <c r="F1401" i="5"/>
  <c r="E131" i="5" s="1"/>
  <c r="F1400" i="5"/>
  <c r="E130" i="5" s="1"/>
  <c r="F69" i="7"/>
  <c r="F68" i="7"/>
  <c r="F67" i="7"/>
  <c r="F66" i="7"/>
  <c r="F65" i="7"/>
  <c r="F63" i="7"/>
  <c r="F62" i="7"/>
  <c r="F56" i="7"/>
  <c r="F52" i="7"/>
  <c r="F51" i="7"/>
  <c r="F50" i="7"/>
  <c r="F48" i="7"/>
  <c r="F47" i="7"/>
  <c r="F46" i="7"/>
  <c r="F45" i="7"/>
  <c r="F44" i="7"/>
  <c r="F43" i="7"/>
  <c r="F42" i="7"/>
  <c r="F41" i="7"/>
  <c r="F40" i="7"/>
  <c r="F39" i="7"/>
  <c r="F35" i="7"/>
  <c r="F34" i="7"/>
  <c r="F33" i="7"/>
  <c r="F27" i="7"/>
  <c r="F26" i="7"/>
  <c r="F23" i="7"/>
  <c r="F22" i="7"/>
  <c r="F20" i="7"/>
  <c r="F19" i="7"/>
  <c r="F18" i="7"/>
  <c r="F17" i="7"/>
  <c r="F16" i="7"/>
  <c r="F14" i="7"/>
  <c r="F13" i="7"/>
  <c r="F12" i="7"/>
  <c r="F10" i="7"/>
  <c r="F9" i="7"/>
  <c r="F8" i="7"/>
  <c r="G14" i="7"/>
  <c r="G13" i="7"/>
  <c r="G12" i="7"/>
  <c r="E113" i="5"/>
  <c r="D113" i="5"/>
  <c r="E114" i="5"/>
  <c r="D114" i="5"/>
  <c r="E115" i="5"/>
  <c r="D115" i="5"/>
  <c r="E112" i="5"/>
  <c r="D112" i="5"/>
  <c r="C573" i="5"/>
  <c r="C572" i="5"/>
  <c r="C571" i="5"/>
  <c r="C570" i="5"/>
  <c r="E571" i="5"/>
  <c r="H113" i="5" s="1"/>
  <c r="D571" i="5"/>
  <c r="G113" i="5" s="1"/>
  <c r="E572" i="5"/>
  <c r="H114" i="5" s="1"/>
  <c r="D572" i="5"/>
  <c r="G114" i="5" s="1"/>
  <c r="D76" i="5" s="1"/>
  <c r="E573" i="5"/>
  <c r="H115" i="5" s="1"/>
  <c r="D573" i="5"/>
  <c r="G115" i="5" s="1"/>
  <c r="E570" i="5"/>
  <c r="H112" i="5" s="1"/>
  <c r="D570" i="5"/>
  <c r="G112" i="5" s="1"/>
  <c r="D75" i="5" l="1"/>
  <c r="D77" i="5"/>
  <c r="E77" i="5" s="1"/>
  <c r="E76" i="5"/>
  <c r="D89" i="7"/>
  <c r="D192" i="7" s="1"/>
  <c r="D13" i="7" s="1"/>
  <c r="E75" i="5"/>
  <c r="D88" i="7"/>
  <c r="D191" i="7" s="1"/>
  <c r="D12" i="7" s="1"/>
  <c r="G69" i="7"/>
  <c r="C69" i="7"/>
  <c r="G68" i="7"/>
  <c r="C68" i="7"/>
  <c r="G67" i="7"/>
  <c r="C67" i="7"/>
  <c r="G66" i="7"/>
  <c r="C66" i="7"/>
  <c r="G65" i="7"/>
  <c r="C65" i="7"/>
  <c r="C64" i="7"/>
  <c r="G63" i="7"/>
  <c r="C63" i="7"/>
  <c r="G62" i="7"/>
  <c r="C62" i="7"/>
  <c r="C61" i="7"/>
  <c r="C60" i="7"/>
  <c r="C58" i="7"/>
  <c r="C57" i="7"/>
  <c r="G56" i="7"/>
  <c r="C56" i="7"/>
  <c r="C55" i="7"/>
  <c r="C54" i="7"/>
  <c r="C238" i="7"/>
  <c r="C59" i="7" s="1"/>
  <c r="M238" i="7"/>
  <c r="M248" i="7"/>
  <c r="M247" i="7"/>
  <c r="M246" i="7"/>
  <c r="M245" i="7"/>
  <c r="M244" i="7"/>
  <c r="M243" i="7"/>
  <c r="M242" i="7"/>
  <c r="M241" i="7"/>
  <c r="M240" i="7"/>
  <c r="M239" i="7"/>
  <c r="M237" i="7"/>
  <c r="M236" i="7"/>
  <c r="M235" i="7"/>
  <c r="M234" i="7"/>
  <c r="M233" i="7"/>
  <c r="G52" i="7"/>
  <c r="C52" i="7"/>
  <c r="G51" i="7"/>
  <c r="C51" i="7"/>
  <c r="G50" i="7"/>
  <c r="C50" i="7"/>
  <c r="C49" i="7"/>
  <c r="G48" i="7"/>
  <c r="C48" i="7"/>
  <c r="G47" i="7"/>
  <c r="C47" i="7"/>
  <c r="G46" i="7"/>
  <c r="C46" i="7"/>
  <c r="G45" i="7"/>
  <c r="C45" i="7"/>
  <c r="G44" i="7"/>
  <c r="C44" i="7"/>
  <c r="G43" i="7"/>
  <c r="C43" i="7"/>
  <c r="G42" i="7"/>
  <c r="C42" i="7"/>
  <c r="G41" i="7"/>
  <c r="C41" i="7"/>
  <c r="G40" i="7"/>
  <c r="C40" i="7"/>
  <c r="G39" i="7"/>
  <c r="C39" i="7"/>
  <c r="C38" i="7"/>
  <c r="C37" i="7"/>
  <c r="C36" i="7"/>
  <c r="G35" i="7"/>
  <c r="C35" i="7"/>
  <c r="G34" i="7"/>
  <c r="C34" i="7"/>
  <c r="G33" i="7"/>
  <c r="C33" i="7"/>
  <c r="C32" i="7"/>
  <c r="C28" i="7"/>
  <c r="G27" i="7"/>
  <c r="C27" i="7"/>
  <c r="G26" i="7"/>
  <c r="C26" i="7"/>
  <c r="C25" i="7"/>
  <c r="C24" i="7"/>
  <c r="G23" i="7"/>
  <c r="C23" i="7"/>
  <c r="G22" i="7"/>
  <c r="C22" i="7"/>
  <c r="C21" i="7"/>
  <c r="G20" i="7"/>
  <c r="C20" i="7"/>
  <c r="G19" i="7"/>
  <c r="C19" i="7"/>
  <c r="G18" i="7"/>
  <c r="C18" i="7"/>
  <c r="G17" i="7"/>
  <c r="C17" i="7"/>
  <c r="G16" i="7"/>
  <c r="C16" i="7"/>
  <c r="C15" i="7"/>
  <c r="C11" i="7"/>
  <c r="G10" i="7"/>
  <c r="C10" i="7"/>
  <c r="G9" i="7"/>
  <c r="C9" i="7"/>
  <c r="G8" i="7"/>
  <c r="C8" i="7"/>
  <c r="F144" i="7"/>
  <c r="H243" i="7" s="1"/>
  <c r="F141" i="7"/>
  <c r="H240" i="7" s="1"/>
  <c r="F129" i="7"/>
  <c r="H228" i="7" s="1"/>
  <c r="F118" i="7"/>
  <c r="H217" i="7" s="1"/>
  <c r="M186" i="7"/>
  <c r="C186" i="7"/>
  <c r="C7" i="7" s="1"/>
  <c r="K369" i="7"/>
  <c r="K444" i="7"/>
  <c r="F101" i="7"/>
  <c r="H204" i="7" s="1"/>
  <c r="D90" i="7" l="1"/>
  <c r="D193" i="7" s="1"/>
  <c r="D14" i="7" s="1"/>
  <c r="F77" i="5"/>
  <c r="F90" i="7" s="1"/>
  <c r="H193" i="7" s="1"/>
  <c r="E90" i="7"/>
  <c r="F193" i="7" s="1"/>
  <c r="E14" i="7" s="1"/>
  <c r="F75" i="5"/>
  <c r="F88" i="7" s="1"/>
  <c r="H191" i="7" s="1"/>
  <c r="E88" i="7"/>
  <c r="F191" i="7" s="1"/>
  <c r="E12" i="7" s="1"/>
  <c r="F76" i="5"/>
  <c r="F89" i="7" s="1"/>
  <c r="H192" i="7" s="1"/>
  <c r="E89" i="7"/>
  <c r="F192" i="7" s="1"/>
  <c r="E13" i="7" s="1"/>
  <c r="K370" i="7" l="1"/>
  <c r="K445" i="7"/>
  <c r="K371" i="7" l="1"/>
  <c r="K446" i="7"/>
  <c r="K372" i="7" l="1"/>
  <c r="K447" i="7"/>
  <c r="K373" i="7" l="1"/>
  <c r="K448" i="7"/>
  <c r="K374" i="7" l="1"/>
  <c r="K449" i="7"/>
  <c r="K375" i="7" l="1"/>
  <c r="K450" i="7"/>
  <c r="K376" i="7" l="1"/>
  <c r="K451" i="7"/>
  <c r="K377" i="7" l="1"/>
  <c r="K452" i="7"/>
  <c r="K378" i="7" l="1"/>
  <c r="K453" i="7"/>
  <c r="K379" i="7" l="1"/>
  <c r="K454" i="7"/>
  <c r="K380" i="7" l="1"/>
  <c r="K455" i="7"/>
  <c r="K381" i="7" l="1"/>
  <c r="K456" i="7"/>
  <c r="K382" i="7" l="1"/>
  <c r="K457" i="7"/>
  <c r="K383" i="7" l="1"/>
  <c r="K458" i="7"/>
  <c r="K384" i="7" l="1"/>
  <c r="K459" i="7"/>
  <c r="K385" i="7" l="1"/>
  <c r="K460" i="7"/>
  <c r="K386" i="7" l="1"/>
  <c r="K461" i="7"/>
  <c r="K387" i="7" l="1"/>
  <c r="K462" i="7"/>
  <c r="K388" i="7" l="1"/>
  <c r="K463" i="7"/>
  <c r="K389" i="7" l="1"/>
  <c r="K464" i="7"/>
  <c r="K390" i="7" l="1"/>
  <c r="K465" i="7"/>
  <c r="K391" i="7" l="1"/>
  <c r="K466" i="7"/>
  <c r="K392" i="7" l="1"/>
  <c r="K467" i="7"/>
  <c r="K393" i="7" l="1"/>
  <c r="K468" i="7"/>
  <c r="K394" i="7" l="1"/>
  <c r="K469" i="7"/>
  <c r="K395" i="7" l="1"/>
  <c r="K470" i="7"/>
  <c r="K396" i="7" l="1"/>
  <c r="K471" i="7"/>
  <c r="K397" i="7" l="1"/>
  <c r="K472" i="7"/>
  <c r="K398" i="7" l="1"/>
  <c r="K473" i="7"/>
  <c r="K399" i="7" l="1"/>
  <c r="K474" i="7"/>
  <c r="K400" i="7" l="1"/>
  <c r="K475" i="7"/>
  <c r="K401" i="7" l="1"/>
  <c r="K476" i="7"/>
  <c r="K402" i="7" l="1"/>
  <c r="K477" i="7"/>
  <c r="K403" i="7" l="1"/>
  <c r="K478" i="7"/>
  <c r="K404" i="7" l="1"/>
  <c r="K479" i="7"/>
  <c r="K405" i="7" l="1"/>
  <c r="K480" i="7"/>
  <c r="K406" i="7" l="1"/>
  <c r="K481" i="7"/>
  <c r="K407" i="7" l="1"/>
  <c r="K482" i="7"/>
  <c r="K408" i="7" l="1"/>
  <c r="K483" i="7"/>
  <c r="K409" i="7" l="1"/>
  <c r="K484" i="7"/>
  <c r="K410" i="7" l="1"/>
  <c r="K485" i="7"/>
  <c r="K411" i="7" l="1"/>
  <c r="K486" i="7"/>
  <c r="K412" i="7" l="1"/>
  <c r="K487" i="7"/>
  <c r="K413" i="7" l="1"/>
  <c r="K488" i="7"/>
  <c r="K414" i="7" l="1"/>
  <c r="K489" i="7"/>
  <c r="K415" i="7" l="1"/>
  <c r="K490" i="7"/>
  <c r="K416" i="7" l="1"/>
  <c r="K491" i="7"/>
  <c r="K417" i="7" l="1"/>
  <c r="K492" i="7"/>
  <c r="K418" i="7" l="1"/>
  <c r="K493" i="7"/>
  <c r="N430" i="7" l="1"/>
  <c r="M428" i="7"/>
  <c r="M505" i="7"/>
  <c r="N507" i="7"/>
  <c r="E127" i="5" l="1"/>
  <c r="D127" i="5"/>
  <c r="G297" i="7" l="1"/>
  <c r="D297" i="7"/>
  <c r="D319" i="7" s="1"/>
  <c r="G296" i="7"/>
  <c r="D296" i="7"/>
  <c r="D318" i="7" s="1"/>
  <c r="G295" i="7"/>
  <c r="D295" i="7"/>
  <c r="D317" i="7" s="1"/>
  <c r="G294" i="7"/>
  <c r="D294" i="7"/>
  <c r="D316" i="7" s="1"/>
  <c r="G293" i="7"/>
  <c r="D293" i="7"/>
  <c r="D315" i="7" s="1"/>
  <c r="G292" i="7"/>
  <c r="D292" i="7"/>
  <c r="D314" i="7" s="1"/>
  <c r="G291" i="7"/>
  <c r="D291" i="7"/>
  <c r="D313" i="7" s="1"/>
  <c r="G290" i="7"/>
  <c r="D290" i="7"/>
  <c r="D312" i="7" s="1"/>
  <c r="G289" i="7"/>
  <c r="D289" i="7"/>
  <c r="D311" i="7" s="1"/>
  <c r="G288" i="7"/>
  <c r="D288" i="7"/>
  <c r="D310" i="7" s="1"/>
  <c r="G287" i="7"/>
  <c r="D287" i="7"/>
  <c r="D309" i="7" s="1"/>
  <c r="G286" i="7"/>
  <c r="D286" i="7"/>
  <c r="D308" i="7" s="1"/>
  <c r="G285" i="7"/>
  <c r="D285" i="7"/>
  <c r="D307" i="7" s="1"/>
  <c r="G284" i="7"/>
  <c r="D284" i="7"/>
  <c r="D306" i="7" s="1"/>
  <c r="G283" i="7"/>
  <c r="D283" i="7"/>
  <c r="D305" i="7" s="1"/>
  <c r="G282" i="7"/>
  <c r="D282" i="7"/>
  <c r="D304" i="7" s="1"/>
  <c r="G281" i="7"/>
  <c r="D281" i="7"/>
  <c r="D303" i="7" s="1"/>
  <c r="G280" i="7"/>
  <c r="D280" i="7"/>
  <c r="D302" i="7" s="1"/>
  <c r="C1" i="7"/>
  <c r="C122" i="5" l="1"/>
  <c r="F314" i="5"/>
  <c r="C326" i="5"/>
  <c r="C325" i="5"/>
  <c r="C324" i="5"/>
  <c r="C323" i="5"/>
  <c r="C322" i="5"/>
  <c r="C320" i="5"/>
  <c r="C319" i="5"/>
  <c r="C310" i="5"/>
  <c r="C306" i="5"/>
  <c r="C305" i="5"/>
  <c r="C304" i="5"/>
  <c r="C302" i="5"/>
  <c r="C301" i="5"/>
  <c r="C300" i="5"/>
  <c r="C299" i="5"/>
  <c r="C298" i="5"/>
  <c r="C297" i="5"/>
  <c r="C296" i="5"/>
  <c r="C295" i="5"/>
  <c r="C294" i="5"/>
  <c r="C293" i="5"/>
  <c r="E302" i="5"/>
  <c r="E301" i="5"/>
  <c r="E300" i="5"/>
  <c r="E299" i="5"/>
  <c r="E298" i="5"/>
  <c r="E297" i="5"/>
  <c r="E296" i="5"/>
  <c r="E295" i="5"/>
  <c r="E294" i="5"/>
  <c r="E293" i="5"/>
  <c r="D302" i="5"/>
  <c r="D301" i="5"/>
  <c r="D300" i="5"/>
  <c r="D299" i="5"/>
  <c r="D298" i="5"/>
  <c r="D297" i="5"/>
  <c r="D296" i="5"/>
  <c r="D295" i="5"/>
  <c r="D294" i="5"/>
  <c r="D293" i="5"/>
  <c r="H942" i="5"/>
  <c r="G942" i="5"/>
  <c r="E942" i="5"/>
  <c r="D942" i="5"/>
  <c r="H941" i="5"/>
  <c r="G941" i="5"/>
  <c r="E941" i="5"/>
  <c r="D941" i="5"/>
  <c r="H940" i="5"/>
  <c r="G940" i="5"/>
  <c r="E940" i="5"/>
  <c r="D940" i="5"/>
  <c r="H939" i="5"/>
  <c r="G939" i="5"/>
  <c r="E939" i="5"/>
  <c r="D939" i="5"/>
  <c r="H938" i="5"/>
  <c r="G938" i="5"/>
  <c r="E938" i="5"/>
  <c r="D938" i="5"/>
  <c r="E261" i="5"/>
  <c r="E260" i="5"/>
  <c r="E259" i="5"/>
  <c r="E258" i="5"/>
  <c r="E257" i="5"/>
  <c r="E256" i="5"/>
  <c r="E255" i="5"/>
  <c r="E254" i="5"/>
  <c r="E253" i="5"/>
  <c r="E252" i="5"/>
  <c r="E119" i="7" s="1"/>
  <c r="F218" i="7" s="1"/>
  <c r="E39" i="7" s="1"/>
  <c r="D261" i="5"/>
  <c r="D128" i="7" s="1"/>
  <c r="D227" i="7" s="1"/>
  <c r="D48" i="7" s="1"/>
  <c r="D260" i="5"/>
  <c r="D127" i="7" s="1"/>
  <c r="D226" i="7" s="1"/>
  <c r="D47" i="7" s="1"/>
  <c r="D259" i="5"/>
  <c r="D126" i="7" s="1"/>
  <c r="D225" i="7" s="1"/>
  <c r="D46" i="7" s="1"/>
  <c r="D258" i="5"/>
  <c r="D125" i="7" s="1"/>
  <c r="D224" i="7" s="1"/>
  <c r="D45" i="7" s="1"/>
  <c r="D257" i="5"/>
  <c r="D124" i="7" s="1"/>
  <c r="D223" i="7" s="1"/>
  <c r="D44" i="7" s="1"/>
  <c r="D256" i="5"/>
  <c r="D123" i="7" s="1"/>
  <c r="D222" i="7" s="1"/>
  <c r="D43" i="7" s="1"/>
  <c r="D255" i="5"/>
  <c r="D122" i="7" s="1"/>
  <c r="D221" i="7" s="1"/>
  <c r="D42" i="7" s="1"/>
  <c r="D254" i="5"/>
  <c r="D121" i="7" s="1"/>
  <c r="D220" i="7" s="1"/>
  <c r="D41" i="7" s="1"/>
  <c r="D253" i="5"/>
  <c r="D120" i="7" s="1"/>
  <c r="D219" i="7" s="1"/>
  <c r="D40" i="7" s="1"/>
  <c r="D252" i="5"/>
  <c r="D119" i="7" s="1"/>
  <c r="D218" i="7" s="1"/>
  <c r="D39" i="7" s="1"/>
  <c r="L983" i="5"/>
  <c r="L982" i="5"/>
  <c r="K983" i="5"/>
  <c r="F983" i="5"/>
  <c r="G983" i="5"/>
  <c r="G982" i="5"/>
  <c r="F982" i="5"/>
  <c r="AP943" i="5"/>
  <c r="AQ943" i="5"/>
  <c r="AR943" i="5"/>
  <c r="AS943" i="5"/>
  <c r="AT943" i="5"/>
  <c r="AU943" i="5"/>
  <c r="AP944" i="5"/>
  <c r="AQ944" i="5"/>
  <c r="AS944" i="5"/>
  <c r="AT944" i="5"/>
  <c r="AP945" i="5"/>
  <c r="AQ945" i="5"/>
  <c r="AS945" i="5"/>
  <c r="AT945" i="5"/>
  <c r="BV1006" i="5"/>
  <c r="BT1006" i="5"/>
  <c r="BP1006" i="5"/>
  <c r="BN1006" i="5"/>
  <c r="BK1006" i="5"/>
  <c r="BI1006" i="5"/>
  <c r="BD1006" i="5"/>
  <c r="AZ1006" i="5"/>
  <c r="AX1006" i="5"/>
  <c r="AW1006" i="5"/>
  <c r="AS1006" i="5"/>
  <c r="AR1006" i="5"/>
  <c r="BU1006" i="5"/>
  <c r="BO1006" i="5"/>
  <c r="BE1006" i="5"/>
  <c r="BA1006" i="5"/>
  <c r="BV1005" i="5"/>
  <c r="BT1005" i="5"/>
  <c r="BP1005" i="5"/>
  <c r="BN1005" i="5"/>
  <c r="BK1005" i="5"/>
  <c r="BI1005" i="5"/>
  <c r="BD1005" i="5"/>
  <c r="AZ1005" i="5"/>
  <c r="AX1005" i="5"/>
  <c r="AW1005" i="5"/>
  <c r="AS1005" i="5"/>
  <c r="AR1005" i="5"/>
  <c r="BU1005" i="5"/>
  <c r="BE1005" i="5"/>
  <c r="BL1005" i="5"/>
  <c r="BA1005" i="5"/>
  <c r="BV1004" i="5"/>
  <c r="BT1004" i="5"/>
  <c r="BP1004" i="5"/>
  <c r="BN1004" i="5"/>
  <c r="BK1004" i="5"/>
  <c r="BI1004" i="5"/>
  <c r="BD1004" i="5"/>
  <c r="AZ1004" i="5"/>
  <c r="AX1004" i="5"/>
  <c r="AW1004" i="5"/>
  <c r="AS1004" i="5"/>
  <c r="AR1004" i="5"/>
  <c r="BO1004" i="5"/>
  <c r="BB1004" i="5"/>
  <c r="BA1004" i="5"/>
  <c r="BV1003" i="5"/>
  <c r="BT1003" i="5"/>
  <c r="BP1003" i="5"/>
  <c r="BN1003" i="5"/>
  <c r="BK1003" i="5"/>
  <c r="BI1003" i="5"/>
  <c r="BF1003" i="5"/>
  <c r="BD1003" i="5"/>
  <c r="AZ1003" i="5"/>
  <c r="AX1003" i="5"/>
  <c r="AW1003" i="5"/>
  <c r="AS1003" i="5"/>
  <c r="AR1003" i="5"/>
  <c r="BU1003" i="5"/>
  <c r="BO1003" i="5"/>
  <c r="BE1003" i="5"/>
  <c r="BA1003" i="5"/>
  <c r="BV1002" i="5"/>
  <c r="BT1002" i="5"/>
  <c r="BP1002" i="5"/>
  <c r="BN1002" i="5"/>
  <c r="BK1002" i="5"/>
  <c r="BI1002" i="5"/>
  <c r="BD1002" i="5"/>
  <c r="AZ1002" i="5"/>
  <c r="AX1002" i="5"/>
  <c r="AW1002" i="5"/>
  <c r="AS1002" i="5"/>
  <c r="AR1002" i="5"/>
  <c r="BX1002" i="5"/>
  <c r="BU1002" i="5"/>
  <c r="AY1002" i="5"/>
  <c r="BE1002" i="5"/>
  <c r="BA1002" i="5"/>
  <c r="BB992" i="5"/>
  <c r="AZ992" i="5"/>
  <c r="AX992" i="5"/>
  <c r="AW992" i="5"/>
  <c r="AS992" i="5"/>
  <c r="AR992" i="5"/>
  <c r="AY964" i="5"/>
  <c r="BB991" i="5"/>
  <c r="AZ991" i="5"/>
  <c r="AX991" i="5"/>
  <c r="AW991" i="5"/>
  <c r="AS991" i="5"/>
  <c r="AR991" i="5"/>
  <c r="AT991" i="5"/>
  <c r="BB990" i="5"/>
  <c r="AZ990" i="5"/>
  <c r="AX990" i="5"/>
  <c r="AW990" i="5"/>
  <c r="AS990" i="5"/>
  <c r="AR990" i="5"/>
  <c r="AW964" i="5"/>
  <c r="BC990" i="5"/>
  <c r="BB989" i="5"/>
  <c r="AZ989" i="5"/>
  <c r="AX989" i="5"/>
  <c r="AW989" i="5"/>
  <c r="AS989" i="5"/>
  <c r="AR989" i="5"/>
  <c r="P983" i="5"/>
  <c r="AV964" i="5" s="1"/>
  <c r="N983" i="5"/>
  <c r="BB988" i="5"/>
  <c r="AZ988" i="5"/>
  <c r="AX988" i="5"/>
  <c r="AW988" i="5"/>
  <c r="AS988" i="5"/>
  <c r="AR988" i="5"/>
  <c r="P982" i="5"/>
  <c r="AU964" i="5" s="1"/>
  <c r="N982" i="5"/>
  <c r="K982" i="5"/>
  <c r="BB987" i="5"/>
  <c r="AZ987" i="5"/>
  <c r="AX987" i="5"/>
  <c r="AW987" i="5"/>
  <c r="AS987" i="5"/>
  <c r="AR987" i="5"/>
  <c r="P981" i="5"/>
  <c r="H958" i="5" s="1"/>
  <c r="N981" i="5"/>
  <c r="L981" i="5"/>
  <c r="K981" i="5"/>
  <c r="G981" i="5"/>
  <c r="F981" i="5"/>
  <c r="BB986" i="5"/>
  <c r="AZ986" i="5"/>
  <c r="AX986" i="5"/>
  <c r="AW986" i="5"/>
  <c r="AS986" i="5"/>
  <c r="AR986" i="5"/>
  <c r="P980" i="5"/>
  <c r="G958" i="5" s="1"/>
  <c r="N980" i="5"/>
  <c r="L980" i="5"/>
  <c r="K980" i="5"/>
  <c r="G980" i="5"/>
  <c r="F980" i="5"/>
  <c r="BB985" i="5"/>
  <c r="AZ985" i="5"/>
  <c r="AX985" i="5"/>
  <c r="AW985" i="5"/>
  <c r="AS985" i="5"/>
  <c r="AR985" i="5"/>
  <c r="P979" i="5"/>
  <c r="AR964" i="5" s="1"/>
  <c r="N979" i="5"/>
  <c r="L979" i="5"/>
  <c r="K979" i="5"/>
  <c r="G979" i="5"/>
  <c r="F979" i="5"/>
  <c r="AR979" i="5"/>
  <c r="F973" i="5"/>
  <c r="AR978" i="5"/>
  <c r="F972" i="5"/>
  <c r="AQ959" i="5"/>
  <c r="AP959" i="5"/>
  <c r="AQ958" i="5"/>
  <c r="AP958" i="5"/>
  <c r="AQ957" i="5"/>
  <c r="AP957" i="5"/>
  <c r="AQ956" i="5"/>
  <c r="AP956" i="5"/>
  <c r="AQ955" i="5"/>
  <c r="AP955" i="5"/>
  <c r="AQ954" i="5"/>
  <c r="AP954" i="5"/>
  <c r="AQ953" i="5"/>
  <c r="AP953" i="5"/>
  <c r="AQ952" i="5"/>
  <c r="AP952" i="5"/>
  <c r="AQ950" i="5"/>
  <c r="E947" i="5"/>
  <c r="AR949" i="5"/>
  <c r="F946" i="5"/>
  <c r="AT942" i="5"/>
  <c r="AS942" i="5"/>
  <c r="AQ942" i="5"/>
  <c r="AP942" i="5"/>
  <c r="AT941" i="5"/>
  <c r="AS941" i="5"/>
  <c r="AQ941" i="5"/>
  <c r="AP941" i="5"/>
  <c r="AT940" i="5"/>
  <c r="AS940" i="5"/>
  <c r="AQ940" i="5"/>
  <c r="AP940" i="5"/>
  <c r="AT939" i="5"/>
  <c r="AS939" i="5"/>
  <c r="AQ939" i="5"/>
  <c r="AP939" i="5"/>
  <c r="AT938" i="5"/>
  <c r="AS938" i="5"/>
  <c r="AQ938" i="5"/>
  <c r="AP938" i="5"/>
  <c r="AP967" i="5"/>
  <c r="F792" i="5"/>
  <c r="AR980" i="5" s="1"/>
  <c r="E761" i="5"/>
  <c r="H750" i="5"/>
  <c r="G750" i="5"/>
  <c r="E750" i="5"/>
  <c r="D750" i="5"/>
  <c r="H749" i="5"/>
  <c r="G749" i="5"/>
  <c r="E749" i="5"/>
  <c r="D749" i="5"/>
  <c r="H748" i="5"/>
  <c r="G748" i="5"/>
  <c r="E748" i="5"/>
  <c r="D748" i="5"/>
  <c r="H747" i="5"/>
  <c r="G747" i="5"/>
  <c r="E747" i="5"/>
  <c r="D747" i="5"/>
  <c r="H746" i="5"/>
  <c r="G746" i="5"/>
  <c r="E746" i="5"/>
  <c r="D746" i="5"/>
  <c r="H745" i="5"/>
  <c r="G745" i="5"/>
  <c r="E745" i="5"/>
  <c r="D745" i="5"/>
  <c r="H744" i="5"/>
  <c r="G744" i="5"/>
  <c r="E744" i="5"/>
  <c r="D744" i="5"/>
  <c r="H743" i="5"/>
  <c r="G743" i="5"/>
  <c r="E743" i="5"/>
  <c r="D743" i="5"/>
  <c r="P913" i="5"/>
  <c r="F776" i="5" s="1"/>
  <c r="N913" i="5"/>
  <c r="P920" i="5"/>
  <c r="M776" i="5" s="1"/>
  <c r="N920" i="5"/>
  <c r="P919" i="5"/>
  <c r="L776" i="5" s="1"/>
  <c r="N919" i="5"/>
  <c r="P918" i="5"/>
  <c r="K776" i="5" s="1"/>
  <c r="N918" i="5"/>
  <c r="P917" i="5"/>
  <c r="J776" i="5" s="1"/>
  <c r="N917" i="5"/>
  <c r="P916" i="5"/>
  <c r="I776" i="5" s="1"/>
  <c r="N916" i="5"/>
  <c r="P915" i="5"/>
  <c r="H776" i="5" s="1"/>
  <c r="N915" i="5"/>
  <c r="P914" i="5"/>
  <c r="G776" i="5" s="1"/>
  <c r="N914" i="5"/>
  <c r="C267" i="5"/>
  <c r="I1254" i="5"/>
  <c r="H1254" i="5"/>
  <c r="H1240" i="5"/>
  <c r="I1255" i="5"/>
  <c r="I1241" i="5"/>
  <c r="H1241" i="5"/>
  <c r="H1255" i="5"/>
  <c r="C1322" i="5"/>
  <c r="C1321" i="5"/>
  <c r="C1320" i="5"/>
  <c r="C1319" i="5"/>
  <c r="C1318" i="5"/>
  <c r="C1317" i="5"/>
  <c r="G1306" i="5"/>
  <c r="D1306" i="5"/>
  <c r="C1291" i="5"/>
  <c r="C1290" i="5"/>
  <c r="C1289" i="5"/>
  <c r="C1288" i="5"/>
  <c r="C1287" i="5"/>
  <c r="C1286" i="5"/>
  <c r="G1275" i="5"/>
  <c r="D1275" i="5"/>
  <c r="I1270" i="5"/>
  <c r="I1269" i="5"/>
  <c r="I1268" i="5"/>
  <c r="I1267" i="5"/>
  <c r="I1266" i="5"/>
  <c r="I1265" i="5"/>
  <c r="D1260" i="5"/>
  <c r="I1253" i="5"/>
  <c r="H1253" i="5"/>
  <c r="I1252" i="5"/>
  <c r="E310" i="5" s="1"/>
  <c r="H1252" i="5"/>
  <c r="D310" i="5" s="1"/>
  <c r="I1251" i="5"/>
  <c r="H1251" i="5"/>
  <c r="I1250" i="5"/>
  <c r="H1250" i="5"/>
  <c r="R1050" i="5"/>
  <c r="P1050" i="5"/>
  <c r="O1050" i="5"/>
  <c r="R1049" i="5"/>
  <c r="P1049" i="5"/>
  <c r="O1049" i="5"/>
  <c r="R1048" i="5"/>
  <c r="P1048" i="5"/>
  <c r="O1048" i="5"/>
  <c r="R1047" i="5"/>
  <c r="P1047" i="5"/>
  <c r="O1047" i="5"/>
  <c r="R1046" i="5"/>
  <c r="P1046" i="5"/>
  <c r="O1046" i="5"/>
  <c r="R1045" i="5"/>
  <c r="P1045" i="5"/>
  <c r="O1045" i="5"/>
  <c r="R1044" i="5"/>
  <c r="P1044" i="5"/>
  <c r="O1044" i="5"/>
  <c r="R1043" i="5"/>
  <c r="P1043" i="5"/>
  <c r="O1043" i="5"/>
  <c r="R1042" i="5"/>
  <c r="P1042" i="5"/>
  <c r="O1042" i="5"/>
  <c r="R1041" i="5"/>
  <c r="P1041" i="5"/>
  <c r="O1041" i="5"/>
  <c r="R1040" i="5"/>
  <c r="P1040" i="5"/>
  <c r="O1040" i="5"/>
  <c r="R1039" i="5"/>
  <c r="P1039" i="5"/>
  <c r="O1039" i="5"/>
  <c r="R1038" i="5"/>
  <c r="P1038" i="5"/>
  <c r="O1038" i="5"/>
  <c r="R1037" i="5"/>
  <c r="P1037" i="5"/>
  <c r="O1037" i="5"/>
  <c r="R1036" i="5"/>
  <c r="P1036" i="5"/>
  <c r="O1036" i="5"/>
  <c r="R1035" i="5"/>
  <c r="P1035" i="5"/>
  <c r="O1035" i="5"/>
  <c r="R1034" i="5"/>
  <c r="P1034" i="5"/>
  <c r="O1034" i="5"/>
  <c r="R1033" i="5"/>
  <c r="P1033" i="5"/>
  <c r="O1033" i="5"/>
  <c r="R1032" i="5"/>
  <c r="P1032" i="5"/>
  <c r="O1032" i="5"/>
  <c r="R1031" i="5"/>
  <c r="P1031" i="5"/>
  <c r="O1031" i="5"/>
  <c r="R1030" i="5"/>
  <c r="P1030" i="5"/>
  <c r="O1030" i="5"/>
  <c r="E1078" i="5"/>
  <c r="E306" i="5"/>
  <c r="E305" i="5"/>
  <c r="E304" i="5"/>
  <c r="D306" i="5"/>
  <c r="D305" i="5"/>
  <c r="D304" i="5"/>
  <c r="E326" i="5"/>
  <c r="E325" i="5"/>
  <c r="E324" i="5"/>
  <c r="E323" i="5"/>
  <c r="E322" i="5"/>
  <c r="D326" i="5"/>
  <c r="D284" i="5" s="1"/>
  <c r="D149" i="7" s="1"/>
  <c r="D248" i="7" s="1"/>
  <c r="D69" i="7" s="1"/>
  <c r="D325" i="5"/>
  <c r="D283" i="5" s="1"/>
  <c r="D148" i="7" s="1"/>
  <c r="D247" i="7" s="1"/>
  <c r="D68" i="7" s="1"/>
  <c r="D324" i="5"/>
  <c r="D282" i="5" s="1"/>
  <c r="D147" i="7" s="1"/>
  <c r="D246" i="7" s="1"/>
  <c r="D67" i="7" s="1"/>
  <c r="D323" i="5"/>
  <c r="D281" i="5" s="1"/>
  <c r="D146" i="7" s="1"/>
  <c r="D245" i="7" s="1"/>
  <c r="D66" i="7" s="1"/>
  <c r="D322" i="5"/>
  <c r="D280" i="5" s="1"/>
  <c r="D145" i="7" s="1"/>
  <c r="D244" i="7" s="1"/>
  <c r="D65" i="7" s="1"/>
  <c r="E314" i="5"/>
  <c r="E313" i="5"/>
  <c r="D314" i="5"/>
  <c r="D313" i="5"/>
  <c r="H1022" i="5"/>
  <c r="G1022" i="5"/>
  <c r="F1022" i="5"/>
  <c r="C262" i="5"/>
  <c r="C303" i="5" s="1"/>
  <c r="D196" i="5"/>
  <c r="C250" i="5"/>
  <c r="C268" i="5"/>
  <c r="E266" i="5"/>
  <c r="D266" i="5"/>
  <c r="D133" i="7" s="1"/>
  <c r="D232" i="7" s="1"/>
  <c r="C266" i="5"/>
  <c r="C133" i="7" s="1"/>
  <c r="C232" i="7" s="1"/>
  <c r="C53" i="7" s="1"/>
  <c r="C251" i="5"/>
  <c r="C178" i="5"/>
  <c r="C201" i="5" s="1"/>
  <c r="C177" i="5"/>
  <c r="C200" i="5" s="1"/>
  <c r="E176" i="5"/>
  <c r="D176" i="5"/>
  <c r="C176" i="5"/>
  <c r="C199" i="5" s="1"/>
  <c r="C175" i="5"/>
  <c r="C198" i="5" s="1"/>
  <c r="C174" i="5"/>
  <c r="C197" i="5" s="1"/>
  <c r="C173" i="5"/>
  <c r="C196" i="5" s="1"/>
  <c r="E199" i="5"/>
  <c r="D200" i="5"/>
  <c r="D291" i="5"/>
  <c r="C726" i="5"/>
  <c r="E136" i="5"/>
  <c r="D136" i="5"/>
  <c r="E135" i="5"/>
  <c r="D135" i="5"/>
  <c r="E134" i="5"/>
  <c r="D134" i="5"/>
  <c r="E1438" i="5"/>
  <c r="D1438" i="5"/>
  <c r="E1437" i="5"/>
  <c r="D1437" i="5"/>
  <c r="E1436" i="5"/>
  <c r="D1436" i="5"/>
  <c r="E1435" i="5"/>
  <c r="H136" i="5" s="1"/>
  <c r="D1435" i="5"/>
  <c r="G136" i="5" s="1"/>
  <c r="E1434" i="5"/>
  <c r="H135" i="5" s="1"/>
  <c r="D1434" i="5"/>
  <c r="G135" i="5" s="1"/>
  <c r="E1433" i="5"/>
  <c r="H134" i="5" s="1"/>
  <c r="D1433" i="5"/>
  <c r="G134" i="5" s="1"/>
  <c r="E1432" i="5"/>
  <c r="D1432" i="5"/>
  <c r="C1438" i="5"/>
  <c r="C1437" i="5"/>
  <c r="C1436" i="5"/>
  <c r="C1435" i="5"/>
  <c r="C1434" i="5"/>
  <c r="C1433" i="5"/>
  <c r="B279" i="5"/>
  <c r="B276" i="5"/>
  <c r="B275" i="5"/>
  <c r="B274" i="5"/>
  <c r="B273" i="5"/>
  <c r="B272" i="5"/>
  <c r="B268" i="5"/>
  <c r="B267" i="5"/>
  <c r="B266" i="5"/>
  <c r="B262" i="5"/>
  <c r="B251" i="5"/>
  <c r="B250" i="5"/>
  <c r="B186" i="5"/>
  <c r="B209" i="5" s="1"/>
  <c r="B185" i="5"/>
  <c r="B208" i="5" s="1"/>
  <c r="B184" i="5"/>
  <c r="B317" i="5" s="1"/>
  <c r="B183" i="5"/>
  <c r="B206" i="5" s="1"/>
  <c r="B182" i="5"/>
  <c r="B205" i="5" s="1"/>
  <c r="B181" i="5"/>
  <c r="B312" i="5" s="1"/>
  <c r="B178" i="5"/>
  <c r="B201" i="5" s="1"/>
  <c r="B177" i="5"/>
  <c r="B200" i="5" s="1"/>
  <c r="B176" i="5"/>
  <c r="B199" i="5" s="1"/>
  <c r="B175" i="5"/>
  <c r="B303" i="5" s="1"/>
  <c r="B174" i="5"/>
  <c r="B197" i="5" s="1"/>
  <c r="B173" i="5"/>
  <c r="B196" i="5" s="1"/>
  <c r="C279" i="5"/>
  <c r="C276" i="5"/>
  <c r="C275" i="5"/>
  <c r="C274" i="5"/>
  <c r="C273" i="5"/>
  <c r="C272" i="5"/>
  <c r="C186" i="5"/>
  <c r="C321" i="5" s="1"/>
  <c r="C185" i="5"/>
  <c r="C208" i="5" s="1"/>
  <c r="C184" i="5"/>
  <c r="C207" i="5" s="1"/>
  <c r="C183" i="5"/>
  <c r="C316" i="5" s="1"/>
  <c r="C182" i="5"/>
  <c r="C205" i="5" s="1"/>
  <c r="C181" i="5"/>
  <c r="C204" i="5" s="1"/>
  <c r="D275" i="5"/>
  <c r="D140" i="7" s="1"/>
  <c r="D239" i="7" s="1"/>
  <c r="D60" i="7" s="1"/>
  <c r="D273" i="5"/>
  <c r="D138" i="7" s="1"/>
  <c r="D237" i="7" s="1"/>
  <c r="D58" i="7" s="1"/>
  <c r="D184" i="5"/>
  <c r="D450" i="7" s="1"/>
  <c r="D182" i="5"/>
  <c r="D449" i="7" s="1"/>
  <c r="D317" i="5"/>
  <c r="E316" i="5"/>
  <c r="D315" i="5"/>
  <c r="D308" i="5"/>
  <c r="E307" i="5"/>
  <c r="D207" i="5"/>
  <c r="E206" i="5"/>
  <c r="D205" i="5"/>
  <c r="E183" i="5"/>
  <c r="E274" i="5"/>
  <c r="E121" i="5"/>
  <c r="D121" i="5"/>
  <c r="E120" i="5"/>
  <c r="D120" i="5"/>
  <c r="E119" i="5"/>
  <c r="D119" i="5"/>
  <c r="E128" i="5"/>
  <c r="D128" i="5"/>
  <c r="D1152" i="5"/>
  <c r="D1151" i="5"/>
  <c r="D1104" i="5" s="1"/>
  <c r="E1104" i="5" s="1"/>
  <c r="F1104" i="5" s="1"/>
  <c r="D1144" i="5"/>
  <c r="D1143" i="5"/>
  <c r="D1102" i="5" s="1"/>
  <c r="E1102" i="5" s="1"/>
  <c r="F1102" i="5" s="1"/>
  <c r="E118" i="5"/>
  <c r="D118" i="5"/>
  <c r="E117" i="5"/>
  <c r="D117" i="5"/>
  <c r="E116" i="5"/>
  <c r="D116" i="5"/>
  <c r="E111" i="5"/>
  <c r="D111" i="5"/>
  <c r="E110" i="5"/>
  <c r="D110" i="5"/>
  <c r="E109" i="5"/>
  <c r="D109" i="5"/>
  <c r="E133" i="5"/>
  <c r="D133" i="5"/>
  <c r="C133" i="5"/>
  <c r="C95" i="5" s="1"/>
  <c r="B133" i="5"/>
  <c r="D129" i="5"/>
  <c r="C129" i="5"/>
  <c r="C91" i="5" s="1"/>
  <c r="B129" i="5"/>
  <c r="C126" i="5"/>
  <c r="C88" i="5" s="1"/>
  <c r="B126" i="5"/>
  <c r="D125" i="5"/>
  <c r="C125" i="5"/>
  <c r="C87" i="5" s="1"/>
  <c r="B125" i="5"/>
  <c r="C84" i="5"/>
  <c r="B122" i="5"/>
  <c r="C116" i="5"/>
  <c r="C78" i="5" s="1"/>
  <c r="B116" i="5"/>
  <c r="C112" i="5"/>
  <c r="C74" i="5" s="1"/>
  <c r="B112" i="5"/>
  <c r="E108" i="5"/>
  <c r="D108" i="5"/>
  <c r="C108" i="5"/>
  <c r="C70" i="5" s="1"/>
  <c r="B108" i="5"/>
  <c r="E32" i="5"/>
  <c r="D32" i="5"/>
  <c r="C32" i="5"/>
  <c r="B32" i="5"/>
  <c r="D31" i="5"/>
  <c r="C31" i="5"/>
  <c r="B31" i="5"/>
  <c r="C30" i="5"/>
  <c r="B30" i="5"/>
  <c r="D29" i="5"/>
  <c r="C29" i="5"/>
  <c r="B29" i="5"/>
  <c r="C28" i="5"/>
  <c r="B28" i="5"/>
  <c r="E27" i="5"/>
  <c r="D27" i="5"/>
  <c r="C27" i="5"/>
  <c r="B27" i="5"/>
  <c r="D26" i="5"/>
  <c r="C26" i="5"/>
  <c r="B26" i="5"/>
  <c r="E25" i="5"/>
  <c r="D25" i="5"/>
  <c r="C25" i="5"/>
  <c r="B25" i="5"/>
  <c r="S500" i="5"/>
  <c r="R500" i="5"/>
  <c r="Q500" i="5"/>
  <c r="P500" i="5"/>
  <c r="O500" i="5"/>
  <c r="N500" i="5"/>
  <c r="M500" i="5"/>
  <c r="L500" i="5"/>
  <c r="AA206" i="5"/>
  <c r="Z206" i="5"/>
  <c r="Y206" i="5"/>
  <c r="X206" i="5"/>
  <c r="W206" i="5"/>
  <c r="V206" i="5"/>
  <c r="U206" i="5"/>
  <c r="T206" i="5"/>
  <c r="AA199" i="5"/>
  <c r="Z199" i="5"/>
  <c r="Y199" i="5"/>
  <c r="X199" i="5"/>
  <c r="W199" i="5"/>
  <c r="V199" i="5"/>
  <c r="U199" i="5"/>
  <c r="T199" i="5"/>
  <c r="B804" i="5"/>
  <c r="B805" i="5" s="1"/>
  <c r="B806" i="5" s="1"/>
  <c r="B807" i="5" s="1"/>
  <c r="B808" i="5" s="1"/>
  <c r="B809" i="5" s="1"/>
  <c r="B810" i="5" s="1"/>
  <c r="B811" i="5" s="1"/>
  <c r="B812" i="5" s="1"/>
  <c r="B813" i="5" s="1"/>
  <c r="B814" i="5" s="1"/>
  <c r="B815" i="5" s="1"/>
  <c r="B816" i="5" s="1"/>
  <c r="B817" i="5" s="1"/>
  <c r="B818" i="5" s="1"/>
  <c r="B819" i="5" s="1"/>
  <c r="B820" i="5" s="1"/>
  <c r="B821" i="5" s="1"/>
  <c r="B822" i="5" s="1"/>
  <c r="B823" i="5" s="1"/>
  <c r="B824" i="5" s="1"/>
  <c r="B825" i="5" s="1"/>
  <c r="B826" i="5" s="1"/>
  <c r="B827" i="5" s="1"/>
  <c r="B828" i="5" s="1"/>
  <c r="B829" i="5" s="1"/>
  <c r="B830" i="5" s="1"/>
  <c r="B831" i="5" s="1"/>
  <c r="B832" i="5" s="1"/>
  <c r="B833" i="5" s="1"/>
  <c r="B834" i="5" s="1"/>
  <c r="B835" i="5" s="1"/>
  <c r="B836" i="5" s="1"/>
  <c r="B837" i="5" s="1"/>
  <c r="B838" i="5" s="1"/>
  <c r="B839" i="5" s="1"/>
  <c r="B840" i="5" s="1"/>
  <c r="B841" i="5" s="1"/>
  <c r="B842" i="5" s="1"/>
  <c r="B843" i="5" s="1"/>
  <c r="B844" i="5" s="1"/>
  <c r="B845" i="5" s="1"/>
  <c r="D846" i="5"/>
  <c r="D779" i="5" s="1"/>
  <c r="D961" i="5" s="1"/>
  <c r="F853" i="5"/>
  <c r="G853" i="5"/>
  <c r="H853" i="5"/>
  <c r="I853" i="5"/>
  <c r="J853" i="5"/>
  <c r="K853" i="5"/>
  <c r="L853" i="5"/>
  <c r="M853" i="5"/>
  <c r="B855" i="5"/>
  <c r="B856" i="5" s="1"/>
  <c r="B857" i="5" s="1"/>
  <c r="B858" i="5" s="1"/>
  <c r="B859" i="5" s="1"/>
  <c r="B860" i="5" s="1"/>
  <c r="B861" i="5" s="1"/>
  <c r="B862" i="5" s="1"/>
  <c r="B863" i="5" s="1"/>
  <c r="B864" i="5" s="1"/>
  <c r="B865" i="5" s="1"/>
  <c r="B866" i="5" s="1"/>
  <c r="B867" i="5" s="1"/>
  <c r="B868" i="5" s="1"/>
  <c r="B869" i="5" s="1"/>
  <c r="B870" i="5" s="1"/>
  <c r="B871" i="5" s="1"/>
  <c r="B872" i="5" s="1"/>
  <c r="B873" i="5" s="1"/>
  <c r="B874" i="5" s="1"/>
  <c r="B875" i="5" s="1"/>
  <c r="B876" i="5" s="1"/>
  <c r="B877" i="5" s="1"/>
  <c r="B878" i="5" s="1"/>
  <c r="B879" i="5" s="1"/>
  <c r="B880" i="5" s="1"/>
  <c r="B881" i="5" s="1"/>
  <c r="B882" i="5" s="1"/>
  <c r="B883" i="5" s="1"/>
  <c r="B884" i="5" s="1"/>
  <c r="B885" i="5" s="1"/>
  <c r="B886" i="5" s="1"/>
  <c r="B887" i="5" s="1"/>
  <c r="B888" i="5" s="1"/>
  <c r="B889" i="5" s="1"/>
  <c r="B890" i="5" s="1"/>
  <c r="B891" i="5" s="1"/>
  <c r="B892" i="5" s="1"/>
  <c r="B893" i="5" s="1"/>
  <c r="B894" i="5" s="1"/>
  <c r="B895" i="5" s="1"/>
  <c r="B896" i="5" s="1"/>
  <c r="B897" i="5" s="1"/>
  <c r="B898" i="5" s="1"/>
  <c r="B899" i="5" s="1"/>
  <c r="B900" i="5" s="1"/>
  <c r="B901" i="5" s="1"/>
  <c r="B902" i="5" s="1"/>
  <c r="B903" i="5" s="1"/>
  <c r="B904" i="5" s="1"/>
  <c r="D905" i="5"/>
  <c r="AP968" i="5" s="1"/>
  <c r="F913" i="5"/>
  <c r="G913" i="5"/>
  <c r="K913" i="5"/>
  <c r="L913" i="5"/>
  <c r="F914" i="5"/>
  <c r="G914" i="5"/>
  <c r="K914" i="5"/>
  <c r="L914" i="5"/>
  <c r="F915" i="5"/>
  <c r="G915" i="5"/>
  <c r="K915" i="5"/>
  <c r="L915" i="5"/>
  <c r="F916" i="5"/>
  <c r="G916" i="5"/>
  <c r="K916" i="5"/>
  <c r="L916" i="5"/>
  <c r="F917" i="5"/>
  <c r="G917" i="5"/>
  <c r="K917" i="5"/>
  <c r="L917" i="5"/>
  <c r="F918" i="5"/>
  <c r="G918" i="5"/>
  <c r="K918" i="5"/>
  <c r="L918" i="5"/>
  <c r="F919" i="5"/>
  <c r="G919" i="5"/>
  <c r="K919" i="5"/>
  <c r="L919" i="5"/>
  <c r="F920" i="5"/>
  <c r="G920" i="5"/>
  <c r="K920" i="5"/>
  <c r="L920" i="5"/>
  <c r="E923" i="5"/>
  <c r="L694" i="5"/>
  <c r="K693" i="5"/>
  <c r="K692" i="5"/>
  <c r="K691" i="5"/>
  <c r="K690" i="5"/>
  <c r="K689" i="5"/>
  <c r="K688" i="5"/>
  <c r="L687" i="5"/>
  <c r="K686" i="5"/>
  <c r="K685" i="5"/>
  <c r="L684" i="5"/>
  <c r="K683" i="5"/>
  <c r="K682" i="5"/>
  <c r="K681" i="5"/>
  <c r="K680" i="5"/>
  <c r="K679" i="5"/>
  <c r="K678" i="5"/>
  <c r="L677" i="5"/>
  <c r="K676" i="5"/>
  <c r="K675" i="5"/>
  <c r="L674" i="5"/>
  <c r="K673" i="5"/>
  <c r="K672" i="5"/>
  <c r="K671" i="5"/>
  <c r="K670" i="5"/>
  <c r="K669" i="5"/>
  <c r="K668" i="5"/>
  <c r="K667" i="5"/>
  <c r="K666" i="5"/>
  <c r="K665" i="5"/>
  <c r="L664" i="5"/>
  <c r="K663" i="5"/>
  <c r="K662" i="5"/>
  <c r="K661" i="5"/>
  <c r="K660" i="5"/>
  <c r="K659" i="5"/>
  <c r="L658" i="5"/>
  <c r="K657" i="5"/>
  <c r="K656" i="5"/>
  <c r="K655" i="5"/>
  <c r="K654" i="5"/>
  <c r="K653" i="5"/>
  <c r="K652" i="5"/>
  <c r="K651" i="5"/>
  <c r="L650" i="5"/>
  <c r="K649" i="5"/>
  <c r="K648" i="5"/>
  <c r="L647" i="5"/>
  <c r="K646" i="5"/>
  <c r="K645" i="5"/>
  <c r="K644" i="5"/>
  <c r="F183" i="5" l="1"/>
  <c r="L183" i="5"/>
  <c r="F176" i="5"/>
  <c r="L176" i="5"/>
  <c r="I500" i="7"/>
  <c r="I501" i="7"/>
  <c r="F940" i="5"/>
  <c r="F938" i="5"/>
  <c r="I232" i="7"/>
  <c r="F53" i="7" s="1"/>
  <c r="D53" i="7"/>
  <c r="I237" i="7"/>
  <c r="F58" i="7" s="1"/>
  <c r="I239" i="7"/>
  <c r="F60" i="7" s="1"/>
  <c r="I942" i="5"/>
  <c r="F254" i="5"/>
  <c r="F121" i="7" s="1"/>
  <c r="H220" i="7" s="1"/>
  <c r="E121" i="7"/>
  <c r="F220" i="7" s="1"/>
  <c r="E41" i="7" s="1"/>
  <c r="F942" i="5"/>
  <c r="F255" i="5"/>
  <c r="F122" i="7" s="1"/>
  <c r="H221" i="7" s="1"/>
  <c r="E122" i="7"/>
  <c r="F221" i="7" s="1"/>
  <c r="E42" i="7" s="1"/>
  <c r="F256" i="5"/>
  <c r="F123" i="7" s="1"/>
  <c r="H222" i="7" s="1"/>
  <c r="E123" i="7"/>
  <c r="F222" i="7" s="1"/>
  <c r="E43" i="7" s="1"/>
  <c r="F257" i="5"/>
  <c r="F124" i="7" s="1"/>
  <c r="H223" i="7" s="1"/>
  <c r="E124" i="7"/>
  <c r="F223" i="7" s="1"/>
  <c r="E44" i="7" s="1"/>
  <c r="F258" i="5"/>
  <c r="F125" i="7" s="1"/>
  <c r="H224" i="7" s="1"/>
  <c r="E125" i="7"/>
  <c r="F224" i="7" s="1"/>
  <c r="E45" i="7" s="1"/>
  <c r="F274" i="5"/>
  <c r="F139" i="7" s="1"/>
  <c r="H238" i="7" s="1"/>
  <c r="E139" i="7"/>
  <c r="F238" i="7" s="1"/>
  <c r="E59" i="7" s="1"/>
  <c r="F266" i="5"/>
  <c r="F133" i="7" s="1"/>
  <c r="H232" i="7" s="1"/>
  <c r="E133" i="7"/>
  <c r="F232" i="7" s="1"/>
  <c r="E53" i="7" s="1"/>
  <c r="F259" i="5"/>
  <c r="F126" i="7" s="1"/>
  <c r="H225" i="7" s="1"/>
  <c r="E126" i="7"/>
  <c r="F225" i="7" s="1"/>
  <c r="E46" i="7" s="1"/>
  <c r="F260" i="5"/>
  <c r="F127" i="7" s="1"/>
  <c r="H226" i="7" s="1"/>
  <c r="E127" i="7"/>
  <c r="F226" i="7" s="1"/>
  <c r="E47" i="7" s="1"/>
  <c r="F261" i="5"/>
  <c r="F128" i="7" s="1"/>
  <c r="H227" i="7" s="1"/>
  <c r="E128" i="7"/>
  <c r="F227" i="7" s="1"/>
  <c r="E48" i="7" s="1"/>
  <c r="F252" i="5"/>
  <c r="F119" i="7" s="1"/>
  <c r="H218" i="7" s="1"/>
  <c r="F253" i="5"/>
  <c r="F120" i="7" s="1"/>
  <c r="H219" i="7" s="1"/>
  <c r="E120" i="7"/>
  <c r="F219" i="7" s="1"/>
  <c r="E40" i="7" s="1"/>
  <c r="D123" i="5"/>
  <c r="I940" i="5"/>
  <c r="D124" i="5"/>
  <c r="I938" i="5"/>
  <c r="F939" i="5"/>
  <c r="F941" i="5"/>
  <c r="I939" i="5"/>
  <c r="I941" i="5"/>
  <c r="F958" i="5"/>
  <c r="AS964" i="5"/>
  <c r="J958" i="5"/>
  <c r="I958" i="5"/>
  <c r="AT964" i="5"/>
  <c r="H981" i="5"/>
  <c r="BC987" i="5" s="1"/>
  <c r="AT989" i="5"/>
  <c r="M979" i="5"/>
  <c r="M980" i="5"/>
  <c r="M982" i="5"/>
  <c r="M983" i="5"/>
  <c r="BC992" i="5"/>
  <c r="BL1002" i="5"/>
  <c r="AX964" i="5"/>
  <c r="BA990" i="5"/>
  <c r="AY991" i="5"/>
  <c r="AY992" i="5"/>
  <c r="AY1005" i="5"/>
  <c r="H980" i="5"/>
  <c r="Q980" i="5" s="1"/>
  <c r="G959" i="5" s="1"/>
  <c r="AT988" i="5"/>
  <c r="AT990" i="5"/>
  <c r="BB1005" i="5"/>
  <c r="AY986" i="5"/>
  <c r="AT987" i="5"/>
  <c r="BG1003" i="5"/>
  <c r="BF1004" i="5"/>
  <c r="D962" i="5"/>
  <c r="AY1003" i="5"/>
  <c r="BG1006" i="5"/>
  <c r="AY1006" i="5"/>
  <c r="H982" i="5"/>
  <c r="AT1005" i="5"/>
  <c r="M981" i="5"/>
  <c r="AY988" i="5"/>
  <c r="H983" i="5"/>
  <c r="Q983" i="5" s="1"/>
  <c r="J959" i="5" s="1"/>
  <c r="AT1002" i="5"/>
  <c r="BB1003" i="5"/>
  <c r="BL1004" i="5"/>
  <c r="AY989" i="5"/>
  <c r="BF1006" i="5"/>
  <c r="F974" i="5"/>
  <c r="BC991" i="5"/>
  <c r="BR1003" i="5"/>
  <c r="BR1006" i="5"/>
  <c r="AT992" i="5"/>
  <c r="AT985" i="5"/>
  <c r="BB1002" i="5"/>
  <c r="BC1004" i="5"/>
  <c r="H979" i="5"/>
  <c r="AY985" i="5"/>
  <c r="AT986" i="5"/>
  <c r="BX1005" i="5"/>
  <c r="BX1004" i="5"/>
  <c r="BG1004" i="5"/>
  <c r="BL1006" i="5"/>
  <c r="BJ1006" i="5"/>
  <c r="AX965" i="5"/>
  <c r="BL1003" i="5"/>
  <c r="BJ1003" i="5"/>
  <c r="BA992" i="5"/>
  <c r="BR1005" i="5"/>
  <c r="BR1002" i="5"/>
  <c r="AT1003" i="5"/>
  <c r="AT1006" i="5"/>
  <c r="BO1002" i="5"/>
  <c r="BE1004" i="5"/>
  <c r="BU1004" i="5"/>
  <c r="BO1005" i="5"/>
  <c r="AT1004" i="5"/>
  <c r="BF1002" i="5"/>
  <c r="BF1005" i="5"/>
  <c r="BB1006" i="5"/>
  <c r="AY987" i="5"/>
  <c r="AY990" i="5"/>
  <c r="AY1004" i="5"/>
  <c r="BJ1005" i="5"/>
  <c r="AB802" i="5"/>
  <c r="AB884" i="5" s="1"/>
  <c r="I748" i="5"/>
  <c r="F748" i="5"/>
  <c r="D780" i="5"/>
  <c r="E1296" i="5"/>
  <c r="Q1043" i="5"/>
  <c r="Q1031" i="5"/>
  <c r="Q1037" i="5"/>
  <c r="Q1049" i="5"/>
  <c r="Q1046" i="5"/>
  <c r="Q1040" i="5"/>
  <c r="Q1034" i="5"/>
  <c r="Q1030" i="5"/>
  <c r="Q1033" i="5"/>
  <c r="Q1036" i="5"/>
  <c r="Q1039" i="5"/>
  <c r="Q1042" i="5"/>
  <c r="Q1045" i="5"/>
  <c r="Q1048" i="5"/>
  <c r="Q1032" i="5"/>
  <c r="Q1035" i="5"/>
  <c r="Q1038" i="5"/>
  <c r="Q1041" i="5"/>
  <c r="Q1044" i="5"/>
  <c r="Q1047" i="5"/>
  <c r="Q1050" i="5"/>
  <c r="E280" i="5"/>
  <c r="E281" i="5"/>
  <c r="E282" i="5"/>
  <c r="E283" i="5"/>
  <c r="E284" i="5"/>
  <c r="C309" i="5"/>
  <c r="B204" i="5"/>
  <c r="D97" i="5"/>
  <c r="B309" i="5"/>
  <c r="D98" i="5"/>
  <c r="D96" i="5"/>
  <c r="B207" i="5"/>
  <c r="B316" i="5"/>
  <c r="C206" i="5"/>
  <c r="C317" i="5"/>
  <c r="B198" i="5"/>
  <c r="C209" i="5"/>
  <c r="B291" i="5"/>
  <c r="B307" i="5"/>
  <c r="C312" i="5"/>
  <c r="C291" i="5"/>
  <c r="C307" i="5"/>
  <c r="B318" i="5"/>
  <c r="B308" i="5"/>
  <c r="B315" i="5"/>
  <c r="C318" i="5"/>
  <c r="B292" i="5"/>
  <c r="C308" i="5"/>
  <c r="C315" i="5"/>
  <c r="C292" i="5"/>
  <c r="B321" i="5"/>
  <c r="D1153" i="5"/>
  <c r="D1105" i="5" s="1"/>
  <c r="E124" i="5" s="1"/>
  <c r="D1145" i="5"/>
  <c r="D1103" i="5" s="1"/>
  <c r="E123" i="5" s="1"/>
  <c r="M917" i="5"/>
  <c r="M915" i="5"/>
  <c r="M913" i="5"/>
  <c r="M918" i="5"/>
  <c r="M916" i="5"/>
  <c r="M914" i="5"/>
  <c r="T500" i="5"/>
  <c r="AB206" i="5"/>
  <c r="U500" i="5"/>
  <c r="AC206" i="5"/>
  <c r="AC199" i="5"/>
  <c r="AB199" i="5"/>
  <c r="H919" i="5"/>
  <c r="L777" i="5" s="1"/>
  <c r="H915" i="5"/>
  <c r="H777" i="5" s="1"/>
  <c r="H920" i="5"/>
  <c r="M777" i="5" s="1"/>
  <c r="AF846" i="5"/>
  <c r="H914" i="5"/>
  <c r="G777" i="5" s="1"/>
  <c r="H916" i="5"/>
  <c r="I777" i="5" s="1"/>
  <c r="M919" i="5"/>
  <c r="H913" i="5"/>
  <c r="F777" i="5" s="1"/>
  <c r="M920" i="5"/>
  <c r="H917" i="5"/>
  <c r="J777" i="5" s="1"/>
  <c r="H918" i="5"/>
  <c r="K777" i="5" s="1"/>
  <c r="AF905" i="5"/>
  <c r="AD853" i="5"/>
  <c r="AD802" i="5"/>
  <c r="AE853" i="5"/>
  <c r="Y853" i="5"/>
  <c r="Y802" i="5"/>
  <c r="X853" i="5"/>
  <c r="X802" i="5"/>
  <c r="Z853" i="5"/>
  <c r="Z802" i="5"/>
  <c r="AA853" i="5"/>
  <c r="AE802" i="5"/>
  <c r="AC853" i="5"/>
  <c r="AC802" i="5"/>
  <c r="AB853" i="5"/>
  <c r="AA802" i="5"/>
  <c r="K237" i="7" l="1"/>
  <c r="G58" i="7" s="1"/>
  <c r="AB868" i="5"/>
  <c r="AB883" i="5"/>
  <c r="AB863" i="5"/>
  <c r="E294" i="7"/>
  <c r="E316" i="7" s="1"/>
  <c r="AB859" i="5"/>
  <c r="AB862" i="5"/>
  <c r="AB889" i="5"/>
  <c r="AB805" i="5"/>
  <c r="AB835" i="5"/>
  <c r="AB830" i="5"/>
  <c r="AB829" i="5"/>
  <c r="AB826" i="5"/>
  <c r="AB888" i="5"/>
  <c r="AB825" i="5"/>
  <c r="AB824" i="5"/>
  <c r="AB904" i="5"/>
  <c r="AB811" i="5"/>
  <c r="AB806" i="5"/>
  <c r="AB886" i="5"/>
  <c r="AB887" i="5"/>
  <c r="K232" i="7"/>
  <c r="G53" i="7" s="1"/>
  <c r="E295" i="7"/>
  <c r="E317" i="7" s="1"/>
  <c r="K239" i="7"/>
  <c r="G60" i="7" s="1"/>
  <c r="F294" i="7"/>
  <c r="F316" i="7" s="1"/>
  <c r="G316" i="7" s="1"/>
  <c r="F283" i="5"/>
  <c r="F148" i="7" s="1"/>
  <c r="H247" i="7" s="1"/>
  <c r="E148" i="7"/>
  <c r="F247" i="7" s="1"/>
  <c r="E68" i="7" s="1"/>
  <c r="F282" i="5"/>
  <c r="F147" i="7" s="1"/>
  <c r="H246" i="7" s="1"/>
  <c r="E147" i="7"/>
  <c r="F246" i="7" s="1"/>
  <c r="E67" i="7" s="1"/>
  <c r="F281" i="5"/>
  <c r="F146" i="7" s="1"/>
  <c r="H245" i="7" s="1"/>
  <c r="E146" i="7"/>
  <c r="F245" i="7" s="1"/>
  <c r="E66" i="7" s="1"/>
  <c r="F280" i="5"/>
  <c r="F145" i="7" s="1"/>
  <c r="H244" i="7" s="1"/>
  <c r="E145" i="7"/>
  <c r="F244" i="7" s="1"/>
  <c r="E65" i="7" s="1"/>
  <c r="E96" i="5"/>
  <c r="F96" i="5" s="1"/>
  <c r="D109" i="7"/>
  <c r="D212" i="7" s="1"/>
  <c r="D33" i="7" s="1"/>
  <c r="F284" i="5"/>
  <c r="F149" i="7" s="1"/>
  <c r="H248" i="7" s="1"/>
  <c r="E149" i="7"/>
  <c r="F248" i="7" s="1"/>
  <c r="E69" i="7" s="1"/>
  <c r="E98" i="5"/>
  <c r="F98" i="5" s="1"/>
  <c r="D111" i="7"/>
  <c r="D214" i="7" s="1"/>
  <c r="D35" i="7" s="1"/>
  <c r="E97" i="5"/>
  <c r="F97" i="5" s="1"/>
  <c r="D110" i="7"/>
  <c r="D213" i="7" s="1"/>
  <c r="D34" i="7" s="1"/>
  <c r="AB881" i="5"/>
  <c r="AB857" i="5"/>
  <c r="AB880" i="5"/>
  <c r="AB856" i="5"/>
  <c r="AB898" i="5"/>
  <c r="AB842" i="5"/>
  <c r="AB818" i="5"/>
  <c r="AB875" i="5"/>
  <c r="AB899" i="5"/>
  <c r="AB895" i="5"/>
  <c r="AB823" i="5"/>
  <c r="AB841" i="5"/>
  <c r="AB817" i="5"/>
  <c r="AB874" i="5"/>
  <c r="AB838" i="5"/>
  <c r="AB814" i="5"/>
  <c r="AB871" i="5"/>
  <c r="AB837" i="5"/>
  <c r="AB813" i="5"/>
  <c r="AB870" i="5"/>
  <c r="AB836" i="5"/>
  <c r="AB812" i="5"/>
  <c r="AB869" i="5"/>
  <c r="AB882" i="5"/>
  <c r="AB858" i="5"/>
  <c r="AB894" i="5"/>
  <c r="AB900" i="5"/>
  <c r="AB901" i="5"/>
  <c r="BA986" i="5"/>
  <c r="BC986" i="5"/>
  <c r="O980" i="5"/>
  <c r="O979" i="5"/>
  <c r="Q981" i="5"/>
  <c r="BA989" i="5"/>
  <c r="O983" i="5"/>
  <c r="O982" i="5"/>
  <c r="O981" i="5"/>
  <c r="AB810" i="5"/>
  <c r="AB890" i="5"/>
  <c r="AB833" i="5"/>
  <c r="AB809" i="5"/>
  <c r="AB866" i="5"/>
  <c r="AB891" i="5"/>
  <c r="BA988" i="5"/>
  <c r="AY965" i="5"/>
  <c r="AB844" i="5"/>
  <c r="AB832" i="5"/>
  <c r="AB820" i="5"/>
  <c r="AB808" i="5"/>
  <c r="AB877" i="5"/>
  <c r="AB865" i="5"/>
  <c r="AB892" i="5"/>
  <c r="AB822" i="5"/>
  <c r="AB867" i="5"/>
  <c r="AB845" i="5"/>
  <c r="AB821" i="5"/>
  <c r="AB878" i="5"/>
  <c r="AB854" i="5"/>
  <c r="AB843" i="5"/>
  <c r="AB831" i="5"/>
  <c r="AB819" i="5"/>
  <c r="AB807" i="5"/>
  <c r="AB876" i="5"/>
  <c r="AB864" i="5"/>
  <c r="AB893" i="5"/>
  <c r="AB828" i="5"/>
  <c r="AB873" i="5"/>
  <c r="AB903" i="5"/>
  <c r="AB840" i="5"/>
  <c r="AB816" i="5"/>
  <c r="AB804" i="5"/>
  <c r="AB861" i="5"/>
  <c r="AB896" i="5"/>
  <c r="BJ1002" i="5"/>
  <c r="AB839" i="5"/>
  <c r="AB827" i="5"/>
  <c r="AB815" i="5"/>
  <c r="AB803" i="5"/>
  <c r="AB872" i="5"/>
  <c r="AB860" i="5"/>
  <c r="AB885" i="5"/>
  <c r="AB897" i="5"/>
  <c r="BJ1004" i="5"/>
  <c r="AB834" i="5"/>
  <c r="AB879" i="5"/>
  <c r="AB855" i="5"/>
  <c r="AB902" i="5"/>
  <c r="BA991" i="5"/>
  <c r="BC989" i="5"/>
  <c r="BA987" i="5"/>
  <c r="BC1005" i="5"/>
  <c r="BA985" i="5"/>
  <c r="BC985" i="5"/>
  <c r="Q979" i="5"/>
  <c r="F959" i="5" s="1"/>
  <c r="BC1002" i="5"/>
  <c r="Q982" i="5"/>
  <c r="I959" i="5" s="1"/>
  <c r="BC988" i="5"/>
  <c r="AW965" i="5"/>
  <c r="AS965" i="5"/>
  <c r="BG1002" i="5"/>
  <c r="BC1006" i="5"/>
  <c r="BX1006" i="5"/>
  <c r="BG1005" i="5"/>
  <c r="AV965" i="5"/>
  <c r="BC1003" i="5"/>
  <c r="BR1004" i="5"/>
  <c r="BX1003" i="5"/>
  <c r="Q916" i="5"/>
  <c r="O916" i="5"/>
  <c r="O914" i="5"/>
  <c r="Q914" i="5"/>
  <c r="Q915" i="5"/>
  <c r="O915" i="5"/>
  <c r="Q920" i="5"/>
  <c r="O920" i="5"/>
  <c r="Q919" i="5"/>
  <c r="O919" i="5"/>
  <c r="Q918" i="5"/>
  <c r="O918" i="5"/>
  <c r="Q917" i="5"/>
  <c r="O917" i="5"/>
  <c r="Q913" i="5"/>
  <c r="O913" i="5"/>
  <c r="G1308" i="5"/>
  <c r="D1308" i="5"/>
  <c r="J1308" i="5"/>
  <c r="E1103" i="5"/>
  <c r="E1105" i="5"/>
  <c r="AE803" i="5"/>
  <c r="AE804" i="5"/>
  <c r="AE805" i="5"/>
  <c r="AE806" i="5"/>
  <c r="AE807" i="5"/>
  <c r="AE808" i="5"/>
  <c r="AE809" i="5"/>
  <c r="AE810" i="5"/>
  <c r="AE811" i="5"/>
  <c r="AE812" i="5"/>
  <c r="AE813" i="5"/>
  <c r="AE814" i="5"/>
  <c r="AE815" i="5"/>
  <c r="AE816" i="5"/>
  <c r="AE817" i="5"/>
  <c r="AE818" i="5"/>
  <c r="AE819" i="5"/>
  <c r="AE820" i="5"/>
  <c r="AE821" i="5"/>
  <c r="AE822" i="5"/>
  <c r="AE823" i="5"/>
  <c r="AE824" i="5"/>
  <c r="AE825" i="5"/>
  <c r="AE826" i="5"/>
  <c r="AE827" i="5"/>
  <c r="AE828" i="5"/>
  <c r="AE829" i="5"/>
  <c r="AE830" i="5"/>
  <c r="AE831" i="5"/>
  <c r="AE832" i="5"/>
  <c r="AE833" i="5"/>
  <c r="AE834" i="5"/>
  <c r="AE835" i="5"/>
  <c r="AE836" i="5"/>
  <c r="AE837" i="5"/>
  <c r="AE838" i="5"/>
  <c r="AE839" i="5"/>
  <c r="AE840" i="5"/>
  <c r="AE841" i="5"/>
  <c r="AE842" i="5"/>
  <c r="AE843" i="5"/>
  <c r="AE844" i="5"/>
  <c r="AE845" i="5"/>
  <c r="AE884" i="5"/>
  <c r="AE885" i="5"/>
  <c r="AE886" i="5"/>
  <c r="AE887" i="5"/>
  <c r="AE888" i="5"/>
  <c r="AE889" i="5"/>
  <c r="AE890" i="5"/>
  <c r="AE891" i="5"/>
  <c r="AE892" i="5"/>
  <c r="AE893" i="5"/>
  <c r="AE894" i="5"/>
  <c r="AE895" i="5"/>
  <c r="AE896" i="5"/>
  <c r="AE897" i="5"/>
  <c r="AE898" i="5"/>
  <c r="AE899" i="5"/>
  <c r="AE900" i="5"/>
  <c r="AE901" i="5"/>
  <c r="AE902" i="5"/>
  <c r="AE903" i="5"/>
  <c r="AE904" i="5"/>
  <c r="AE880" i="5"/>
  <c r="AE856" i="5"/>
  <c r="AE871" i="5"/>
  <c r="AE854" i="5"/>
  <c r="AE857" i="5"/>
  <c r="AE860" i="5"/>
  <c r="AE863" i="5"/>
  <c r="AE866" i="5"/>
  <c r="AE869" i="5"/>
  <c r="AE872" i="5"/>
  <c r="AE875" i="5"/>
  <c r="AE878" i="5"/>
  <c r="AE859" i="5"/>
  <c r="AE874" i="5"/>
  <c r="AE883" i="5"/>
  <c r="AE865" i="5"/>
  <c r="AE881" i="5"/>
  <c r="AE855" i="5"/>
  <c r="AE858" i="5"/>
  <c r="AE861" i="5"/>
  <c r="AE864" i="5"/>
  <c r="AE867" i="5"/>
  <c r="AE870" i="5"/>
  <c r="AE873" i="5"/>
  <c r="AE876" i="5"/>
  <c r="AE879" i="5"/>
  <c r="AE862" i="5"/>
  <c r="AE877" i="5"/>
  <c r="AE868" i="5"/>
  <c r="AE882" i="5"/>
  <c r="Z854" i="5"/>
  <c r="Z855" i="5"/>
  <c r="Z856" i="5"/>
  <c r="Z857" i="5"/>
  <c r="Z858" i="5"/>
  <c r="Z859" i="5"/>
  <c r="Z860" i="5"/>
  <c r="Z861" i="5"/>
  <c r="Z862" i="5"/>
  <c r="Z863" i="5"/>
  <c r="Z864" i="5"/>
  <c r="Z865" i="5"/>
  <c r="Z866" i="5"/>
  <c r="Z867" i="5"/>
  <c r="Z868" i="5"/>
  <c r="Z869" i="5"/>
  <c r="Z870" i="5"/>
  <c r="Z871" i="5"/>
  <c r="Z872" i="5"/>
  <c r="Z873" i="5"/>
  <c r="Z874" i="5"/>
  <c r="Z875" i="5"/>
  <c r="Z876" i="5"/>
  <c r="Z877" i="5"/>
  <c r="Z878" i="5"/>
  <c r="Z879" i="5"/>
  <c r="Z880" i="5"/>
  <c r="Z881" i="5"/>
  <c r="Z882" i="5"/>
  <c r="Z883" i="5"/>
  <c r="Z884" i="5"/>
  <c r="Z803" i="5"/>
  <c r="Z804" i="5"/>
  <c r="Z805" i="5"/>
  <c r="Z806" i="5"/>
  <c r="Z807" i="5"/>
  <c r="Z808" i="5"/>
  <c r="Z809" i="5"/>
  <c r="Z810" i="5"/>
  <c r="Z811" i="5"/>
  <c r="Z812" i="5"/>
  <c r="Z813" i="5"/>
  <c r="Z814" i="5"/>
  <c r="Z815" i="5"/>
  <c r="Z816" i="5"/>
  <c r="Z817" i="5"/>
  <c r="Z818" i="5"/>
  <c r="Z819" i="5"/>
  <c r="Z820" i="5"/>
  <c r="Z821" i="5"/>
  <c r="Z822" i="5"/>
  <c r="Z823" i="5"/>
  <c r="Z824" i="5"/>
  <c r="Z825" i="5"/>
  <c r="Z826" i="5"/>
  <c r="Z827" i="5"/>
  <c r="Z828" i="5"/>
  <c r="Z829" i="5"/>
  <c r="Z830" i="5"/>
  <c r="Z831" i="5"/>
  <c r="Z832" i="5"/>
  <c r="Z833" i="5"/>
  <c r="Z834" i="5"/>
  <c r="Z835" i="5"/>
  <c r="Z836" i="5"/>
  <c r="Z837" i="5"/>
  <c r="Z838" i="5"/>
  <c r="Z839" i="5"/>
  <c r="Z840" i="5"/>
  <c r="Z841" i="5"/>
  <c r="Z842" i="5"/>
  <c r="Z843" i="5"/>
  <c r="Z844" i="5"/>
  <c r="Z845" i="5"/>
  <c r="Z885" i="5"/>
  <c r="Z886" i="5"/>
  <c r="Z887" i="5"/>
  <c r="Z888" i="5"/>
  <c r="Z889" i="5"/>
  <c r="Z890" i="5"/>
  <c r="Z891" i="5"/>
  <c r="Z892" i="5"/>
  <c r="Z893" i="5"/>
  <c r="Z894" i="5"/>
  <c r="Z895" i="5"/>
  <c r="Z896" i="5"/>
  <c r="Z897" i="5"/>
  <c r="Z898" i="5"/>
  <c r="Z899" i="5"/>
  <c r="Z900" i="5"/>
  <c r="Z901" i="5"/>
  <c r="Z902" i="5"/>
  <c r="Z903" i="5"/>
  <c r="Z904" i="5"/>
  <c r="AA854" i="5"/>
  <c r="AA855" i="5"/>
  <c r="AA856" i="5"/>
  <c r="AA857" i="5"/>
  <c r="AA858" i="5"/>
  <c r="AA859" i="5"/>
  <c r="AA860" i="5"/>
  <c r="AA861" i="5"/>
  <c r="AA862" i="5"/>
  <c r="AA863" i="5"/>
  <c r="AA864" i="5"/>
  <c r="AA865" i="5"/>
  <c r="AA866" i="5"/>
  <c r="AA867" i="5"/>
  <c r="AA868" i="5"/>
  <c r="AA869" i="5"/>
  <c r="AA870" i="5"/>
  <c r="AA871" i="5"/>
  <c r="AA872" i="5"/>
  <c r="AA873" i="5"/>
  <c r="AA874" i="5"/>
  <c r="AA875" i="5"/>
  <c r="AA876" i="5"/>
  <c r="AA877" i="5"/>
  <c r="AA878" i="5"/>
  <c r="AA879" i="5"/>
  <c r="AA880" i="5"/>
  <c r="AA881" i="5"/>
  <c r="AA882" i="5"/>
  <c r="AA883" i="5"/>
  <c r="AA884" i="5"/>
  <c r="AA803" i="5"/>
  <c r="AA804" i="5"/>
  <c r="AA805" i="5"/>
  <c r="AA806" i="5"/>
  <c r="AA807" i="5"/>
  <c r="AA808" i="5"/>
  <c r="AA809" i="5"/>
  <c r="AA810" i="5"/>
  <c r="AA811" i="5"/>
  <c r="AA812" i="5"/>
  <c r="AA813" i="5"/>
  <c r="AA814" i="5"/>
  <c r="AA815" i="5"/>
  <c r="AA816" i="5"/>
  <c r="AA817" i="5"/>
  <c r="AA818" i="5"/>
  <c r="AA819" i="5"/>
  <c r="AA820" i="5"/>
  <c r="AA821" i="5"/>
  <c r="AA822" i="5"/>
  <c r="AA823" i="5"/>
  <c r="AA824" i="5"/>
  <c r="AA825" i="5"/>
  <c r="AA826" i="5"/>
  <c r="AA827" i="5"/>
  <c r="AA828" i="5"/>
  <c r="AA829" i="5"/>
  <c r="AA830" i="5"/>
  <c r="AA831" i="5"/>
  <c r="AA832" i="5"/>
  <c r="AA833" i="5"/>
  <c r="AA834" i="5"/>
  <c r="AA835" i="5"/>
  <c r="AA836" i="5"/>
  <c r="AA837" i="5"/>
  <c r="AA838" i="5"/>
  <c r="AA839" i="5"/>
  <c r="AA840" i="5"/>
  <c r="AA841" i="5"/>
  <c r="AA842" i="5"/>
  <c r="AA843" i="5"/>
  <c r="AA844" i="5"/>
  <c r="AA845" i="5"/>
  <c r="AA885" i="5"/>
  <c r="AA886" i="5"/>
  <c r="AA887" i="5"/>
  <c r="AA888" i="5"/>
  <c r="AA889" i="5"/>
  <c r="AA890" i="5"/>
  <c r="AA891" i="5"/>
  <c r="AA892" i="5"/>
  <c r="AA893" i="5"/>
  <c r="AA894" i="5"/>
  <c r="AA895" i="5"/>
  <c r="AA896" i="5"/>
  <c r="AA897" i="5"/>
  <c r="AA898" i="5"/>
  <c r="AA899" i="5"/>
  <c r="AA900" i="5"/>
  <c r="AA901" i="5"/>
  <c r="AA902" i="5"/>
  <c r="AA903" i="5"/>
  <c r="AA904" i="5"/>
  <c r="X854" i="5"/>
  <c r="X855" i="5"/>
  <c r="X856" i="5"/>
  <c r="X857" i="5"/>
  <c r="X858" i="5"/>
  <c r="X859" i="5"/>
  <c r="X860" i="5"/>
  <c r="X861" i="5"/>
  <c r="X862" i="5"/>
  <c r="X863" i="5"/>
  <c r="X864" i="5"/>
  <c r="X865" i="5"/>
  <c r="X866" i="5"/>
  <c r="X867" i="5"/>
  <c r="X868" i="5"/>
  <c r="X869" i="5"/>
  <c r="X870" i="5"/>
  <c r="X871" i="5"/>
  <c r="X872" i="5"/>
  <c r="X873" i="5"/>
  <c r="X874" i="5"/>
  <c r="X875" i="5"/>
  <c r="X876" i="5"/>
  <c r="X877" i="5"/>
  <c r="X878" i="5"/>
  <c r="X803" i="5"/>
  <c r="X804" i="5"/>
  <c r="X805" i="5"/>
  <c r="X806" i="5"/>
  <c r="X807" i="5"/>
  <c r="X808" i="5"/>
  <c r="X809" i="5"/>
  <c r="X810" i="5"/>
  <c r="X811" i="5"/>
  <c r="X812" i="5"/>
  <c r="X813" i="5"/>
  <c r="X814" i="5"/>
  <c r="X815" i="5"/>
  <c r="X816" i="5"/>
  <c r="X817" i="5"/>
  <c r="X818" i="5"/>
  <c r="X819" i="5"/>
  <c r="X820" i="5"/>
  <c r="X821" i="5"/>
  <c r="X822" i="5"/>
  <c r="X823" i="5"/>
  <c r="X824" i="5"/>
  <c r="X825" i="5"/>
  <c r="X826" i="5"/>
  <c r="X827" i="5"/>
  <c r="X828" i="5"/>
  <c r="X829" i="5"/>
  <c r="X830" i="5"/>
  <c r="X831" i="5"/>
  <c r="X832" i="5"/>
  <c r="X833" i="5"/>
  <c r="X834" i="5"/>
  <c r="X835" i="5"/>
  <c r="X836" i="5"/>
  <c r="X837" i="5"/>
  <c r="X838" i="5"/>
  <c r="X839" i="5"/>
  <c r="X840" i="5"/>
  <c r="X841" i="5"/>
  <c r="X842" i="5"/>
  <c r="X843" i="5"/>
  <c r="X844" i="5"/>
  <c r="X845" i="5"/>
  <c r="X880" i="5"/>
  <c r="X883" i="5"/>
  <c r="X881" i="5"/>
  <c r="X885" i="5"/>
  <c r="X886" i="5"/>
  <c r="X887" i="5"/>
  <c r="X888" i="5"/>
  <c r="X889" i="5"/>
  <c r="X890" i="5"/>
  <c r="X891" i="5"/>
  <c r="X892" i="5"/>
  <c r="X893" i="5"/>
  <c r="X894" i="5"/>
  <c r="X895" i="5"/>
  <c r="X896" i="5"/>
  <c r="X897" i="5"/>
  <c r="X898" i="5"/>
  <c r="X899" i="5"/>
  <c r="X900" i="5"/>
  <c r="X901" i="5"/>
  <c r="X902" i="5"/>
  <c r="X903" i="5"/>
  <c r="X904" i="5"/>
  <c r="X879" i="5"/>
  <c r="X884" i="5"/>
  <c r="X882" i="5"/>
  <c r="Y854" i="5"/>
  <c r="Y855" i="5"/>
  <c r="Y856" i="5"/>
  <c r="Y857" i="5"/>
  <c r="Y858" i="5"/>
  <c r="Y859" i="5"/>
  <c r="Y860" i="5"/>
  <c r="Y861" i="5"/>
  <c r="Y862" i="5"/>
  <c r="Y863" i="5"/>
  <c r="Y864" i="5"/>
  <c r="Y865" i="5"/>
  <c r="Y866" i="5"/>
  <c r="Y867" i="5"/>
  <c r="Y868" i="5"/>
  <c r="Y869" i="5"/>
  <c r="Y870" i="5"/>
  <c r="Y871" i="5"/>
  <c r="Y872" i="5"/>
  <c r="Y873" i="5"/>
  <c r="Y874" i="5"/>
  <c r="Y875" i="5"/>
  <c r="Y876" i="5"/>
  <c r="Y877" i="5"/>
  <c r="Y878" i="5"/>
  <c r="Y879" i="5"/>
  <c r="Y880" i="5"/>
  <c r="Y881" i="5"/>
  <c r="Y882" i="5"/>
  <c r="Y883" i="5"/>
  <c r="Y884" i="5"/>
  <c r="Y803" i="5"/>
  <c r="Y804" i="5"/>
  <c r="Y805" i="5"/>
  <c r="Y806" i="5"/>
  <c r="Y807" i="5"/>
  <c r="Y808" i="5"/>
  <c r="Y809" i="5"/>
  <c r="Y810" i="5"/>
  <c r="Y811" i="5"/>
  <c r="Y812" i="5"/>
  <c r="Y813" i="5"/>
  <c r="Y814" i="5"/>
  <c r="Y815" i="5"/>
  <c r="Y816" i="5"/>
  <c r="Y817" i="5"/>
  <c r="Y818" i="5"/>
  <c r="Y819" i="5"/>
  <c r="Y820" i="5"/>
  <c r="Y821" i="5"/>
  <c r="Y822" i="5"/>
  <c r="Y823" i="5"/>
  <c r="Y824" i="5"/>
  <c r="Y825" i="5"/>
  <c r="Y826" i="5"/>
  <c r="Y827" i="5"/>
  <c r="Y828" i="5"/>
  <c r="Y829" i="5"/>
  <c r="Y830" i="5"/>
  <c r="Y831" i="5"/>
  <c r="Y832" i="5"/>
  <c r="Y833" i="5"/>
  <c r="Y834" i="5"/>
  <c r="Y835" i="5"/>
  <c r="Y836" i="5"/>
  <c r="Y837" i="5"/>
  <c r="Y838" i="5"/>
  <c r="Y839" i="5"/>
  <c r="Y840" i="5"/>
  <c r="Y841" i="5"/>
  <c r="Y842" i="5"/>
  <c r="Y843" i="5"/>
  <c r="Y844" i="5"/>
  <c r="Y845" i="5"/>
  <c r="Y885" i="5"/>
  <c r="Y886" i="5"/>
  <c r="Y887" i="5"/>
  <c r="Y888" i="5"/>
  <c r="Y889" i="5"/>
  <c r="Y890" i="5"/>
  <c r="Y891" i="5"/>
  <c r="Y892" i="5"/>
  <c r="Y893" i="5"/>
  <c r="Y894" i="5"/>
  <c r="Y895" i="5"/>
  <c r="Y896" i="5"/>
  <c r="Y897" i="5"/>
  <c r="Y898" i="5"/>
  <c r="Y899" i="5"/>
  <c r="Y900" i="5"/>
  <c r="Y901" i="5"/>
  <c r="Y902" i="5"/>
  <c r="Y903" i="5"/>
  <c r="Y904" i="5"/>
  <c r="AC854" i="5"/>
  <c r="AC855" i="5"/>
  <c r="AC856" i="5"/>
  <c r="AC857" i="5"/>
  <c r="AC858" i="5"/>
  <c r="AC859" i="5"/>
  <c r="AC860" i="5"/>
  <c r="AC861" i="5"/>
  <c r="AC862" i="5"/>
  <c r="AC863" i="5"/>
  <c r="AC864" i="5"/>
  <c r="AC865" i="5"/>
  <c r="AC866" i="5"/>
  <c r="AC867" i="5"/>
  <c r="AC868" i="5"/>
  <c r="AC869" i="5"/>
  <c r="AC870" i="5"/>
  <c r="AC871" i="5"/>
  <c r="AC872" i="5"/>
  <c r="AC873" i="5"/>
  <c r="AC874" i="5"/>
  <c r="AC875" i="5"/>
  <c r="AC876" i="5"/>
  <c r="AC877" i="5"/>
  <c r="AC878" i="5"/>
  <c r="AC879" i="5"/>
  <c r="AC880" i="5"/>
  <c r="AC881" i="5"/>
  <c r="AC882" i="5"/>
  <c r="AC883" i="5"/>
  <c r="AC803" i="5"/>
  <c r="AC804" i="5"/>
  <c r="AC805" i="5"/>
  <c r="AC806" i="5"/>
  <c r="AC807" i="5"/>
  <c r="AC808" i="5"/>
  <c r="AC809" i="5"/>
  <c r="AC810" i="5"/>
  <c r="AC811" i="5"/>
  <c r="AC812" i="5"/>
  <c r="AC813" i="5"/>
  <c r="AC814" i="5"/>
  <c r="AC815" i="5"/>
  <c r="AC816" i="5"/>
  <c r="AC817" i="5"/>
  <c r="AC818" i="5"/>
  <c r="AC819" i="5"/>
  <c r="AC820" i="5"/>
  <c r="AC821" i="5"/>
  <c r="AC822" i="5"/>
  <c r="AC823" i="5"/>
  <c r="AC824" i="5"/>
  <c r="AC825" i="5"/>
  <c r="AC826" i="5"/>
  <c r="AC827" i="5"/>
  <c r="AC828" i="5"/>
  <c r="AC829" i="5"/>
  <c r="AC830" i="5"/>
  <c r="AC831" i="5"/>
  <c r="AC832" i="5"/>
  <c r="AC833" i="5"/>
  <c r="AC834" i="5"/>
  <c r="AC835" i="5"/>
  <c r="AC836" i="5"/>
  <c r="AC837" i="5"/>
  <c r="AC838" i="5"/>
  <c r="AC839" i="5"/>
  <c r="AC840" i="5"/>
  <c r="AC841" i="5"/>
  <c r="AC842" i="5"/>
  <c r="AC843" i="5"/>
  <c r="AC844" i="5"/>
  <c r="AC845" i="5"/>
  <c r="AC884" i="5"/>
  <c r="AC885" i="5"/>
  <c r="AC886" i="5"/>
  <c r="AC887" i="5"/>
  <c r="AC888" i="5"/>
  <c r="AC889" i="5"/>
  <c r="AC890" i="5"/>
  <c r="AC891" i="5"/>
  <c r="AC892" i="5"/>
  <c r="AC893" i="5"/>
  <c r="AC894" i="5"/>
  <c r="AC895" i="5"/>
  <c r="AC896" i="5"/>
  <c r="AC897" i="5"/>
  <c r="AC898" i="5"/>
  <c r="AC899" i="5"/>
  <c r="AC900" i="5"/>
  <c r="AC901" i="5"/>
  <c r="AC902" i="5"/>
  <c r="AC903" i="5"/>
  <c r="AC904" i="5"/>
  <c r="AD854" i="5"/>
  <c r="AD855" i="5"/>
  <c r="AD856" i="5"/>
  <c r="AD857" i="5"/>
  <c r="AD858" i="5"/>
  <c r="AD859" i="5"/>
  <c r="AD860" i="5"/>
  <c r="AD861" i="5"/>
  <c r="AD862" i="5"/>
  <c r="AD863" i="5"/>
  <c r="AD864" i="5"/>
  <c r="AD865" i="5"/>
  <c r="AD866" i="5"/>
  <c r="AD867" i="5"/>
  <c r="AD868" i="5"/>
  <c r="AD869" i="5"/>
  <c r="AD870" i="5"/>
  <c r="AD871" i="5"/>
  <c r="AD872" i="5"/>
  <c r="AD873" i="5"/>
  <c r="AD874" i="5"/>
  <c r="AD875" i="5"/>
  <c r="AD876" i="5"/>
  <c r="AD877" i="5"/>
  <c r="AD878" i="5"/>
  <c r="AD879" i="5"/>
  <c r="AD880" i="5"/>
  <c r="AD881" i="5"/>
  <c r="AD882" i="5"/>
  <c r="AD883" i="5"/>
  <c r="AD805" i="5"/>
  <c r="AD808" i="5"/>
  <c r="AD811" i="5"/>
  <c r="AD814" i="5"/>
  <c r="AD817" i="5"/>
  <c r="AD820" i="5"/>
  <c r="AD823" i="5"/>
  <c r="AD826" i="5"/>
  <c r="AD829" i="5"/>
  <c r="AD832" i="5"/>
  <c r="AD835" i="5"/>
  <c r="AD838" i="5"/>
  <c r="AD841" i="5"/>
  <c r="AD844" i="5"/>
  <c r="AD896" i="5"/>
  <c r="AD889" i="5"/>
  <c r="AD898" i="5"/>
  <c r="AD885" i="5"/>
  <c r="AD894" i="5"/>
  <c r="AD904" i="5"/>
  <c r="AD803" i="5"/>
  <c r="AD806" i="5"/>
  <c r="AD809" i="5"/>
  <c r="AD812" i="5"/>
  <c r="AD815" i="5"/>
  <c r="AD818" i="5"/>
  <c r="AD821" i="5"/>
  <c r="AD824" i="5"/>
  <c r="AD827" i="5"/>
  <c r="AD830" i="5"/>
  <c r="AD833" i="5"/>
  <c r="AD836" i="5"/>
  <c r="AD839" i="5"/>
  <c r="AD842" i="5"/>
  <c r="AD845" i="5"/>
  <c r="AD884" i="5"/>
  <c r="AD888" i="5"/>
  <c r="AD892" i="5"/>
  <c r="AD903" i="5"/>
  <c r="AD893" i="5"/>
  <c r="AD901" i="5"/>
  <c r="AD897" i="5"/>
  <c r="AD804" i="5"/>
  <c r="AD807" i="5"/>
  <c r="AD810" i="5"/>
  <c r="AD813" i="5"/>
  <c r="AD816" i="5"/>
  <c r="AD819" i="5"/>
  <c r="AD822" i="5"/>
  <c r="AD825" i="5"/>
  <c r="AD828" i="5"/>
  <c r="AD831" i="5"/>
  <c r="AD834" i="5"/>
  <c r="AD837" i="5"/>
  <c r="AD840" i="5"/>
  <c r="AD843" i="5"/>
  <c r="AD886" i="5"/>
  <c r="AD890" i="5"/>
  <c r="AD895" i="5"/>
  <c r="AD900" i="5"/>
  <c r="AD902" i="5"/>
  <c r="AD887" i="5"/>
  <c r="AD891" i="5"/>
  <c r="AD899" i="5"/>
  <c r="F295" i="7" l="1"/>
  <c r="F317" i="7" s="1"/>
  <c r="G317" i="7" s="1"/>
  <c r="E109" i="7"/>
  <c r="F212" i="7" s="1"/>
  <c r="E33" i="7" s="1"/>
  <c r="F109" i="7"/>
  <c r="H212" i="7" s="1"/>
  <c r="E110" i="7"/>
  <c r="F213" i="7" s="1"/>
  <c r="E34" i="7" s="1"/>
  <c r="F110" i="7"/>
  <c r="H213" i="7" s="1"/>
  <c r="E111" i="7"/>
  <c r="F214" i="7" s="1"/>
  <c r="E35" i="7" s="1"/>
  <c r="F111" i="7"/>
  <c r="H214" i="7" s="1"/>
  <c r="AB846" i="5"/>
  <c r="AB905" i="5"/>
  <c r="AT965" i="5"/>
  <c r="H959" i="5"/>
  <c r="AR965" i="5"/>
  <c r="AU965" i="5"/>
  <c r="F1105" i="5"/>
  <c r="F1103" i="5"/>
  <c r="AG901" i="5"/>
  <c r="AG899" i="5"/>
  <c r="AG839" i="5"/>
  <c r="AG827" i="5"/>
  <c r="AG815" i="5"/>
  <c r="AG897" i="5"/>
  <c r="AG885" i="5"/>
  <c r="AG837" i="5"/>
  <c r="AG813" i="5"/>
  <c r="AG877" i="5"/>
  <c r="AG865" i="5"/>
  <c r="X846" i="5"/>
  <c r="AG803" i="5"/>
  <c r="AG867" i="5"/>
  <c r="AG855" i="5"/>
  <c r="AG898" i="5"/>
  <c r="AG886" i="5"/>
  <c r="AG838" i="5"/>
  <c r="AG826" i="5"/>
  <c r="AG814" i="5"/>
  <c r="AG878" i="5"/>
  <c r="AG866" i="5"/>
  <c r="X905" i="5"/>
  <c r="AG854" i="5"/>
  <c r="AE905" i="5"/>
  <c r="Y905" i="5"/>
  <c r="AG896" i="5"/>
  <c r="AG881" i="5"/>
  <c r="AG836" i="5"/>
  <c r="AG824" i="5"/>
  <c r="AG812" i="5"/>
  <c r="AG876" i="5"/>
  <c r="AG864" i="5"/>
  <c r="Z846" i="5"/>
  <c r="AG882" i="5"/>
  <c r="AG895" i="5"/>
  <c r="AG883" i="5"/>
  <c r="AG835" i="5"/>
  <c r="AG823" i="5"/>
  <c r="AG811" i="5"/>
  <c r="AG875" i="5"/>
  <c r="AG863" i="5"/>
  <c r="AA846" i="5"/>
  <c r="AG884" i="5"/>
  <c r="AG894" i="5"/>
  <c r="AG880" i="5"/>
  <c r="AG834" i="5"/>
  <c r="AG822" i="5"/>
  <c r="AG810" i="5"/>
  <c r="AG874" i="5"/>
  <c r="AG862" i="5"/>
  <c r="AG845" i="5"/>
  <c r="AG833" i="5"/>
  <c r="AG821" i="5"/>
  <c r="AG809" i="5"/>
  <c r="AG873" i="5"/>
  <c r="AG861" i="5"/>
  <c r="AG893" i="5"/>
  <c r="AD905" i="5"/>
  <c r="AG904" i="5"/>
  <c r="AG892" i="5"/>
  <c r="AG844" i="5"/>
  <c r="AG832" i="5"/>
  <c r="AG820" i="5"/>
  <c r="AG808" i="5"/>
  <c r="AG872" i="5"/>
  <c r="AG860" i="5"/>
  <c r="AG887" i="5"/>
  <c r="AD846" i="5"/>
  <c r="AC905" i="5"/>
  <c r="AG879" i="5"/>
  <c r="Y846" i="5"/>
  <c r="AG903" i="5"/>
  <c r="AG891" i="5"/>
  <c r="AG843" i="5"/>
  <c r="AG831" i="5"/>
  <c r="AG819" i="5"/>
  <c r="AG807" i="5"/>
  <c r="AG871" i="5"/>
  <c r="AG859" i="5"/>
  <c r="AE846" i="5"/>
  <c r="AG902" i="5"/>
  <c r="AG890" i="5"/>
  <c r="AG842" i="5"/>
  <c r="AG830" i="5"/>
  <c r="AG818" i="5"/>
  <c r="AG806" i="5"/>
  <c r="AG870" i="5"/>
  <c r="AG858" i="5"/>
  <c r="AG889" i="5"/>
  <c r="AG829" i="5"/>
  <c r="AG817" i="5"/>
  <c r="AG805" i="5"/>
  <c r="AG869" i="5"/>
  <c r="AG857" i="5"/>
  <c r="Z905" i="5"/>
  <c r="AG825" i="5"/>
  <c r="AG841" i="5"/>
  <c r="AC846" i="5"/>
  <c r="AG900" i="5"/>
  <c r="AG888" i="5"/>
  <c r="AG840" i="5"/>
  <c r="AG828" i="5"/>
  <c r="AG816" i="5"/>
  <c r="AG804" i="5"/>
  <c r="AG868" i="5"/>
  <c r="AG856" i="5"/>
  <c r="AA905" i="5"/>
  <c r="AR972" i="5" l="1"/>
  <c r="AW972" i="5"/>
  <c r="AU972" i="5"/>
  <c r="AG905" i="5"/>
  <c r="AU973" i="5" s="1"/>
  <c r="AG846" i="5"/>
  <c r="L784" i="5" s="1"/>
  <c r="F784" i="5" l="1"/>
  <c r="AR973" i="5"/>
  <c r="AQ968" i="5"/>
  <c r="E962" i="5"/>
  <c r="AV973" i="5"/>
  <c r="AY973" i="5"/>
  <c r="AS972" i="5"/>
  <c r="AT972" i="5"/>
  <c r="AW974" i="5"/>
  <c r="AQ967" i="5"/>
  <c r="AV972" i="5"/>
  <c r="AT973" i="5"/>
  <c r="AS973" i="5"/>
  <c r="AS974" i="5"/>
  <c r="AY972" i="5"/>
  <c r="AW973" i="5"/>
  <c r="AX972" i="5"/>
  <c r="AX973" i="5"/>
  <c r="M785" i="5"/>
  <c r="I785" i="5"/>
  <c r="E779" i="5"/>
  <c r="E961" i="5" s="1"/>
  <c r="J784" i="5"/>
  <c r="M784" i="5"/>
  <c r="H784" i="5"/>
  <c r="E780" i="5"/>
  <c r="J785" i="5"/>
  <c r="K785" i="5"/>
  <c r="F968" i="5" s="1"/>
  <c r="G784" i="5"/>
  <c r="G785" i="5"/>
  <c r="I784" i="5"/>
  <c r="H785" i="5"/>
  <c r="L785" i="5"/>
  <c r="L786" i="5" s="1"/>
  <c r="L787" i="5" s="1"/>
  <c r="K784" i="5"/>
  <c r="F967" i="5" s="1"/>
  <c r="F785" i="5"/>
  <c r="AH905" i="5"/>
  <c r="AH846" i="5"/>
  <c r="H961" i="5" l="1"/>
  <c r="G961" i="5"/>
  <c r="F961" i="5"/>
  <c r="I961" i="5"/>
  <c r="J961" i="5"/>
  <c r="AX975" i="5"/>
  <c r="AT974" i="5"/>
  <c r="AV974" i="5"/>
  <c r="AU967" i="5"/>
  <c r="AS967" i="5"/>
  <c r="AT967" i="5"/>
  <c r="AW967" i="5"/>
  <c r="AX967" i="5"/>
  <c r="AV967" i="5"/>
  <c r="AY967" i="5"/>
  <c r="AR967" i="5"/>
  <c r="AR974" i="5"/>
  <c r="AY974" i="5"/>
  <c r="AU975" i="5"/>
  <c r="AU974" i="5"/>
  <c r="AX974" i="5"/>
  <c r="AT975" i="5"/>
  <c r="AX968" i="5"/>
  <c r="H962" i="5"/>
  <c r="AT968" i="5"/>
  <c r="J962" i="5"/>
  <c r="AV968" i="5"/>
  <c r="AS968" i="5"/>
  <c r="AW968" i="5"/>
  <c r="G962" i="5"/>
  <c r="AY968" i="5"/>
  <c r="F962" i="5"/>
  <c r="AU968" i="5"/>
  <c r="I962" i="5"/>
  <c r="AR968" i="5"/>
  <c r="F786" i="5"/>
  <c r="F787" i="5" s="1"/>
  <c r="G786" i="5"/>
  <c r="G787" i="5" s="1"/>
  <c r="M786" i="5"/>
  <c r="M787" i="5" s="1"/>
  <c r="I786" i="5"/>
  <c r="I787" i="5" s="1"/>
  <c r="H786" i="5"/>
  <c r="H787" i="5" s="1"/>
  <c r="L780" i="5"/>
  <c r="G780" i="5"/>
  <c r="J780" i="5"/>
  <c r="H780" i="5"/>
  <c r="M780" i="5"/>
  <c r="I780" i="5"/>
  <c r="K780" i="5"/>
  <c r="F780" i="5"/>
  <c r="J786" i="5"/>
  <c r="J787" i="5" s="1"/>
  <c r="L779" i="5"/>
  <c r="F779" i="5"/>
  <c r="J779" i="5"/>
  <c r="I779" i="5"/>
  <c r="M779" i="5"/>
  <c r="H779" i="5"/>
  <c r="G779" i="5"/>
  <c r="K779" i="5"/>
  <c r="K786" i="5"/>
  <c r="E1260" i="5"/>
  <c r="F963" i="5" l="1"/>
  <c r="AR970" i="5" s="1"/>
  <c r="K787" i="5"/>
  <c r="F970" i="5" s="1"/>
  <c r="F969" i="5"/>
  <c r="AR975" i="5" s="1"/>
  <c r="AX969" i="5"/>
  <c r="AW969" i="5"/>
  <c r="AW975" i="5"/>
  <c r="G963" i="5"/>
  <c r="AS969" i="5"/>
  <c r="AV975" i="5"/>
  <c r="AY969" i="5"/>
  <c r="AR969" i="5"/>
  <c r="I963" i="5"/>
  <c r="AU969" i="5"/>
  <c r="AS975" i="5"/>
  <c r="AV969" i="5"/>
  <c r="J963" i="5"/>
  <c r="AY975" i="5"/>
  <c r="H963" i="5"/>
  <c r="AT969" i="5"/>
  <c r="M781" i="5"/>
  <c r="M782" i="5" s="1"/>
  <c r="F781" i="5"/>
  <c r="F782" i="5" s="1"/>
  <c r="J781" i="5"/>
  <c r="J782" i="5" s="1"/>
  <c r="G781" i="5"/>
  <c r="G782" i="5" s="1"/>
  <c r="I781" i="5"/>
  <c r="I782" i="5" s="1"/>
  <c r="L781" i="5"/>
  <c r="L782" i="5" s="1"/>
  <c r="H781" i="5"/>
  <c r="H782" i="5" s="1"/>
  <c r="K781" i="5"/>
  <c r="K782" i="5" s="1"/>
  <c r="F1296" i="5"/>
  <c r="E1308" i="5" s="1"/>
  <c r="D370" i="5"/>
  <c r="D369" i="5"/>
  <c r="D368" i="5"/>
  <c r="D367" i="5"/>
  <c r="D366" i="5"/>
  <c r="D365" i="5"/>
  <c r="D364" i="5"/>
  <c r="D363" i="5"/>
  <c r="D362" i="5"/>
  <c r="F964" i="5" l="1"/>
  <c r="AX970" i="5"/>
  <c r="AS970" i="5"/>
  <c r="G964" i="5"/>
  <c r="I964" i="5"/>
  <c r="AU970" i="5"/>
  <c r="AV970" i="5"/>
  <c r="J964" i="5"/>
  <c r="AW970" i="5"/>
  <c r="AY970" i="5"/>
  <c r="H964" i="5"/>
  <c r="AT970" i="5"/>
  <c r="D763" i="5" a="1"/>
  <c r="D763" i="5" s="1"/>
  <c r="H1308" i="5"/>
  <c r="I1308" i="5" s="1"/>
  <c r="F1317" i="5" s="1"/>
  <c r="I1317" i="5" s="1"/>
  <c r="F1308" i="5"/>
  <c r="E1317" i="5" s="1"/>
  <c r="H1317" i="5" s="1"/>
  <c r="K1308" i="5"/>
  <c r="L1308" i="5" s="1"/>
  <c r="D1317" i="5" s="1"/>
  <c r="G1317" i="5" s="1"/>
  <c r="F1217" i="5"/>
  <c r="E126" i="5" s="1"/>
  <c r="I1021" i="5"/>
  <c r="I1020" i="5"/>
  <c r="I1236" i="5"/>
  <c r="I1240" i="5"/>
  <c r="I1239" i="5"/>
  <c r="I1238" i="5"/>
  <c r="E201" i="5" s="1"/>
  <c r="I1237" i="5"/>
  <c r="D949" i="5" l="1" a="1"/>
  <c r="D949" i="5" s="1"/>
  <c r="E764" i="5"/>
  <c r="D770" i="5"/>
  <c r="E766" i="5"/>
  <c r="E770" i="5"/>
  <c r="D765" i="5"/>
  <c r="D764" i="5"/>
  <c r="D767" i="5"/>
  <c r="E768" i="5"/>
  <c r="E765" i="5"/>
  <c r="E767" i="5"/>
  <c r="E769" i="5"/>
  <c r="D766" i="5"/>
  <c r="D769" i="5"/>
  <c r="D768" i="5"/>
  <c r="E763" i="5"/>
  <c r="D321" i="5"/>
  <c r="D209" i="5"/>
  <c r="E309" i="5"/>
  <c r="E321" i="5"/>
  <c r="E209" i="5"/>
  <c r="H133" i="5"/>
  <c r="H32" i="5"/>
  <c r="E30" i="5"/>
  <c r="C371" i="5"/>
  <c r="C370" i="5"/>
  <c r="C369" i="5"/>
  <c r="C368" i="5"/>
  <c r="C367" i="5"/>
  <c r="C366" i="5"/>
  <c r="C365" i="5"/>
  <c r="C364" i="5"/>
  <c r="C363" i="5"/>
  <c r="C362" i="5"/>
  <c r="E1226" i="5" l="1"/>
  <c r="D1226" i="5"/>
  <c r="E1224" i="5"/>
  <c r="D1224" i="5"/>
  <c r="F1223" i="5"/>
  <c r="E1223" i="5"/>
  <c r="D1223" i="5"/>
  <c r="E1209" i="5"/>
  <c r="D1209" i="5"/>
  <c r="E1207" i="5"/>
  <c r="D1207" i="5"/>
  <c r="F1206" i="5"/>
  <c r="E1206" i="5"/>
  <c r="D1206" i="5"/>
  <c r="D1228" i="5" l="1"/>
  <c r="G127" i="5" s="1"/>
  <c r="D1229" i="5"/>
  <c r="E1228" i="5"/>
  <c r="H127" i="5" s="1"/>
  <c r="E1229" i="5"/>
  <c r="E1208" i="5"/>
  <c r="E1210" i="5" s="1"/>
  <c r="D1208" i="5"/>
  <c r="D1210" i="5" s="1"/>
  <c r="G239" i="5"/>
  <c r="G238" i="5"/>
  <c r="R14" i="4"/>
  <c r="R13" i="4"/>
  <c r="R12" i="4"/>
  <c r="R11" i="4"/>
  <c r="R10" i="4"/>
  <c r="R9" i="4"/>
  <c r="R8" i="4"/>
  <c r="R7" i="4"/>
  <c r="R6" i="4"/>
  <c r="R5" i="4"/>
  <c r="D89" i="5" l="1"/>
  <c r="D102" i="7" s="1"/>
  <c r="D205" i="7" s="1"/>
  <c r="D26" i="7" s="1"/>
  <c r="H128" i="5"/>
  <c r="G128" i="5"/>
  <c r="G125" i="5"/>
  <c r="G29" i="5"/>
  <c r="H125" i="5"/>
  <c r="H29" i="5"/>
  <c r="Z524" i="5"/>
  <c r="F448" i="5" s="1"/>
  <c r="O524" i="5"/>
  <c r="F487" i="5" s="1"/>
  <c r="G487" i="5" s="1"/>
  <c r="M524" i="5"/>
  <c r="F484" i="5" s="1"/>
  <c r="G484" i="5" s="1"/>
  <c r="AJ524" i="5"/>
  <c r="F425" i="5" s="1"/>
  <c r="K524" i="5"/>
  <c r="F481" i="5" s="1"/>
  <c r="G481" i="5" s="1"/>
  <c r="S524" i="5"/>
  <c r="F386" i="5" s="1"/>
  <c r="AD524" i="5"/>
  <c r="F405" i="5" s="1"/>
  <c r="Z511" i="5"/>
  <c r="E448" i="5" s="1"/>
  <c r="O511" i="5"/>
  <c r="E487" i="5" s="1"/>
  <c r="M511" i="5"/>
  <c r="E484" i="5" s="1"/>
  <c r="AJ511" i="5"/>
  <c r="E425" i="5" s="1"/>
  <c r="K511" i="5"/>
  <c r="E481" i="5" s="1"/>
  <c r="S511" i="5"/>
  <c r="E386" i="5" s="1"/>
  <c r="AD511" i="5"/>
  <c r="E405" i="5" s="1"/>
  <c r="G448" i="5" l="1"/>
  <c r="M448" i="5"/>
  <c r="G425" i="5"/>
  <c r="M425" i="5"/>
  <c r="G405" i="5"/>
  <c r="M405" i="5"/>
  <c r="G386" i="5"/>
  <c r="M386" i="5"/>
  <c r="E89" i="5"/>
  <c r="E102" i="7" s="1"/>
  <c r="F205" i="7" s="1"/>
  <c r="E26" i="7" s="1"/>
  <c r="D90" i="5"/>
  <c r="D87" i="5"/>
  <c r="D100" i="7" s="1"/>
  <c r="D203" i="7" s="1"/>
  <c r="D24" i="7" s="1"/>
  <c r="E197" i="5"/>
  <c r="I203" i="7" l="1"/>
  <c r="F24" i="7" s="1"/>
  <c r="D103" i="7"/>
  <c r="D206" i="7" s="1"/>
  <c r="D27" i="7" s="1"/>
  <c r="E90" i="5"/>
  <c r="F89" i="5"/>
  <c r="F102" i="7" s="1"/>
  <c r="H205" i="7" s="1"/>
  <c r="D292" i="5"/>
  <c r="D251" i="5"/>
  <c r="D118" i="7" s="1"/>
  <c r="D217" i="7" s="1"/>
  <c r="D38" i="7" s="1"/>
  <c r="D197" i="5"/>
  <c r="D174" i="5"/>
  <c r="D444" i="7" s="1"/>
  <c r="E292" i="5"/>
  <c r="B496" i="5"/>
  <c r="B497" i="5"/>
  <c r="B498" i="5"/>
  <c r="B499" i="5"/>
  <c r="B500" i="5"/>
  <c r="B501" i="5"/>
  <c r="B502" i="5"/>
  <c r="B503" i="5"/>
  <c r="I495" i="7" l="1"/>
  <c r="K203" i="7"/>
  <c r="G24" i="7" s="1"/>
  <c r="E284" i="7"/>
  <c r="E306" i="7" s="1"/>
  <c r="I217" i="7"/>
  <c r="F38" i="7" s="1"/>
  <c r="E251" i="5"/>
  <c r="E118" i="7" s="1"/>
  <c r="F217" i="7" s="1"/>
  <c r="E38" i="7" s="1"/>
  <c r="E174" i="5"/>
  <c r="R499" i="5"/>
  <c r="Q499" i="5"/>
  <c r="P499" i="5"/>
  <c r="O499" i="5"/>
  <c r="O497" i="5"/>
  <c r="R497" i="5"/>
  <c r="Q497" i="5"/>
  <c r="P497" i="5"/>
  <c r="Q498" i="5"/>
  <c r="O498" i="5"/>
  <c r="R498" i="5"/>
  <c r="P498" i="5"/>
  <c r="R496" i="5"/>
  <c r="P496" i="5"/>
  <c r="O496" i="5"/>
  <c r="Q496" i="5"/>
  <c r="O503" i="5"/>
  <c r="R503" i="5"/>
  <c r="Q503" i="5"/>
  <c r="P503" i="5"/>
  <c r="R502" i="5"/>
  <c r="Q502" i="5"/>
  <c r="P502" i="5"/>
  <c r="O502" i="5"/>
  <c r="P501" i="5"/>
  <c r="R501" i="5"/>
  <c r="Q501" i="5"/>
  <c r="O501" i="5"/>
  <c r="B516" i="5"/>
  <c r="S503" i="5"/>
  <c r="G236" i="5"/>
  <c r="G235" i="5"/>
  <c r="G233" i="5"/>
  <c r="G232" i="5"/>
  <c r="G230" i="5"/>
  <c r="G229" i="5"/>
  <c r="G227" i="5"/>
  <c r="G226" i="5"/>
  <c r="G224" i="5"/>
  <c r="G223" i="5"/>
  <c r="G221" i="5"/>
  <c r="G220" i="5"/>
  <c r="G218" i="5"/>
  <c r="G217" i="5"/>
  <c r="G215" i="5"/>
  <c r="G214" i="5"/>
  <c r="C231" i="5"/>
  <c r="C228" i="5"/>
  <c r="C225" i="5"/>
  <c r="C222" i="5"/>
  <c r="L1415" i="5"/>
  <c r="E1408" i="5"/>
  <c r="D1408" i="5"/>
  <c r="M1407" i="5"/>
  <c r="J1409" i="5" s="1"/>
  <c r="K1407" i="5"/>
  <c r="C1126" i="5"/>
  <c r="F1130" i="5"/>
  <c r="G1129" i="5"/>
  <c r="E1122" i="5"/>
  <c r="E1125" i="5"/>
  <c r="F1125" i="5"/>
  <c r="G1125" i="5"/>
  <c r="G1121" i="5"/>
  <c r="F1119" i="5"/>
  <c r="E1119" i="5"/>
  <c r="F1122" i="5"/>
  <c r="E444" i="7" l="1"/>
  <c r="J495" i="7" s="1"/>
  <c r="L174" i="5"/>
  <c r="G444" i="7"/>
  <c r="K1402" i="5"/>
  <c r="M1402" i="5" s="1"/>
  <c r="H1402" i="5" s="1"/>
  <c r="G132" i="5" s="1"/>
  <c r="K1399" i="5"/>
  <c r="M1399" i="5" s="1"/>
  <c r="L1401" i="5"/>
  <c r="N1401" i="5" s="1"/>
  <c r="I1401" i="5" s="1"/>
  <c r="H131" i="5" s="1"/>
  <c r="K1401" i="5"/>
  <c r="M1401" i="5" s="1"/>
  <c r="H1401" i="5" s="1"/>
  <c r="G131" i="5" s="1"/>
  <c r="D93" i="5" s="1"/>
  <c r="L1400" i="5"/>
  <c r="N1400" i="5" s="1"/>
  <c r="I1400" i="5" s="1"/>
  <c r="H130" i="5" s="1"/>
  <c r="K1400" i="5"/>
  <c r="M1400" i="5" s="1"/>
  <c r="H1400" i="5" s="1"/>
  <c r="G130" i="5" s="1"/>
  <c r="D92" i="5" s="1"/>
  <c r="L1399" i="5"/>
  <c r="N1399" i="5" s="1"/>
  <c r="L1402" i="5"/>
  <c r="N1402" i="5" s="1"/>
  <c r="I1402" i="5" s="1"/>
  <c r="H132" i="5" s="1"/>
  <c r="K217" i="7" a="1"/>
  <c r="K217" i="7" s="1"/>
  <c r="G38" i="7" s="1"/>
  <c r="E289" i="7"/>
  <c r="E311" i="7" s="1"/>
  <c r="F284" i="7"/>
  <c r="F306" i="7" s="1"/>
  <c r="F174" i="5"/>
  <c r="F444" i="7" s="1"/>
  <c r="L495" i="7" s="1"/>
  <c r="T499" i="5"/>
  <c r="T497" i="5"/>
  <c r="T496" i="5"/>
  <c r="T503" i="5"/>
  <c r="T502" i="5"/>
  <c r="T498" i="5"/>
  <c r="T501" i="5"/>
  <c r="L503" i="5"/>
  <c r="N503" i="5"/>
  <c r="M503" i="5"/>
  <c r="L1408" i="5"/>
  <c r="L1407" i="5"/>
  <c r="L1409" i="5" s="1"/>
  <c r="E1126" i="5"/>
  <c r="L1411" i="5"/>
  <c r="E1117" i="5"/>
  <c r="E1130" i="5"/>
  <c r="J1410" i="5"/>
  <c r="J1412" i="5" s="1"/>
  <c r="H1399" i="5" s="1"/>
  <c r="K1409" i="5"/>
  <c r="K1410" i="5" s="1"/>
  <c r="K1412" i="5" s="1"/>
  <c r="I1399" i="5" s="1"/>
  <c r="F1126" i="5"/>
  <c r="E92" i="5" l="1"/>
  <c r="D105" i="7"/>
  <c r="D208" i="7" s="1"/>
  <c r="D29" i="7" s="1"/>
  <c r="E93" i="5"/>
  <c r="D106" i="7"/>
  <c r="D209" i="7" s="1"/>
  <c r="D30" i="7" s="1"/>
  <c r="D94" i="5"/>
  <c r="O1399" i="5" a="1"/>
  <c r="O1399" i="5" s="1"/>
  <c r="F289" i="7"/>
  <c r="F311" i="7" s="1"/>
  <c r="G311" i="7" s="1"/>
  <c r="E1137" i="5"/>
  <c r="H124" i="5" s="1"/>
  <c r="E1136" i="5"/>
  <c r="H123" i="5" s="1"/>
  <c r="D1137" i="5"/>
  <c r="G124" i="5" s="1"/>
  <c r="D1136" i="5"/>
  <c r="G123" i="5" s="1"/>
  <c r="G129" i="5"/>
  <c r="G31" i="5"/>
  <c r="U503" i="5"/>
  <c r="L1410" i="5"/>
  <c r="E94" i="5" l="1"/>
  <c r="D107" i="7"/>
  <c r="D210" i="7" s="1"/>
  <c r="D31" i="7" s="1"/>
  <c r="F93" i="5"/>
  <c r="F106" i="7" s="1"/>
  <c r="H209" i="7" s="1"/>
  <c r="E106" i="7"/>
  <c r="F209" i="7" s="1"/>
  <c r="E30" i="7" s="1"/>
  <c r="F92" i="5"/>
  <c r="F105" i="7" s="1"/>
  <c r="H208" i="7" s="1"/>
  <c r="E105" i="7"/>
  <c r="F208" i="7" s="1"/>
  <c r="E29" i="7" s="1"/>
  <c r="D85" i="5"/>
  <c r="D86" i="5"/>
  <c r="H129" i="5"/>
  <c r="D91" i="5" s="1"/>
  <c r="D104" i="7" s="1"/>
  <c r="D207" i="7" s="1"/>
  <c r="H31" i="5"/>
  <c r="L1412" i="5"/>
  <c r="C470" i="5"/>
  <c r="L462" i="5"/>
  <c r="K462" i="5"/>
  <c r="J462" i="5"/>
  <c r="I462" i="5"/>
  <c r="F721" i="5"/>
  <c r="E721" i="5"/>
  <c r="D721" i="5"/>
  <c r="E1101" i="5"/>
  <c r="K540" i="5"/>
  <c r="F1415" i="5"/>
  <c r="D722" i="5" l="1"/>
  <c r="D723" i="5"/>
  <c r="E726" i="5"/>
  <c r="H120" i="5" s="1"/>
  <c r="E722" i="5"/>
  <c r="E723" i="5"/>
  <c r="F94" i="5"/>
  <c r="F107" i="7" s="1"/>
  <c r="H210" i="7" s="1"/>
  <c r="E107" i="7"/>
  <c r="F210" i="7" s="1"/>
  <c r="E31" i="7" s="1"/>
  <c r="D28" i="7"/>
  <c r="I207" i="7"/>
  <c r="F28" i="7" s="1"/>
  <c r="D726" i="5"/>
  <c r="G120" i="5" s="1"/>
  <c r="D82" i="5" s="1"/>
  <c r="E86" i="5"/>
  <c r="F86" i="5" s="1"/>
  <c r="D99" i="7"/>
  <c r="D202" i="7" s="1"/>
  <c r="D23" i="7" s="1"/>
  <c r="E85" i="5"/>
  <c r="F85" i="5" s="1"/>
  <c r="D98" i="7"/>
  <c r="D201" i="7" s="1"/>
  <c r="D22" i="7" s="1"/>
  <c r="E727" i="5"/>
  <c r="H121" i="5" s="1"/>
  <c r="D727" i="5"/>
  <c r="G121" i="5" s="1"/>
  <c r="D725" i="5"/>
  <c r="G119" i="5" s="1"/>
  <c r="E725" i="5"/>
  <c r="E724" i="5"/>
  <c r="D724" i="5"/>
  <c r="K541" i="5"/>
  <c r="G117" i="5"/>
  <c r="H117" i="5"/>
  <c r="E286" i="7" l="1"/>
  <c r="E308" i="7" s="1"/>
  <c r="E82" i="5"/>
  <c r="D95" i="7"/>
  <c r="D198" i="7" s="1"/>
  <c r="D19" i="7" s="1"/>
  <c r="F98" i="7"/>
  <c r="H201" i="7" s="1"/>
  <c r="E98" i="7"/>
  <c r="F201" i="7" s="1"/>
  <c r="E22" i="7" s="1"/>
  <c r="E99" i="7"/>
  <c r="F202" i="7" s="1"/>
  <c r="E23" i="7" s="1"/>
  <c r="F99" i="7"/>
  <c r="H202" i="7" s="1"/>
  <c r="D83" i="5"/>
  <c r="H116" i="5"/>
  <c r="H119" i="5"/>
  <c r="D81" i="5" s="1"/>
  <c r="G116" i="5"/>
  <c r="H118" i="5"/>
  <c r="G118" i="5"/>
  <c r="D79" i="5"/>
  <c r="H27" i="5"/>
  <c r="G27" i="5"/>
  <c r="F1407" i="5"/>
  <c r="E1411" i="5"/>
  <c r="D1411" i="5"/>
  <c r="G1407" i="5"/>
  <c r="E1409" i="5" s="1"/>
  <c r="F82" i="5" l="1"/>
  <c r="F95" i="7" s="1"/>
  <c r="H198" i="7" s="1"/>
  <c r="E95" i="7"/>
  <c r="F198" i="7" s="1"/>
  <c r="E19" i="7" s="1"/>
  <c r="E79" i="5"/>
  <c r="F79" i="5" s="1"/>
  <c r="D92" i="7"/>
  <c r="D195" i="7" s="1"/>
  <c r="D16" i="7" s="1"/>
  <c r="E81" i="5"/>
  <c r="F81" i="5" s="1"/>
  <c r="D94" i="7"/>
  <c r="D197" i="7" s="1"/>
  <c r="D18" i="7" s="1"/>
  <c r="E83" i="5"/>
  <c r="F83" i="5" s="1"/>
  <c r="D96" i="7"/>
  <c r="D199" i="7" s="1"/>
  <c r="D20" i="7" s="1"/>
  <c r="D80" i="5"/>
  <c r="D78" i="5"/>
  <c r="F1411" i="5"/>
  <c r="F1408" i="5"/>
  <c r="E1410" i="5"/>
  <c r="F1409" i="5"/>
  <c r="D1409" i="5"/>
  <c r="D1410" i="5" s="1"/>
  <c r="D1412" i="5" s="1"/>
  <c r="F96" i="7" l="1"/>
  <c r="H199" i="7" s="1"/>
  <c r="E96" i="7"/>
  <c r="F199" i="7" s="1"/>
  <c r="E20" i="7" s="1"/>
  <c r="E94" i="7"/>
  <c r="F197" i="7" s="1"/>
  <c r="E18" i="7" s="1"/>
  <c r="F94" i="7"/>
  <c r="H197" i="7" s="1"/>
  <c r="E78" i="5"/>
  <c r="F78" i="5" s="1"/>
  <c r="D91" i="7"/>
  <c r="D194" i="7" s="1"/>
  <c r="D15" i="7" s="1"/>
  <c r="E80" i="5"/>
  <c r="F80" i="5" s="1"/>
  <c r="D93" i="7"/>
  <c r="D196" i="7" s="1"/>
  <c r="D17" i="7" s="1"/>
  <c r="F92" i="7"/>
  <c r="H195" i="7" s="1"/>
  <c r="E92" i="7"/>
  <c r="F195" i="7" s="1"/>
  <c r="E16" i="7" s="1"/>
  <c r="E1412" i="5"/>
  <c r="F1410" i="5"/>
  <c r="I194" i="7" l="1"/>
  <c r="F15" i="7" s="1"/>
  <c r="E93" i="7"/>
  <c r="F196" i="7" s="1"/>
  <c r="E17" i="7" s="1"/>
  <c r="F93" i="7"/>
  <c r="H196" i="7" s="1"/>
  <c r="E91" i="7"/>
  <c r="F194" i="7" s="1"/>
  <c r="E15" i="7" s="1"/>
  <c r="F91" i="7"/>
  <c r="H194" i="7" s="1"/>
  <c r="F1412" i="5"/>
  <c r="H1383" i="5"/>
  <c r="H1384" i="5"/>
  <c r="H1382" i="5"/>
  <c r="K194" i="7" l="1" a="1"/>
  <c r="K194" i="7" s="1"/>
  <c r="G15" i="7" s="1"/>
  <c r="E282" i="7"/>
  <c r="E304" i="7" s="1"/>
  <c r="K1363" i="5"/>
  <c r="K1364" i="5"/>
  <c r="K1365" i="5"/>
  <c r="K1366" i="5"/>
  <c r="K1367" i="5"/>
  <c r="K1368" i="5"/>
  <c r="K1369" i="5"/>
  <c r="K1370" i="5"/>
  <c r="K1371" i="5"/>
  <c r="K1372" i="5"/>
  <c r="K1373" i="5"/>
  <c r="K1374" i="5"/>
  <c r="J1363" i="5"/>
  <c r="J1364" i="5"/>
  <c r="J1365" i="5"/>
  <c r="J1366" i="5"/>
  <c r="J1367" i="5"/>
  <c r="J1368" i="5"/>
  <c r="J1369" i="5"/>
  <c r="J1370" i="5"/>
  <c r="J1371" i="5"/>
  <c r="J1372" i="5"/>
  <c r="J1373" i="5"/>
  <c r="J1374" i="5"/>
  <c r="K1362" i="5"/>
  <c r="J1362" i="5"/>
  <c r="I1363" i="5"/>
  <c r="I1364" i="5"/>
  <c r="I1365" i="5"/>
  <c r="I1366" i="5"/>
  <c r="I1367" i="5"/>
  <c r="I1368" i="5"/>
  <c r="I1369" i="5"/>
  <c r="I1370" i="5"/>
  <c r="I1371" i="5"/>
  <c r="I1372" i="5"/>
  <c r="I1373" i="5"/>
  <c r="I1374" i="5"/>
  <c r="H1363" i="5"/>
  <c r="H1364" i="5"/>
  <c r="H1365" i="5"/>
  <c r="H1366" i="5"/>
  <c r="H1367" i="5"/>
  <c r="H1368" i="5"/>
  <c r="H1369" i="5"/>
  <c r="H1370" i="5"/>
  <c r="H1371" i="5"/>
  <c r="H1372" i="5"/>
  <c r="H1373" i="5"/>
  <c r="H1374" i="5"/>
  <c r="I1362" i="5"/>
  <c r="H1362" i="5"/>
  <c r="G1363" i="5"/>
  <c r="G1364" i="5"/>
  <c r="G1365" i="5"/>
  <c r="G1366" i="5"/>
  <c r="G1367" i="5"/>
  <c r="G1368" i="5"/>
  <c r="G1369" i="5"/>
  <c r="G1370" i="5"/>
  <c r="G1371" i="5"/>
  <c r="G1372" i="5"/>
  <c r="G1373" i="5"/>
  <c r="G1374" i="5"/>
  <c r="F1363" i="5"/>
  <c r="F1364" i="5"/>
  <c r="F1365" i="5"/>
  <c r="F1366" i="5"/>
  <c r="F1367" i="5"/>
  <c r="F1368" i="5"/>
  <c r="F1369" i="5"/>
  <c r="F1370" i="5"/>
  <c r="F1371" i="5"/>
  <c r="F1372" i="5"/>
  <c r="F1373" i="5"/>
  <c r="F1374" i="5"/>
  <c r="G1362" i="5"/>
  <c r="F1362" i="5"/>
  <c r="E1363" i="5"/>
  <c r="E1364" i="5"/>
  <c r="E1365" i="5"/>
  <c r="E1366" i="5"/>
  <c r="E1367" i="5"/>
  <c r="E1368" i="5"/>
  <c r="E1369" i="5"/>
  <c r="E1370" i="5"/>
  <c r="E1371" i="5"/>
  <c r="E1372" i="5"/>
  <c r="E1373" i="5"/>
  <c r="E1362" i="5"/>
  <c r="D1363" i="5"/>
  <c r="D1364" i="5"/>
  <c r="D1365" i="5"/>
  <c r="D1366" i="5"/>
  <c r="D1367" i="5"/>
  <c r="D1368" i="5"/>
  <c r="D1369" i="5"/>
  <c r="D1370" i="5"/>
  <c r="D1371" i="5"/>
  <c r="D1372" i="5"/>
  <c r="D1373" i="5"/>
  <c r="D1362" i="5"/>
  <c r="F1399" i="5"/>
  <c r="F282" i="7" l="1"/>
  <c r="F304" i="7" s="1"/>
  <c r="E129" i="5"/>
  <c r="E91" i="5" s="1"/>
  <c r="F91" i="5" s="1"/>
  <c r="E31" i="5"/>
  <c r="E1375" i="5"/>
  <c r="F1375" i="5"/>
  <c r="G1375" i="5"/>
  <c r="J1375" i="5"/>
  <c r="D1375" i="5"/>
  <c r="H1375" i="5"/>
  <c r="I1375" i="5"/>
  <c r="K1375" i="5"/>
  <c r="E104" i="7" l="1"/>
  <c r="F207" i="7" s="1"/>
  <c r="F104" i="7"/>
  <c r="H207" i="7" s="1"/>
  <c r="D1379" i="5"/>
  <c r="D1377" i="5"/>
  <c r="D1378" i="5"/>
  <c r="B529" i="5"/>
  <c r="E28" i="7" l="1"/>
  <c r="K207" i="7" a="1"/>
  <c r="K207" i="7" s="1"/>
  <c r="I1384" i="5"/>
  <c r="J1384" i="5" s="1"/>
  <c r="I1383" i="5"/>
  <c r="J1383" i="5" s="1"/>
  <c r="D1386" i="5" s="1"/>
  <c r="I1382" i="5"/>
  <c r="J1382" i="5" s="1"/>
  <c r="B515" i="5"/>
  <c r="S501" i="5"/>
  <c r="G28" i="7" l="1"/>
  <c r="F286" i="7"/>
  <c r="F308" i="7" s="1"/>
  <c r="D1387" i="5"/>
  <c r="L501" i="5"/>
  <c r="M501" i="5"/>
  <c r="N501" i="5"/>
  <c r="B528" i="5"/>
  <c r="B514" i="5"/>
  <c r="B513" i="5"/>
  <c r="B512" i="5"/>
  <c r="B511" i="5"/>
  <c r="B510" i="5"/>
  <c r="B509" i="5"/>
  <c r="L502" i="5"/>
  <c r="L499" i="5"/>
  <c r="L498" i="5"/>
  <c r="L497" i="5"/>
  <c r="L496" i="5"/>
  <c r="U501" i="5" l="1"/>
  <c r="T200" i="5"/>
  <c r="U201" i="5"/>
  <c r="V201" i="5"/>
  <c r="AA201" i="5"/>
  <c r="T201" i="5"/>
  <c r="U200" i="5"/>
  <c r="V200" i="5"/>
  <c r="AA200" i="5"/>
  <c r="M496" i="5"/>
  <c r="S496" i="5"/>
  <c r="M499" i="5"/>
  <c r="N499" i="5"/>
  <c r="S499" i="5"/>
  <c r="M497" i="5"/>
  <c r="N497" i="5"/>
  <c r="S497" i="5"/>
  <c r="M498" i="5"/>
  <c r="M502" i="5"/>
  <c r="N496" i="5"/>
  <c r="N498" i="5"/>
  <c r="N502" i="5"/>
  <c r="S498" i="5"/>
  <c r="S502" i="5"/>
  <c r="H1239" i="5"/>
  <c r="H1238" i="5"/>
  <c r="D309" i="5" s="1"/>
  <c r="H1237" i="5"/>
  <c r="H1236" i="5"/>
  <c r="Q705" i="5"/>
  <c r="S705" i="5" s="1"/>
  <c r="R705" i="5"/>
  <c r="T705" i="5" s="1"/>
  <c r="Q724" i="5"/>
  <c r="S724" i="5" s="1"/>
  <c r="R724" i="5"/>
  <c r="T724" i="5" s="1"/>
  <c r="P723" i="5"/>
  <c r="Q723" i="5" s="1"/>
  <c r="S723" i="5" s="1"/>
  <c r="P718" i="5"/>
  <c r="Q718" i="5" s="1"/>
  <c r="S718" i="5" s="1"/>
  <c r="P706" i="5"/>
  <c r="Q706" i="5" s="1"/>
  <c r="S706" i="5" s="1"/>
  <c r="K171" i="5"/>
  <c r="J171" i="5"/>
  <c r="I171" i="5"/>
  <c r="H171" i="5"/>
  <c r="J6" i="5"/>
  <c r="K6" i="5"/>
  <c r="I6" i="5"/>
  <c r="H6" i="5"/>
  <c r="E1265" i="5" l="1"/>
  <c r="F1265" i="5"/>
  <c r="E1277" i="5" s="1"/>
  <c r="D201" i="5"/>
  <c r="E1298" i="5"/>
  <c r="E1267" i="5"/>
  <c r="J1279" i="5" s="1"/>
  <c r="F1298" i="5"/>
  <c r="F1267" i="5"/>
  <c r="E1297" i="5"/>
  <c r="E1266" i="5"/>
  <c r="J1278" i="5" s="1"/>
  <c r="F1297" i="5"/>
  <c r="F1266" i="5"/>
  <c r="K1278" i="5" s="1"/>
  <c r="E1268" i="5"/>
  <c r="E1299" i="5"/>
  <c r="F1299" i="5"/>
  <c r="F1268" i="5"/>
  <c r="K1280" i="5" s="1"/>
  <c r="E1300" i="5"/>
  <c r="E1269" i="5"/>
  <c r="F1300" i="5"/>
  <c r="F1269" i="5"/>
  <c r="E1301" i="5"/>
  <c r="J1313" i="5" s="1"/>
  <c r="E1270" i="5"/>
  <c r="J1282" i="5" s="1"/>
  <c r="F1270" i="5"/>
  <c r="K1282" i="5" s="1"/>
  <c r="F1301" i="5"/>
  <c r="K1313" i="5" s="1"/>
  <c r="G26" i="5"/>
  <c r="H26" i="5"/>
  <c r="G32" i="5"/>
  <c r="G133" i="5"/>
  <c r="D95" i="5" s="1"/>
  <c r="U497" i="5"/>
  <c r="U499" i="5"/>
  <c r="U502" i="5"/>
  <c r="U498" i="5"/>
  <c r="U496" i="5"/>
  <c r="C516" i="5"/>
  <c r="C503" i="5"/>
  <c r="Z200" i="5"/>
  <c r="Y200" i="5"/>
  <c r="X200" i="5"/>
  <c r="W200" i="5"/>
  <c r="Z201" i="5"/>
  <c r="X201" i="5"/>
  <c r="Y201" i="5"/>
  <c r="W201" i="5"/>
  <c r="X32" i="5"/>
  <c r="W32" i="5"/>
  <c r="Y32" i="5"/>
  <c r="W31" i="5"/>
  <c r="X31" i="5"/>
  <c r="Y31" i="5"/>
  <c r="X30" i="5"/>
  <c r="W30" i="5"/>
  <c r="Y30" i="5"/>
  <c r="AA30" i="5"/>
  <c r="T31" i="5"/>
  <c r="C14" i="5"/>
  <c r="C13" i="5"/>
  <c r="D9" i="5"/>
  <c r="D370" i="7" s="1"/>
  <c r="C529" i="5"/>
  <c r="C515" i="5"/>
  <c r="C502" i="5"/>
  <c r="C528" i="5"/>
  <c r="D13" i="5"/>
  <c r="D374" i="7" s="1"/>
  <c r="K31" i="5"/>
  <c r="U31" i="5"/>
  <c r="AA31" i="5"/>
  <c r="T30" i="5"/>
  <c r="U30" i="5"/>
  <c r="R718" i="5"/>
  <c r="T718" i="5" s="1"/>
  <c r="U723" i="5"/>
  <c r="R723" i="5"/>
  <c r="T723" i="5" s="1"/>
  <c r="R706" i="5"/>
  <c r="T706" i="5" s="1"/>
  <c r="P715" i="5"/>
  <c r="I444" i="5"/>
  <c r="J444" i="5"/>
  <c r="K444" i="5"/>
  <c r="L444" i="5"/>
  <c r="C454" i="5"/>
  <c r="I421" i="7" l="1"/>
  <c r="I425" i="7"/>
  <c r="E95" i="5"/>
  <c r="F95" i="5" s="1"/>
  <c r="D108" i="7"/>
  <c r="D211" i="7" s="1"/>
  <c r="D32" i="7" s="1"/>
  <c r="L1278" i="5"/>
  <c r="D1287" i="5" s="1"/>
  <c r="G1287" i="5" s="1"/>
  <c r="G1277" i="5"/>
  <c r="D1277" i="5"/>
  <c r="H1280" i="5"/>
  <c r="E1280" i="5"/>
  <c r="E1279" i="5"/>
  <c r="H1279" i="5"/>
  <c r="J1281" i="5"/>
  <c r="G1281" i="5"/>
  <c r="D1281" i="5"/>
  <c r="H1311" i="5"/>
  <c r="K1311" i="5"/>
  <c r="E1311" i="5"/>
  <c r="H1310" i="5"/>
  <c r="K1310" i="5"/>
  <c r="E1310" i="5"/>
  <c r="E1313" i="5"/>
  <c r="H1313" i="5"/>
  <c r="H1282" i="5"/>
  <c r="E1282" i="5"/>
  <c r="D1311" i="5"/>
  <c r="G1311" i="5"/>
  <c r="J1311" i="5"/>
  <c r="D1279" i="5"/>
  <c r="G1279" i="5"/>
  <c r="H1312" i="5"/>
  <c r="E1312" i="5"/>
  <c r="K1312" i="5"/>
  <c r="D1309" i="5"/>
  <c r="G1309" i="5"/>
  <c r="J1309" i="5"/>
  <c r="D1312" i="5"/>
  <c r="J1312" i="5"/>
  <c r="G1312" i="5"/>
  <c r="D1282" i="5"/>
  <c r="G1282" i="5"/>
  <c r="G1280" i="5"/>
  <c r="D1280" i="5"/>
  <c r="K1279" i="5"/>
  <c r="L1279" i="5" s="1"/>
  <c r="D1288" i="5" s="1"/>
  <c r="D1313" i="5"/>
  <c r="G1313" i="5"/>
  <c r="L1313" i="5"/>
  <c r="J1280" i="5"/>
  <c r="L1280" i="5" s="1"/>
  <c r="D1289" i="5" s="1"/>
  <c r="G1289" i="5" s="1"/>
  <c r="D1310" i="5"/>
  <c r="G1310" i="5"/>
  <c r="J1310" i="5"/>
  <c r="L1282" i="5"/>
  <c r="D1291" i="5" s="1"/>
  <c r="G1291" i="5" s="1"/>
  <c r="H1278" i="5"/>
  <c r="E1278" i="5"/>
  <c r="E1309" i="5"/>
  <c r="H1309" i="5"/>
  <c r="K1309" i="5"/>
  <c r="K1277" i="5"/>
  <c r="H1277" i="5"/>
  <c r="K1281" i="5"/>
  <c r="H1281" i="5"/>
  <c r="E1281" i="5"/>
  <c r="D1278" i="5"/>
  <c r="G1278" i="5"/>
  <c r="J1277" i="5"/>
  <c r="D74" i="5"/>
  <c r="D87" i="7" s="1"/>
  <c r="D190" i="7" s="1"/>
  <c r="AC200" i="5"/>
  <c r="AC201" i="5"/>
  <c r="AB200" i="5"/>
  <c r="AB201" i="5"/>
  <c r="Z31" i="5"/>
  <c r="Z30" i="5"/>
  <c r="Z32" i="5"/>
  <c r="C412" i="5"/>
  <c r="E13" i="5"/>
  <c r="D14" i="5"/>
  <c r="D375" i="7" s="1"/>
  <c r="C409" i="5"/>
  <c r="C390" i="5"/>
  <c r="C433" i="5"/>
  <c r="C467" i="5"/>
  <c r="C451" i="5"/>
  <c r="K201" i="5"/>
  <c r="V723" i="5"/>
  <c r="Q715" i="5"/>
  <c r="S715" i="5" s="1"/>
  <c r="R715" i="5"/>
  <c r="T715" i="5" s="1"/>
  <c r="P716" i="5"/>
  <c r="E374" i="7" l="1"/>
  <c r="L13" i="5"/>
  <c r="G374" i="7"/>
  <c r="I426" i="7"/>
  <c r="D11" i="7"/>
  <c r="I190" i="7"/>
  <c r="F11" i="7" s="1"/>
  <c r="I211" i="7"/>
  <c r="F32" i="7" s="1"/>
  <c r="F108" i="7"/>
  <c r="H211" i="7" s="1"/>
  <c r="E108" i="7"/>
  <c r="F211" i="7" s="1"/>
  <c r="E32" i="7" s="1"/>
  <c r="F1312" i="5"/>
  <c r="E1321" i="5" s="1"/>
  <c r="H1321" i="5" s="1"/>
  <c r="F1313" i="5"/>
  <c r="E1322" i="5" s="1"/>
  <c r="H1322" i="5" s="1"/>
  <c r="L1312" i="5"/>
  <c r="D1321" i="5" s="1"/>
  <c r="G1321" i="5" s="1"/>
  <c r="I1313" i="5"/>
  <c r="F1322" i="5" s="1"/>
  <c r="I1322" i="5" s="1"/>
  <c r="L1311" i="5"/>
  <c r="D1320" i="5" s="1"/>
  <c r="G1320" i="5" s="1"/>
  <c r="I1311" i="5"/>
  <c r="F1320" i="5" s="1"/>
  <c r="I1320" i="5" s="1"/>
  <c r="G1288" i="5"/>
  <c r="D268" i="5"/>
  <c r="D135" i="7" s="1"/>
  <c r="D234" i="7" s="1"/>
  <c r="D55" i="7" s="1"/>
  <c r="I1280" i="5"/>
  <c r="F1289" i="5" s="1"/>
  <c r="I1289" i="5" s="1"/>
  <c r="F1310" i="5"/>
  <c r="E1319" i="5" s="1"/>
  <c r="H1319" i="5" s="1"/>
  <c r="D269" i="5"/>
  <c r="I1282" i="5"/>
  <c r="F1291" i="5" s="1"/>
  <c r="I1291" i="5" s="1"/>
  <c r="F1279" i="5"/>
  <c r="E1288" i="5" s="1"/>
  <c r="H1288" i="5" s="1"/>
  <c r="I1312" i="5"/>
  <c r="F1321" i="5" s="1"/>
  <c r="I1321" i="5" s="1"/>
  <c r="D1322" i="5"/>
  <c r="G1322" i="5" s="1"/>
  <c r="I1309" i="5"/>
  <c r="F1318" i="5" s="1"/>
  <c r="I1318" i="5" s="1"/>
  <c r="F1309" i="5"/>
  <c r="E1318" i="5" s="1"/>
  <c r="H1318" i="5" s="1"/>
  <c r="F1280" i="5"/>
  <c r="E1289" i="5" s="1"/>
  <c r="H1289" i="5" s="1"/>
  <c r="F1311" i="5"/>
  <c r="E1320" i="5" s="1"/>
  <c r="H1320" i="5" s="1"/>
  <c r="F1282" i="5"/>
  <c r="E1291" i="5" s="1"/>
  <c r="H1291" i="5" s="1"/>
  <c r="L1309" i="5"/>
  <c r="D1318" i="5" s="1"/>
  <c r="G1318" i="5" s="1"/>
  <c r="F1281" i="5"/>
  <c r="E1290" i="5" s="1"/>
  <c r="H1290" i="5" s="1"/>
  <c r="I1281" i="5"/>
  <c r="F1290" i="5" s="1"/>
  <c r="I1290" i="5" s="1"/>
  <c r="L1281" i="5"/>
  <c r="D1290" i="5" s="1"/>
  <c r="G1290" i="5" s="1"/>
  <c r="F1277" i="5"/>
  <c r="E1286" i="5" s="1"/>
  <c r="H1286" i="5" s="1"/>
  <c r="L1310" i="5"/>
  <c r="D1319" i="5" s="1"/>
  <c r="G1319" i="5" s="1"/>
  <c r="I1277" i="5"/>
  <c r="F1286" i="5" s="1"/>
  <c r="I1286" i="5" s="1"/>
  <c r="I1310" i="5"/>
  <c r="F1319" i="5" s="1"/>
  <c r="I1319" i="5" s="1"/>
  <c r="L1277" i="5"/>
  <c r="D1286" i="5" s="1"/>
  <c r="G1286" i="5" s="1"/>
  <c r="I1278" i="5"/>
  <c r="F1287" i="5" s="1"/>
  <c r="I1287" i="5" s="1"/>
  <c r="F1278" i="5"/>
  <c r="E1287" i="5" s="1"/>
  <c r="H1287" i="5" s="1"/>
  <c r="I1279" i="5"/>
  <c r="F1288" i="5" s="1"/>
  <c r="I1288" i="5" s="1"/>
  <c r="AB30" i="5"/>
  <c r="AB31" i="5"/>
  <c r="AB32" i="5"/>
  <c r="F13" i="5"/>
  <c r="F374" i="7" s="1"/>
  <c r="P374" i="7" s="1"/>
  <c r="E14" i="5"/>
  <c r="AB516" i="5"/>
  <c r="E412" i="5" s="1"/>
  <c r="Q716" i="5"/>
  <c r="S716" i="5" s="1"/>
  <c r="R716" i="5"/>
  <c r="T716" i="5" s="1"/>
  <c r="P717" i="5"/>
  <c r="J425" i="7" l="1"/>
  <c r="E375" i="7"/>
  <c r="L14" i="5"/>
  <c r="G375" i="7"/>
  <c r="L425" i="7"/>
  <c r="E281" i="7"/>
  <c r="E303" i="7" s="1"/>
  <c r="E287" i="7"/>
  <c r="E309" i="7" s="1"/>
  <c r="K211" i="7" a="1"/>
  <c r="K211" i="7" s="1"/>
  <c r="G32" i="7" s="1"/>
  <c r="I234" i="7"/>
  <c r="F55" i="7" s="1"/>
  <c r="E269" i="5"/>
  <c r="D136" i="7"/>
  <c r="D235" i="7" s="1"/>
  <c r="D56" i="7" s="1"/>
  <c r="D178" i="5"/>
  <c r="D447" i="7" s="1"/>
  <c r="AJ528" i="5"/>
  <c r="F435" i="5" s="1"/>
  <c r="M435" i="5" s="1"/>
  <c r="AJ515" i="5"/>
  <c r="E435" i="5" s="1"/>
  <c r="AI528" i="5"/>
  <c r="F434" i="5" s="1"/>
  <c r="M434" i="5" s="1"/>
  <c r="AI515" i="5"/>
  <c r="E434" i="5" s="1"/>
  <c r="AD528" i="5"/>
  <c r="F411" i="5" s="1"/>
  <c r="AD515" i="5"/>
  <c r="E411" i="5" s="1"/>
  <c r="AC528" i="5"/>
  <c r="F410" i="5" s="1"/>
  <c r="M410" i="5" s="1"/>
  <c r="AC515" i="5"/>
  <c r="E410" i="5" s="1"/>
  <c r="S528" i="5"/>
  <c r="F392" i="5" s="1"/>
  <c r="M392" i="5" s="1"/>
  <c r="S515" i="5"/>
  <c r="E392" i="5" s="1"/>
  <c r="R528" i="5"/>
  <c r="F391" i="5" s="1"/>
  <c r="M391" i="5" s="1"/>
  <c r="R515" i="5"/>
  <c r="E391" i="5" s="1"/>
  <c r="AH528" i="5"/>
  <c r="AH515" i="5"/>
  <c r="Q528" i="5"/>
  <c r="Q515" i="5"/>
  <c r="X528" i="5"/>
  <c r="X515" i="5"/>
  <c r="AB528" i="5"/>
  <c r="AB515" i="5"/>
  <c r="F528" i="5"/>
  <c r="F515" i="5"/>
  <c r="F14" i="5"/>
  <c r="F375" i="7" s="1"/>
  <c r="P375" i="7" s="1"/>
  <c r="AB529" i="5"/>
  <c r="F412" i="5" s="1"/>
  <c r="M412" i="5" s="1"/>
  <c r="Q717" i="5"/>
  <c r="S717" i="5" s="1"/>
  <c r="R717" i="5"/>
  <c r="T717" i="5" s="1"/>
  <c r="P719" i="5"/>
  <c r="L402" i="5"/>
  <c r="K402" i="5"/>
  <c r="J402" i="5"/>
  <c r="I402" i="5"/>
  <c r="L422" i="5"/>
  <c r="K422" i="5"/>
  <c r="J422" i="5"/>
  <c r="I422" i="5"/>
  <c r="J426" i="7" l="1"/>
  <c r="G411" i="5"/>
  <c r="M411" i="5"/>
  <c r="I498" i="7"/>
  <c r="L426" i="7"/>
  <c r="E292" i="7"/>
  <c r="E314" i="7" s="1"/>
  <c r="F287" i="7"/>
  <c r="F309" i="7" s="1"/>
  <c r="E268" i="5"/>
  <c r="F269" i="5"/>
  <c r="F136" i="7" s="1"/>
  <c r="H235" i="7" s="1"/>
  <c r="E136" i="7"/>
  <c r="F235" i="7" s="1"/>
  <c r="E56" i="7" s="1"/>
  <c r="E178" i="5"/>
  <c r="F409" i="5"/>
  <c r="M409" i="5" s="1"/>
  <c r="F433" i="5"/>
  <c r="F390" i="5"/>
  <c r="E433" i="5"/>
  <c r="G434" i="5"/>
  <c r="G435" i="5"/>
  <c r="E409" i="5"/>
  <c r="G410" i="5"/>
  <c r="E390" i="5"/>
  <c r="G391" i="5"/>
  <c r="G392" i="5"/>
  <c r="Y528" i="5"/>
  <c r="Y515" i="5"/>
  <c r="Z528" i="5"/>
  <c r="Z515" i="5"/>
  <c r="H528" i="5"/>
  <c r="F469" i="5" s="1"/>
  <c r="M469" i="5" s="1"/>
  <c r="H515" i="5"/>
  <c r="E469" i="5" s="1"/>
  <c r="G528" i="5"/>
  <c r="F468" i="5" s="1"/>
  <c r="M468" i="5" s="1"/>
  <c r="G515" i="5"/>
  <c r="E468" i="5" s="1"/>
  <c r="G412" i="5"/>
  <c r="Q719" i="5"/>
  <c r="S719" i="5" s="1"/>
  <c r="R719" i="5"/>
  <c r="T719" i="5" s="1"/>
  <c r="P720" i="5"/>
  <c r="D485" i="5"/>
  <c r="D482" i="5"/>
  <c r="D479" i="5"/>
  <c r="D463" i="5"/>
  <c r="C501" i="5"/>
  <c r="D1114" i="5"/>
  <c r="D1113" i="5"/>
  <c r="E198" i="5"/>
  <c r="F602" i="5"/>
  <c r="F601" i="5"/>
  <c r="F600" i="5"/>
  <c r="C413" i="5"/>
  <c r="C436" i="5"/>
  <c r="D432" i="5"/>
  <c r="D431" i="5"/>
  <c r="D429" i="5"/>
  <c r="D428" i="5"/>
  <c r="D427" i="5"/>
  <c r="C393" i="5"/>
  <c r="C15" i="5"/>
  <c r="G433" i="5" l="1"/>
  <c r="M433" i="5"/>
  <c r="E447" i="7"/>
  <c r="J498" i="7" s="1"/>
  <c r="L178" i="5"/>
  <c r="G390" i="5"/>
  <c r="M390" i="5"/>
  <c r="G447" i="7"/>
  <c r="F268" i="5"/>
  <c r="F135" i="7" s="1"/>
  <c r="H234" i="7" s="1"/>
  <c r="E135" i="7"/>
  <c r="F234" i="7" s="1"/>
  <c r="E55" i="7" s="1"/>
  <c r="D198" i="5"/>
  <c r="D303" i="5"/>
  <c r="F178" i="5"/>
  <c r="F447" i="7" s="1"/>
  <c r="L498" i="7" s="1"/>
  <c r="E303" i="5"/>
  <c r="F467" i="5"/>
  <c r="M467" i="5" s="1"/>
  <c r="G409" i="5"/>
  <c r="E467" i="5"/>
  <c r="G468" i="5"/>
  <c r="G469" i="5"/>
  <c r="F452" i="5"/>
  <c r="M452" i="5" s="1"/>
  <c r="F453" i="5"/>
  <c r="M453" i="5" s="1"/>
  <c r="E452" i="5"/>
  <c r="E453" i="5"/>
  <c r="D1115" i="5"/>
  <c r="AD199" i="5"/>
  <c r="AD206" i="5"/>
  <c r="C510" i="5"/>
  <c r="C497" i="5"/>
  <c r="C512" i="5"/>
  <c r="C499" i="5"/>
  <c r="C513" i="5"/>
  <c r="C500" i="5"/>
  <c r="C498" i="5"/>
  <c r="C511" i="5"/>
  <c r="C509" i="5"/>
  <c r="C496" i="5"/>
  <c r="C514" i="5"/>
  <c r="K30" i="5"/>
  <c r="C12" i="5"/>
  <c r="Q720" i="5"/>
  <c r="S720" i="5" s="1"/>
  <c r="R720" i="5"/>
  <c r="T720" i="5" s="1"/>
  <c r="P722" i="5"/>
  <c r="D383" i="5"/>
  <c r="D382" i="5"/>
  <c r="K234" i="7" l="1" a="1"/>
  <c r="K234" i="7" s="1"/>
  <c r="G55" i="7" s="1"/>
  <c r="AD201" i="5"/>
  <c r="F451" i="5"/>
  <c r="M451" i="5" s="1"/>
  <c r="Q392" i="5"/>
  <c r="R392" i="5" s="1"/>
  <c r="Q380" i="5"/>
  <c r="Q404" i="5"/>
  <c r="Q429" i="5"/>
  <c r="P466" i="5"/>
  <c r="Q391" i="5"/>
  <c r="R391" i="5" s="1"/>
  <c r="Q428" i="5"/>
  <c r="P465" i="5"/>
  <c r="Q469" i="5"/>
  <c r="R469" i="5" s="1"/>
  <c r="Q448" i="5"/>
  <c r="R448" i="5" s="1"/>
  <c r="Q427" i="5"/>
  <c r="Q389" i="5"/>
  <c r="Q468" i="5"/>
  <c r="R468" i="5" s="1"/>
  <c r="Q447" i="5"/>
  <c r="Q388" i="5"/>
  <c r="Q425" i="5"/>
  <c r="R425" i="5" s="1"/>
  <c r="Q411" i="5"/>
  <c r="R411" i="5" s="1"/>
  <c r="Q466" i="5"/>
  <c r="Q386" i="5"/>
  <c r="R386" i="5" s="1"/>
  <c r="Q410" i="5"/>
  <c r="R410" i="5" s="1"/>
  <c r="Q465" i="5"/>
  <c r="Q435" i="5"/>
  <c r="R435" i="5" s="1"/>
  <c r="Q424" i="5"/>
  <c r="Q385" i="5"/>
  <c r="Q434" i="5"/>
  <c r="R434" i="5" s="1"/>
  <c r="Q408" i="5"/>
  <c r="Q383" i="5"/>
  <c r="Q407" i="5"/>
  <c r="Q453" i="5"/>
  <c r="Q432" i="5"/>
  <c r="P469" i="5"/>
  <c r="Q381" i="5"/>
  <c r="Q382" i="5"/>
  <c r="Q452" i="5"/>
  <c r="Q431" i="5"/>
  <c r="P468" i="5"/>
  <c r="Q405" i="5"/>
  <c r="R405" i="5" s="1"/>
  <c r="Q390" i="5"/>
  <c r="R390" i="5" s="1"/>
  <c r="Q409" i="5"/>
  <c r="R409" i="5" s="1"/>
  <c r="Q433" i="5"/>
  <c r="R433" i="5" s="1"/>
  <c r="Q467" i="5"/>
  <c r="P467" i="5"/>
  <c r="Q412" i="5"/>
  <c r="R412" i="5" s="1"/>
  <c r="Q451" i="5"/>
  <c r="P381" i="5"/>
  <c r="P404" i="5"/>
  <c r="P425" i="5"/>
  <c r="P405" i="5"/>
  <c r="P392" i="5"/>
  <c r="P380" i="5"/>
  <c r="P424" i="5"/>
  <c r="P391" i="5"/>
  <c r="P435" i="5"/>
  <c r="P434" i="5"/>
  <c r="P453" i="5"/>
  <c r="P389" i="5"/>
  <c r="P452" i="5"/>
  <c r="P382" i="5"/>
  <c r="P388" i="5"/>
  <c r="P411" i="5"/>
  <c r="P432" i="5"/>
  <c r="P410" i="5"/>
  <c r="P431" i="5"/>
  <c r="P386" i="5"/>
  <c r="P385" i="5"/>
  <c r="P408" i="5"/>
  <c r="P429" i="5"/>
  <c r="P448" i="5"/>
  <c r="P407" i="5"/>
  <c r="P428" i="5"/>
  <c r="P447" i="5"/>
  <c r="P383" i="5"/>
  <c r="P427" i="5"/>
  <c r="P390" i="5"/>
  <c r="P412" i="5"/>
  <c r="P409" i="5"/>
  <c r="P451" i="5"/>
  <c r="P433" i="5"/>
  <c r="G467" i="5"/>
  <c r="E451" i="5"/>
  <c r="G453" i="5"/>
  <c r="G452" i="5"/>
  <c r="C387" i="5"/>
  <c r="C384" i="5"/>
  <c r="C378" i="5"/>
  <c r="C379" i="5"/>
  <c r="C450" i="5"/>
  <c r="C430" i="5"/>
  <c r="K200" i="5"/>
  <c r="Q722" i="5"/>
  <c r="S722" i="5" s="1"/>
  <c r="R722" i="5"/>
  <c r="T722" i="5" s="1"/>
  <c r="F292" i="7" l="1"/>
  <c r="F314" i="7" s="1"/>
  <c r="G314" i="7" s="1"/>
  <c r="R467" i="5"/>
  <c r="R452" i="5"/>
  <c r="R453" i="5"/>
  <c r="P450" i="5"/>
  <c r="Q450" i="5"/>
  <c r="P379" i="5"/>
  <c r="Q379" i="5"/>
  <c r="P378" i="5"/>
  <c r="Q378" i="5"/>
  <c r="P384" i="5"/>
  <c r="Q384" i="5"/>
  <c r="P387" i="5"/>
  <c r="Q387" i="5"/>
  <c r="P430" i="5"/>
  <c r="Q430" i="5"/>
  <c r="D336" i="5"/>
  <c r="H1193" i="5" l="1"/>
  <c r="H1192" i="5"/>
  <c r="H1191" i="5"/>
  <c r="H1190" i="5"/>
  <c r="H1189" i="5"/>
  <c r="H1188" i="5"/>
  <c r="H1187" i="5"/>
  <c r="H1186" i="5"/>
  <c r="D177" i="5" l="1"/>
  <c r="D446" i="7" s="1"/>
  <c r="D267" i="5"/>
  <c r="D134" i="7" s="1"/>
  <c r="D233" i="7" s="1"/>
  <c r="D54" i="7" s="1"/>
  <c r="AE514" i="5"/>
  <c r="AB514" i="5"/>
  <c r="I497" i="7" l="1"/>
  <c r="I233" i="7"/>
  <c r="F54" i="7" s="1"/>
  <c r="E407" i="5"/>
  <c r="E408" i="5"/>
  <c r="E291" i="7" l="1"/>
  <c r="E313" i="7" s="1"/>
  <c r="K233" i="7"/>
  <c r="E406" i="5"/>
  <c r="H1329" i="5"/>
  <c r="I1331" i="5"/>
  <c r="D1329" i="5"/>
  <c r="E1332" i="5" s="1"/>
  <c r="E319" i="5" s="1"/>
  <c r="E1331" i="5"/>
  <c r="F291" i="7" l="1"/>
  <c r="F313" i="7" s="1"/>
  <c r="G313" i="7" s="1"/>
  <c r="G54" i="7"/>
  <c r="D320" i="5"/>
  <c r="D278" i="5"/>
  <c r="D143" i="7" s="1"/>
  <c r="D242" i="7" s="1"/>
  <c r="D63" i="7" s="1"/>
  <c r="D319" i="5"/>
  <c r="D277" i="5"/>
  <c r="D142" i="7" s="1"/>
  <c r="D241" i="7" s="1"/>
  <c r="D62" i="7" s="1"/>
  <c r="L1329" i="5"/>
  <c r="I1332" i="5"/>
  <c r="E277" i="5" l="1"/>
  <c r="L1330" i="5"/>
  <c r="E208" i="5" s="1"/>
  <c r="E320" i="5"/>
  <c r="E278" i="5" s="1"/>
  <c r="D276" i="5"/>
  <c r="D141" i="7" s="1"/>
  <c r="D240" i="7" s="1"/>
  <c r="D61" i="7" s="1"/>
  <c r="D208" i="5"/>
  <c r="D318" i="5"/>
  <c r="D185" i="5"/>
  <c r="D451" i="7" s="1"/>
  <c r="K208" i="5"/>
  <c r="U208" i="5"/>
  <c r="V208" i="5"/>
  <c r="I502" i="7" l="1"/>
  <c r="J240" i="7"/>
  <c r="F61" i="7" s="1"/>
  <c r="F278" i="5"/>
  <c r="F143" i="7" s="1"/>
  <c r="H242" i="7" s="1"/>
  <c r="E143" i="7"/>
  <c r="F242" i="7" s="1"/>
  <c r="E63" i="7" s="1"/>
  <c r="F277" i="5"/>
  <c r="F142" i="7" s="1"/>
  <c r="H241" i="7" s="1"/>
  <c r="E142" i="7"/>
  <c r="F241" i="7" s="1"/>
  <c r="E62" i="7" s="1"/>
  <c r="E318" i="5"/>
  <c r="E276" i="5" s="1"/>
  <c r="E141" i="7" s="1"/>
  <c r="F240" i="7" s="1"/>
  <c r="E61" i="7" s="1"/>
  <c r="E185" i="5"/>
  <c r="AA208" i="5"/>
  <c r="T208" i="5"/>
  <c r="Z208" i="5"/>
  <c r="W208" i="5"/>
  <c r="E451" i="7" l="1"/>
  <c r="G451" i="7" s="1"/>
  <c r="L185" i="5"/>
  <c r="K240" i="7" a="1"/>
  <c r="K240" i="7" s="1"/>
  <c r="G61" i="7" s="1"/>
  <c r="E296" i="7"/>
  <c r="E318" i="7" s="1"/>
  <c r="F185" i="5"/>
  <c r="F451" i="7" s="1"/>
  <c r="X208" i="5"/>
  <c r="Y208" i="5"/>
  <c r="F296" i="7" l="1"/>
  <c r="F318" i="7" s="1"/>
  <c r="G318" i="7" s="1"/>
  <c r="AC208" i="5"/>
  <c r="AB208" i="5"/>
  <c r="D613" i="5"/>
  <c r="D610" i="5" l="1"/>
  <c r="E205" i="5"/>
  <c r="E315" i="5"/>
  <c r="AD208" i="5"/>
  <c r="K205" i="5"/>
  <c r="U205" i="5"/>
  <c r="V205" i="5"/>
  <c r="E273" i="5" l="1"/>
  <c r="E182" i="5"/>
  <c r="AA205" i="5"/>
  <c r="T205" i="5"/>
  <c r="Z205" i="5"/>
  <c r="W205" i="5"/>
  <c r="E449" i="7" l="1"/>
  <c r="J502" i="7" s="1"/>
  <c r="L182" i="5"/>
  <c r="F182" i="5"/>
  <c r="F449" i="7" s="1"/>
  <c r="L502" i="7" s="1"/>
  <c r="F273" i="5"/>
  <c r="F138" i="7" s="1"/>
  <c r="H237" i="7" s="1"/>
  <c r="E138" i="7"/>
  <c r="F237" i="7" s="1"/>
  <c r="E58" i="7" s="1"/>
  <c r="X205" i="5"/>
  <c r="Y205" i="5"/>
  <c r="H1202" i="5"/>
  <c r="C1217" i="5"/>
  <c r="D126" i="5" s="1"/>
  <c r="G449" i="7" l="1"/>
  <c r="D1225" i="5"/>
  <c r="D1227" i="5" s="1"/>
  <c r="G126" i="5" s="1"/>
  <c r="D30" i="5"/>
  <c r="E125" i="5"/>
  <c r="E87" i="5" s="1"/>
  <c r="F87" i="5" s="1"/>
  <c r="E29" i="5"/>
  <c r="AC205" i="5"/>
  <c r="AB205" i="5"/>
  <c r="E1225" i="5"/>
  <c r="E1227" i="5" s="1"/>
  <c r="H126" i="5" s="1"/>
  <c r="D88" i="5" l="1"/>
  <c r="F100" i="7"/>
  <c r="H203" i="7" s="1"/>
  <c r="E100" i="7"/>
  <c r="F203" i="7" s="1"/>
  <c r="E24" i="7" s="1"/>
  <c r="H30" i="5"/>
  <c r="G30" i="5"/>
  <c r="AD205" i="5"/>
  <c r="I1022" i="5"/>
  <c r="D1016" i="5" s="1"/>
  <c r="E88" i="5" l="1"/>
  <c r="E101" i="7" s="1"/>
  <c r="F204" i="7" s="1"/>
  <c r="E25" i="7" s="1"/>
  <c r="D101" i="7"/>
  <c r="D204" i="7" s="1"/>
  <c r="D25" i="7" s="1"/>
  <c r="F90" i="5"/>
  <c r="D279" i="5"/>
  <c r="D186" i="5"/>
  <c r="D452" i="7" s="1"/>
  <c r="D12" i="5"/>
  <c r="D373" i="7" s="1"/>
  <c r="G602" i="5"/>
  <c r="G601" i="5"/>
  <c r="G600" i="5"/>
  <c r="F587" i="5"/>
  <c r="F586" i="5"/>
  <c r="D589" i="5"/>
  <c r="D590" i="5" s="1"/>
  <c r="E588" i="5"/>
  <c r="E589" i="5" s="1"/>
  <c r="I503" i="7" l="1"/>
  <c r="I424" i="7"/>
  <c r="J204" i="7"/>
  <c r="F25" i="7" s="1"/>
  <c r="E186" i="5"/>
  <c r="E12" i="5"/>
  <c r="E279" i="5"/>
  <c r="E144" i="7" s="1"/>
  <c r="F243" i="7" s="1"/>
  <c r="E64" i="7" s="1"/>
  <c r="D144" i="7"/>
  <c r="D243" i="7" s="1"/>
  <c r="D64" i="7" s="1"/>
  <c r="F103" i="7"/>
  <c r="H206" i="7" s="1"/>
  <c r="E103" i="7"/>
  <c r="F12" i="5"/>
  <c r="F373" i="7" s="1"/>
  <c r="F588" i="5"/>
  <c r="F589" i="5" s="1"/>
  <c r="F590" i="5" s="1"/>
  <c r="E590" i="5"/>
  <c r="H552" i="5"/>
  <c r="E373" i="7" l="1"/>
  <c r="L12" i="5"/>
  <c r="E452" i="7"/>
  <c r="G452" i="7" s="1"/>
  <c r="L186" i="5"/>
  <c r="G373" i="7"/>
  <c r="L424" i="7"/>
  <c r="E285" i="7"/>
  <c r="E307" i="7" s="1"/>
  <c r="J243" i="7"/>
  <c r="F64" i="7" s="1"/>
  <c r="K243" i="7" a="1"/>
  <c r="K243" i="7" s="1"/>
  <c r="G64" i="7" s="1"/>
  <c r="F206" i="7"/>
  <c r="E27" i="7" s="1"/>
  <c r="F186" i="5"/>
  <c r="F452" i="7" s="1"/>
  <c r="D250" i="5"/>
  <c r="D117" i="7" s="1"/>
  <c r="D216" i="7" s="1"/>
  <c r="D173" i="5"/>
  <c r="D8" i="5"/>
  <c r="D369" i="7" s="1"/>
  <c r="D579" i="5"/>
  <c r="X526" i="5"/>
  <c r="E526" i="5"/>
  <c r="J424" i="7" l="1"/>
  <c r="P373" i="7"/>
  <c r="D443" i="7"/>
  <c r="I494" i="7"/>
  <c r="I420" i="7"/>
  <c r="I216" i="7"/>
  <c r="F37" i="7" s="1"/>
  <c r="D37" i="7"/>
  <c r="F297" i="7"/>
  <c r="F319" i="7" s="1"/>
  <c r="G319" i="7" s="1"/>
  <c r="E297" i="7"/>
  <c r="E319" i="7" s="1"/>
  <c r="K204" i="7" a="1"/>
  <c r="K204" i="7" s="1"/>
  <c r="G25" i="7" s="1"/>
  <c r="D272" i="5"/>
  <c r="D137" i="7" s="1"/>
  <c r="D236" i="7" s="1"/>
  <c r="D57" i="7" s="1"/>
  <c r="D181" i="5"/>
  <c r="D448" i="7" s="1"/>
  <c r="F449" i="5"/>
  <c r="M449" i="5" s="1"/>
  <c r="I499" i="7" l="1"/>
  <c r="K216" i="7"/>
  <c r="E288" i="7"/>
  <c r="E310" i="7" s="1"/>
  <c r="I236" i="7"/>
  <c r="F57" i="7" s="1"/>
  <c r="F285" i="7"/>
  <c r="F307" i="7" s="1"/>
  <c r="G449" i="5"/>
  <c r="E293" i="7" l="1"/>
  <c r="E315" i="7" s="1"/>
  <c r="K236" i="7"/>
  <c r="G57" i="7" s="1"/>
  <c r="G37" i="7"/>
  <c r="F288" i="7"/>
  <c r="F310" i="7" s="1"/>
  <c r="G310" i="7" s="1"/>
  <c r="AN510" i="5"/>
  <c r="AN509" i="5"/>
  <c r="B527" i="5"/>
  <c r="B526" i="5"/>
  <c r="B525" i="5"/>
  <c r="B524" i="5"/>
  <c r="B523" i="5"/>
  <c r="B522" i="5"/>
  <c r="X513" i="5"/>
  <c r="E513" i="5"/>
  <c r="I602" i="5"/>
  <c r="X523" i="5" s="1"/>
  <c r="I601" i="5"/>
  <c r="D523" i="5" s="1"/>
  <c r="H602" i="5"/>
  <c r="H601" i="5"/>
  <c r="H551" i="5"/>
  <c r="G552" i="5"/>
  <c r="E196" i="5" s="1"/>
  <c r="G551" i="5"/>
  <c r="G550" i="5"/>
  <c r="I550" i="5" s="1"/>
  <c r="I522" i="5" s="1"/>
  <c r="F293" i="7" l="1"/>
  <c r="F315" i="7" s="1"/>
  <c r="G315" i="7" s="1"/>
  <c r="E250" i="5"/>
  <c r="F250" i="5" s="1"/>
  <c r="F117" i="7" s="1"/>
  <c r="H216" i="7" s="1"/>
  <c r="E173" i="5"/>
  <c r="I552" i="5"/>
  <c r="E291" i="5"/>
  <c r="E449" i="5"/>
  <c r="F445" i="5"/>
  <c r="M445" i="5" s="1"/>
  <c r="F488" i="5"/>
  <c r="F463" i="5"/>
  <c r="M463" i="5" s="1"/>
  <c r="I551" i="5"/>
  <c r="P509" i="5"/>
  <c r="E378" i="5" s="1"/>
  <c r="D510" i="5"/>
  <c r="X510" i="5"/>
  <c r="E443" i="7" l="1"/>
  <c r="G443" i="7" s="1"/>
  <c r="L173" i="5"/>
  <c r="J494" i="7"/>
  <c r="E117" i="7"/>
  <c r="F216" i="7" s="1"/>
  <c r="E37" i="7" s="1"/>
  <c r="F173" i="5"/>
  <c r="G488" i="5"/>
  <c r="G463" i="5"/>
  <c r="G445" i="5"/>
  <c r="E445" i="5"/>
  <c r="E488" i="5"/>
  <c r="P522" i="5"/>
  <c r="G1193" i="5"/>
  <c r="I1193" i="5" s="1"/>
  <c r="G1192" i="5"/>
  <c r="I1192" i="5" s="1"/>
  <c r="G1191" i="5"/>
  <c r="I1191" i="5" s="1"/>
  <c r="G1190" i="5"/>
  <c r="I1190" i="5" s="1"/>
  <c r="G1189" i="5"/>
  <c r="I1189" i="5" s="1"/>
  <c r="G1188" i="5"/>
  <c r="I1188" i="5" s="1"/>
  <c r="G1187" i="5"/>
  <c r="I1187" i="5" s="1"/>
  <c r="F443" i="7" l="1"/>
  <c r="L494" i="7" s="1"/>
  <c r="AE527" i="5"/>
  <c r="F378" i="5"/>
  <c r="M378" i="5" s="1"/>
  <c r="AB527" i="5"/>
  <c r="F407" i="5" l="1"/>
  <c r="M407" i="5" s="1"/>
  <c r="F408" i="5"/>
  <c r="M408" i="5" s="1"/>
  <c r="F406" i="5" l="1"/>
  <c r="M406" i="5" s="1"/>
  <c r="G408" i="5"/>
  <c r="R408" i="5" s="1"/>
  <c r="G407" i="5"/>
  <c r="R407" i="5" s="1"/>
  <c r="Y524" i="5"/>
  <c r="F447" i="5" s="1"/>
  <c r="N524" i="5"/>
  <c r="F486" i="5" s="1"/>
  <c r="F485" i="5" s="1"/>
  <c r="L524" i="5"/>
  <c r="F483" i="5" s="1"/>
  <c r="F482" i="5" s="1"/>
  <c r="J524" i="5"/>
  <c r="F480" i="5" s="1"/>
  <c r="F479" i="5" s="1"/>
  <c r="AC524" i="5"/>
  <c r="F404" i="5" s="1"/>
  <c r="M404" i="5" s="1"/>
  <c r="F446" i="5" l="1"/>
  <c r="M446" i="5" s="1"/>
  <c r="M447" i="5"/>
  <c r="F403" i="5"/>
  <c r="M403" i="5" s="1"/>
  <c r="G404" i="5"/>
  <c r="R404" i="5" s="1"/>
  <c r="G486" i="5"/>
  <c r="G485" i="5"/>
  <c r="G480" i="5"/>
  <c r="G479" i="5"/>
  <c r="G483" i="5"/>
  <c r="G482" i="5"/>
  <c r="G447" i="5"/>
  <c r="R447" i="5" s="1"/>
  <c r="G406" i="5"/>
  <c r="R524" i="5"/>
  <c r="F385" i="5" s="1"/>
  <c r="AI524" i="5"/>
  <c r="F424" i="5" s="1"/>
  <c r="R511" i="5"/>
  <c r="E385" i="5" s="1"/>
  <c r="J511" i="5"/>
  <c r="E480" i="5" s="1"/>
  <c r="AI511" i="5"/>
  <c r="E424" i="5" s="1"/>
  <c r="L511" i="5"/>
  <c r="E483" i="5" s="1"/>
  <c r="N511" i="5"/>
  <c r="E486" i="5" s="1"/>
  <c r="Y511" i="5"/>
  <c r="E447" i="5" s="1"/>
  <c r="AC511" i="5"/>
  <c r="E404" i="5" s="1"/>
  <c r="F423" i="5" l="1"/>
  <c r="M423" i="5" s="1"/>
  <c r="M424" i="5"/>
  <c r="F384" i="5"/>
  <c r="M384" i="5" s="1"/>
  <c r="M385" i="5"/>
  <c r="G385" i="5"/>
  <c r="R385" i="5" s="1"/>
  <c r="E384" i="5"/>
  <c r="E403" i="5"/>
  <c r="E423" i="5"/>
  <c r="G424" i="5"/>
  <c r="R424" i="5" s="1"/>
  <c r="E482" i="5"/>
  <c r="E342" i="5" s="1"/>
  <c r="E479" i="5"/>
  <c r="E485" i="5"/>
  <c r="E343" i="5" s="1"/>
  <c r="E446" i="5"/>
  <c r="G446" i="5"/>
  <c r="G403" i="5"/>
  <c r="E413" i="5" l="1" a="1"/>
  <c r="E413" i="5" s="1"/>
  <c r="G342" i="5"/>
  <c r="K403" i="5" a="1"/>
  <c r="K403" i="5" s="1"/>
  <c r="K413" i="5" s="1"/>
  <c r="J406" i="5" a="1"/>
  <c r="J406" i="5" s="1"/>
  <c r="J413" i="5" s="1"/>
  <c r="I403" i="5" a="1"/>
  <c r="I403" i="5" s="1"/>
  <c r="I413" i="5" s="1"/>
  <c r="L406" i="5" a="1"/>
  <c r="L406" i="5" s="1"/>
  <c r="L413" i="5" s="1"/>
  <c r="I343" i="5"/>
  <c r="G343" i="5"/>
  <c r="I342" i="5"/>
  <c r="F415" i="5"/>
  <c r="E415" i="5"/>
  <c r="E337" i="5" s="1"/>
  <c r="G415" i="5"/>
  <c r="J343" i="5"/>
  <c r="J342" i="5"/>
  <c r="E341" i="5"/>
  <c r="G384" i="5"/>
  <c r="R384" i="5" s="1"/>
  <c r="G423" i="5"/>
  <c r="E9" i="5"/>
  <c r="G1186" i="5"/>
  <c r="E200" i="5" s="1"/>
  <c r="I581" i="5"/>
  <c r="I580" i="5"/>
  <c r="H579" i="5"/>
  <c r="F579" i="5"/>
  <c r="H733" i="5"/>
  <c r="E370" i="7" l="1"/>
  <c r="L9" i="5"/>
  <c r="J421" i="7"/>
  <c r="E177" i="5"/>
  <c r="E267" i="5"/>
  <c r="E207" i="5"/>
  <c r="E184" i="5" s="1"/>
  <c r="E317" i="5"/>
  <c r="E275" i="5" s="1"/>
  <c r="D204" i="5"/>
  <c r="D312" i="5"/>
  <c r="E204" i="5"/>
  <c r="E312" i="5"/>
  <c r="E308" i="5"/>
  <c r="F369" i="5"/>
  <c r="F370" i="5"/>
  <c r="G341" i="5"/>
  <c r="I341" i="5"/>
  <c r="J341" i="5"/>
  <c r="F416" i="5"/>
  <c r="E416" i="5"/>
  <c r="J337" i="5" s="1"/>
  <c r="F9" i="5"/>
  <c r="F370" i="7" s="1"/>
  <c r="P370" i="7" s="1"/>
  <c r="D591" i="5"/>
  <c r="F591" i="5"/>
  <c r="E579" i="5" s="1"/>
  <c r="E591" i="5"/>
  <c r="I1186" i="5"/>
  <c r="I733" i="5"/>
  <c r="AK527" i="5"/>
  <c r="AL527" i="5"/>
  <c r="AA527" i="5"/>
  <c r="F450" i="5" s="1"/>
  <c r="M450" i="5" s="1"/>
  <c r="I579" i="5"/>
  <c r="G370" i="7" l="1"/>
  <c r="E450" i="7"/>
  <c r="L184" i="5"/>
  <c r="E446" i="7"/>
  <c r="L177" i="5"/>
  <c r="J497" i="7"/>
  <c r="G446" i="7"/>
  <c r="J503" i="7"/>
  <c r="G450" i="7"/>
  <c r="L421" i="7"/>
  <c r="F275" i="5"/>
  <c r="F140" i="7" s="1"/>
  <c r="H239" i="7" s="1"/>
  <c r="E140" i="7"/>
  <c r="F239" i="7" s="1"/>
  <c r="E60" i="7" s="1"/>
  <c r="F184" i="5"/>
  <c r="F450" i="7" s="1"/>
  <c r="L503" i="7" s="1"/>
  <c r="F267" i="5"/>
  <c r="F134" i="7" s="1"/>
  <c r="H233" i="7" s="1"/>
  <c r="E134" i="7"/>
  <c r="F233" i="7" s="1"/>
  <c r="E54" i="7" s="1"/>
  <c r="F177" i="5"/>
  <c r="F446" i="7" s="1"/>
  <c r="L497" i="7" s="1"/>
  <c r="E181" i="5"/>
  <c r="E272" i="5"/>
  <c r="F368" i="5"/>
  <c r="I337" i="5"/>
  <c r="G450" i="5"/>
  <c r="G451" i="5"/>
  <c r="R451" i="5" s="1"/>
  <c r="F432" i="5"/>
  <c r="M432" i="5" s="1"/>
  <c r="F431" i="5"/>
  <c r="M431" i="5" s="1"/>
  <c r="Q527" i="5"/>
  <c r="P527" i="5"/>
  <c r="AA514" i="5"/>
  <c r="E450" i="5" s="1"/>
  <c r="AL514" i="5"/>
  <c r="AK514" i="5"/>
  <c r="P514" i="5"/>
  <c r="E388" i="5" s="1"/>
  <c r="Q514" i="5"/>
  <c r="E389" i="5" s="1"/>
  <c r="D1099" i="5"/>
  <c r="D122" i="5" s="1"/>
  <c r="R450" i="5" l="1"/>
  <c r="E454" i="5" a="1"/>
  <c r="E454" i="5" s="1"/>
  <c r="M456" i="5"/>
  <c r="E456" i="5"/>
  <c r="E448" i="7"/>
  <c r="G448" i="7" s="1"/>
  <c r="L181" i="5"/>
  <c r="F181" i="5"/>
  <c r="F448" i="7" s="1"/>
  <c r="L499" i="7" s="1"/>
  <c r="AD200" i="5"/>
  <c r="F272" i="5"/>
  <c r="F137" i="7" s="1"/>
  <c r="H236" i="7" s="1"/>
  <c r="E137" i="7"/>
  <c r="F236" i="7" s="1"/>
  <c r="E57" i="7" s="1"/>
  <c r="F430" i="5"/>
  <c r="M430" i="5" s="1"/>
  <c r="D1109" i="5"/>
  <c r="D28" i="5"/>
  <c r="E74" i="5"/>
  <c r="F74" i="5" s="1"/>
  <c r="E26" i="5"/>
  <c r="E8" i="5" s="1"/>
  <c r="L8" i="5" s="1"/>
  <c r="F364" i="5"/>
  <c r="L450" i="5" a="1"/>
  <c r="L450" i="5" s="1"/>
  <c r="K445" i="5" a="1"/>
  <c r="K445" i="5" s="1"/>
  <c r="J450" i="5" a="1"/>
  <c r="J450" i="5" s="1"/>
  <c r="I446" i="5" a="1"/>
  <c r="I446" i="5" s="1"/>
  <c r="G456" i="5"/>
  <c r="F456" i="5"/>
  <c r="G432" i="5"/>
  <c r="R432" i="5" s="1"/>
  <c r="E387" i="5"/>
  <c r="G431" i="5"/>
  <c r="R431" i="5" s="1"/>
  <c r="E431" i="5"/>
  <c r="E432" i="5"/>
  <c r="F389" i="5"/>
  <c r="M389" i="5" s="1"/>
  <c r="F388" i="5"/>
  <c r="M388" i="5" s="1"/>
  <c r="J499" i="7" l="1"/>
  <c r="E369" i="7"/>
  <c r="E87" i="7"/>
  <c r="F190" i="7" s="1"/>
  <c r="F87" i="7"/>
  <c r="H190" i="7" s="1"/>
  <c r="F387" i="5"/>
  <c r="M387" i="5" s="1"/>
  <c r="E339" i="5"/>
  <c r="G389" i="5"/>
  <c r="R389" i="5" s="1"/>
  <c r="G430" i="5"/>
  <c r="R430" i="5" s="1"/>
  <c r="E430" i="5"/>
  <c r="G388" i="5"/>
  <c r="R388" i="5" s="1"/>
  <c r="F8" i="5"/>
  <c r="F369" i="7" s="1"/>
  <c r="P369" i="7" s="1"/>
  <c r="D1100" i="5"/>
  <c r="E122" i="5" s="1"/>
  <c r="G369" i="7" l="1"/>
  <c r="L420" i="7"/>
  <c r="J420" i="7"/>
  <c r="E11" i="7"/>
  <c r="K190" i="7" a="1"/>
  <c r="K190" i="7" s="1"/>
  <c r="E1109" i="5"/>
  <c r="E28" i="5"/>
  <c r="E1100" i="5"/>
  <c r="F1100" i="5" s="1"/>
  <c r="H1100" i="5" s="1"/>
  <c r="G387" i="5"/>
  <c r="R387" i="5" s="1"/>
  <c r="M540" i="5"/>
  <c r="L540" i="5"/>
  <c r="G11" i="7" l="1"/>
  <c r="F281" i="7"/>
  <c r="F303" i="7" s="1"/>
  <c r="L541" i="5"/>
  <c r="M541" i="5"/>
  <c r="D543" i="5" l="1"/>
  <c r="G111" i="5" s="1"/>
  <c r="D542" i="5"/>
  <c r="G110" i="5" s="1"/>
  <c r="E541" i="5"/>
  <c r="H109" i="5" s="1"/>
  <c r="E542" i="5"/>
  <c r="H110" i="5" s="1"/>
  <c r="E543" i="5"/>
  <c r="H111" i="5" s="1"/>
  <c r="D541" i="5"/>
  <c r="G109" i="5" s="1"/>
  <c r="K542" i="5"/>
  <c r="D540" i="5" s="1"/>
  <c r="L542" i="5"/>
  <c r="E540" i="5" s="1"/>
  <c r="D71" i="5" l="1"/>
  <c r="D72" i="5"/>
  <c r="D73" i="5"/>
  <c r="H108" i="5"/>
  <c r="H25" i="5"/>
  <c r="G108" i="5"/>
  <c r="G25" i="5"/>
  <c r="E73" i="5" l="1"/>
  <c r="F73" i="5" s="1"/>
  <c r="D86" i="7"/>
  <c r="D189" i="7" s="1"/>
  <c r="D10" i="7" s="1"/>
  <c r="E72" i="5"/>
  <c r="F72" i="5" s="1"/>
  <c r="D85" i="7"/>
  <c r="D188" i="7" s="1"/>
  <c r="D9" i="7" s="1"/>
  <c r="E71" i="5"/>
  <c r="F71" i="5" s="1"/>
  <c r="D84" i="7"/>
  <c r="D187" i="7" s="1"/>
  <c r="D8" i="7" s="1"/>
  <c r="D7" i="5"/>
  <c r="D368" i="7" s="1"/>
  <c r="D70" i="5"/>
  <c r="F1101" i="5"/>
  <c r="E1098" i="5"/>
  <c r="F1098" i="5" s="1"/>
  <c r="H1098" i="5" s="1"/>
  <c r="I419" i="7" l="1"/>
  <c r="E70" i="5"/>
  <c r="F70" i="5" s="1"/>
  <c r="D83" i="7"/>
  <c r="D186" i="7" s="1"/>
  <c r="D7" i="7" s="1"/>
  <c r="E84" i="7"/>
  <c r="F187" i="7" s="1"/>
  <c r="E8" i="7" s="1"/>
  <c r="F84" i="7"/>
  <c r="H187" i="7" s="1"/>
  <c r="F85" i="7"/>
  <c r="H188" i="7" s="1"/>
  <c r="E85" i="7"/>
  <c r="F188" i="7" s="1"/>
  <c r="E9" i="7" s="1"/>
  <c r="F86" i="7"/>
  <c r="H189" i="7" s="1"/>
  <c r="E86" i="7"/>
  <c r="F189" i="7" s="1"/>
  <c r="E10" i="7" s="1"/>
  <c r="C525" i="5"/>
  <c r="I186" i="7" l="1"/>
  <c r="F7" i="7" s="1"/>
  <c r="F83" i="7"/>
  <c r="H186" i="7" s="1"/>
  <c r="E83" i="7"/>
  <c r="F186" i="7" s="1"/>
  <c r="C464" i="5"/>
  <c r="C426" i="5"/>
  <c r="K186" i="7" l="1" a="1"/>
  <c r="K186" i="7" s="1"/>
  <c r="E7" i="7"/>
  <c r="E280" i="7"/>
  <c r="E302" i="7" s="1"/>
  <c r="P426" i="5"/>
  <c r="Q426" i="5"/>
  <c r="P464" i="5"/>
  <c r="Q464" i="5"/>
  <c r="F280" i="7" l="1"/>
  <c r="F302" i="7" s="1"/>
  <c r="G7" i="7"/>
  <c r="X28" i="5"/>
  <c r="Y28" i="5"/>
  <c r="W28" i="5"/>
  <c r="V30" i="5"/>
  <c r="V31" i="5"/>
  <c r="C527" i="5"/>
  <c r="C526" i="5"/>
  <c r="U198" i="5"/>
  <c r="T198" i="5"/>
  <c r="AA198" i="5"/>
  <c r="V198" i="5"/>
  <c r="T197" i="5"/>
  <c r="AA197" i="5"/>
  <c r="V197" i="5"/>
  <c r="U197" i="5"/>
  <c r="T28" i="5"/>
  <c r="U28" i="5"/>
  <c r="V28" i="5"/>
  <c r="AA28" i="5"/>
  <c r="AC31" i="5" l="1"/>
  <c r="AC30" i="5"/>
  <c r="G13" i="5"/>
  <c r="G12" i="5"/>
  <c r="Z197" i="5"/>
  <c r="Y197" i="5"/>
  <c r="X197" i="5"/>
  <c r="W197" i="5"/>
  <c r="X198" i="5"/>
  <c r="Z198" i="5"/>
  <c r="Y198" i="5"/>
  <c r="W198" i="5"/>
  <c r="Z28" i="5"/>
  <c r="AC28" i="5" s="1"/>
  <c r="C449" i="5"/>
  <c r="Q449" i="5" s="1"/>
  <c r="R449" i="5" s="1"/>
  <c r="C406" i="5"/>
  <c r="Q406" i="5" s="1"/>
  <c r="R406" i="5" s="1"/>
  <c r="K199" i="5"/>
  <c r="E1099" i="5"/>
  <c r="F1099" i="5" s="1"/>
  <c r="F1127" i="5" l="1"/>
  <c r="H122" i="5" s="1"/>
  <c r="E1127" i="5"/>
  <c r="G122" i="5" s="1"/>
  <c r="AD30" i="5"/>
  <c r="AD31" i="5"/>
  <c r="AC197" i="5"/>
  <c r="AC198" i="5"/>
  <c r="AB28" i="5"/>
  <c r="AB197" i="5"/>
  <c r="AB198" i="5"/>
  <c r="P406" i="5"/>
  <c r="P449" i="5"/>
  <c r="F1131" i="5"/>
  <c r="E1131" i="5"/>
  <c r="H1099" i="5"/>
  <c r="F1123" i="5"/>
  <c r="E1123" i="5"/>
  <c r="G10" i="5"/>
  <c r="C524" i="5"/>
  <c r="G1109" i="5" l="1"/>
  <c r="H1109" i="5"/>
  <c r="G28" i="5"/>
  <c r="H28" i="5"/>
  <c r="AD197" i="5"/>
  <c r="C446" i="5"/>
  <c r="Q446" i="5" s="1"/>
  <c r="R446" i="5" s="1"/>
  <c r="C479" i="5"/>
  <c r="C485" i="5"/>
  <c r="C482" i="5"/>
  <c r="C403" i="5"/>
  <c r="Q403" i="5" s="1"/>
  <c r="C423" i="5"/>
  <c r="Q423" i="5" s="1"/>
  <c r="R423" i="5" s="1"/>
  <c r="K197" i="5"/>
  <c r="D84" i="5" l="1"/>
  <c r="R403" i="5"/>
  <c r="I415" i="5" s="1"/>
  <c r="E414" i="5" s="1"/>
  <c r="K337" i="5" s="1"/>
  <c r="F337" i="5" s="1"/>
  <c r="P423" i="5"/>
  <c r="P403" i="5"/>
  <c r="P446" i="5"/>
  <c r="D10" i="5"/>
  <c r="D371" i="7" s="1"/>
  <c r="D338" i="5"/>
  <c r="D337" i="5"/>
  <c r="C523" i="5"/>
  <c r="I422" i="7" l="1"/>
  <c r="E84" i="5"/>
  <c r="F84" i="5" s="1"/>
  <c r="D97" i="7"/>
  <c r="D200" i="7" s="1"/>
  <c r="D21" i="7" s="1"/>
  <c r="G337" i="5"/>
  <c r="C445" i="5"/>
  <c r="C488" i="5"/>
  <c r="E10" i="5"/>
  <c r="D640" i="5"/>
  <c r="E371" i="7" l="1"/>
  <c r="L10" i="5"/>
  <c r="G371" i="7"/>
  <c r="I200" i="7"/>
  <c r="F21" i="7" s="1"/>
  <c r="F97" i="7"/>
  <c r="H200" i="7" s="1"/>
  <c r="E97" i="7"/>
  <c r="F200" i="7" s="1"/>
  <c r="E21" i="7" s="1"/>
  <c r="D620" i="5"/>
  <c r="L690" i="5"/>
  <c r="L678" i="5"/>
  <c r="L672" i="5"/>
  <c r="L666" i="5"/>
  <c r="L660" i="5"/>
  <c r="L654" i="5"/>
  <c r="L648" i="5"/>
  <c r="K684" i="5"/>
  <c r="L689" i="5"/>
  <c r="L683" i="5"/>
  <c r="L671" i="5"/>
  <c r="L665" i="5"/>
  <c r="L659" i="5"/>
  <c r="L653" i="5"/>
  <c r="K664" i="5"/>
  <c r="K677" i="5"/>
  <c r="K647" i="5"/>
  <c r="K658" i="5"/>
  <c r="L688" i="5"/>
  <c r="L682" i="5"/>
  <c r="L676" i="5"/>
  <c r="L670" i="5"/>
  <c r="L652" i="5"/>
  <c r="L646" i="5"/>
  <c r="K694" i="5"/>
  <c r="L693" i="5"/>
  <c r="L681" i="5"/>
  <c r="L675" i="5"/>
  <c r="L669" i="5"/>
  <c r="L663" i="5"/>
  <c r="L657" i="5"/>
  <c r="L651" i="5"/>
  <c r="L645" i="5"/>
  <c r="K687" i="5"/>
  <c r="L692" i="5"/>
  <c r="L686" i="5"/>
  <c r="L680" i="5"/>
  <c r="L668" i="5"/>
  <c r="L662" i="5"/>
  <c r="L656" i="5"/>
  <c r="L644" i="5"/>
  <c r="K674" i="5"/>
  <c r="K650" i="5"/>
  <c r="L691" i="5"/>
  <c r="L685" i="5"/>
  <c r="L679" i="5"/>
  <c r="L673" i="5"/>
  <c r="L667" i="5"/>
  <c r="L661" i="5"/>
  <c r="L655" i="5"/>
  <c r="L649" i="5"/>
  <c r="P445" i="5"/>
  <c r="Q445" i="5"/>
  <c r="R445" i="5" s="1"/>
  <c r="I456" i="5" s="1"/>
  <c r="F10" i="5"/>
  <c r="F371" i="7" s="1"/>
  <c r="P371" i="7" s="1"/>
  <c r="J422" i="7" l="1"/>
  <c r="L422" i="7"/>
  <c r="K200" i="7" a="1"/>
  <c r="K200" i="7" s="1"/>
  <c r="G21" i="7" s="1"/>
  <c r="E283" i="7"/>
  <c r="E305" i="7" s="1"/>
  <c r="AD28" i="5"/>
  <c r="K695" i="5"/>
  <c r="L695" i="5"/>
  <c r="G339" i="5"/>
  <c r="F283" i="7" l="1"/>
  <c r="F305" i="7" s="1"/>
  <c r="E620" i="5"/>
  <c r="D274" i="5" l="1"/>
  <c r="D183" i="5"/>
  <c r="D187" i="5" s="1"/>
  <c r="D285" i="5" l="1"/>
  <c r="D139" i="7"/>
  <c r="D238" i="7" s="1"/>
  <c r="L454" i="5"/>
  <c r="T196" i="5"/>
  <c r="AA196" i="5"/>
  <c r="U196" i="5"/>
  <c r="V196" i="5"/>
  <c r="C216" i="5"/>
  <c r="C219" i="5"/>
  <c r="C234" i="5"/>
  <c r="I238" i="7" l="1"/>
  <c r="F59" i="7" s="1"/>
  <c r="D59" i="7"/>
  <c r="Z196" i="5"/>
  <c r="Y196" i="5"/>
  <c r="X196" i="5"/>
  <c r="W196" i="5"/>
  <c r="K454" i="5"/>
  <c r="J454" i="5"/>
  <c r="K238" i="7" l="1"/>
  <c r="G59" i="7" s="1"/>
  <c r="AC196" i="5"/>
  <c r="AB196" i="5"/>
  <c r="C213" i="5"/>
  <c r="C7" i="5"/>
  <c r="AD196" i="5" l="1"/>
  <c r="C9" i="5"/>
  <c r="U204" i="5"/>
  <c r="K209" i="5"/>
  <c r="K207" i="5"/>
  <c r="K204" i="5"/>
  <c r="K206" i="5"/>
  <c r="C522" i="5"/>
  <c r="K26" i="5"/>
  <c r="C8" i="5"/>
  <c r="K25" i="5"/>
  <c r="K28" i="5"/>
  <c r="C10" i="5"/>
  <c r="K27" i="5"/>
  <c r="K29" i="5"/>
  <c r="C11" i="5"/>
  <c r="K32" i="5"/>
  <c r="V209" i="5"/>
  <c r="V207" i="5"/>
  <c r="V204" i="5"/>
  <c r="U207" i="5"/>
  <c r="U209" i="5"/>
  <c r="AA204" i="5" l="1"/>
  <c r="AA207" i="5"/>
  <c r="T204" i="5"/>
  <c r="AA209" i="5"/>
  <c r="T207" i="5"/>
  <c r="T209" i="5"/>
  <c r="W209" i="5"/>
  <c r="Z209" i="5"/>
  <c r="Z207" i="5"/>
  <c r="W207" i="5"/>
  <c r="Z204" i="5"/>
  <c r="W204" i="5"/>
  <c r="D335" i="5"/>
  <c r="C463" i="5"/>
  <c r="C218" i="5"/>
  <c r="C217" i="5"/>
  <c r="C220" i="5"/>
  <c r="C221" i="5"/>
  <c r="K196" i="5"/>
  <c r="K198" i="5"/>
  <c r="E7" i="5"/>
  <c r="E368" i="7" l="1"/>
  <c r="L7" i="5"/>
  <c r="J419" i="7"/>
  <c r="C235" i="5"/>
  <c r="C214" i="5"/>
  <c r="C215" i="5"/>
  <c r="E236" i="5"/>
  <c r="C236" i="5"/>
  <c r="X209" i="5"/>
  <c r="X204" i="5"/>
  <c r="Y204" i="5"/>
  <c r="X207" i="5"/>
  <c r="Y207" i="5"/>
  <c r="Y209" i="5"/>
  <c r="P463" i="5"/>
  <c r="Q463" i="5"/>
  <c r="R463" i="5" s="1"/>
  <c r="C223" i="5"/>
  <c r="C224" i="5"/>
  <c r="C232" i="5"/>
  <c r="C233" i="5"/>
  <c r="X26" i="5"/>
  <c r="W26" i="5"/>
  <c r="Y26" i="5"/>
  <c r="W25" i="5"/>
  <c r="Y25" i="5"/>
  <c r="X25" i="5"/>
  <c r="W27" i="5"/>
  <c r="Y27" i="5"/>
  <c r="X27" i="5"/>
  <c r="Y29" i="5"/>
  <c r="X29" i="5"/>
  <c r="W29" i="5"/>
  <c r="D340" i="5"/>
  <c r="D339" i="5"/>
  <c r="F7" i="5"/>
  <c r="V26" i="5"/>
  <c r="V27" i="5"/>
  <c r="V29" i="5"/>
  <c r="V32" i="5"/>
  <c r="V25" i="5"/>
  <c r="T29" i="5"/>
  <c r="AA29" i="5"/>
  <c r="U29" i="5"/>
  <c r="T32" i="5"/>
  <c r="AA32" i="5"/>
  <c r="U32" i="5"/>
  <c r="T25" i="5"/>
  <c r="AA25" i="5"/>
  <c r="U25" i="5"/>
  <c r="T26" i="5"/>
  <c r="AA26" i="5"/>
  <c r="U26" i="5"/>
  <c r="T27" i="5"/>
  <c r="AA27" i="5"/>
  <c r="U27" i="5"/>
  <c r="G368" i="7" l="1"/>
  <c r="F368" i="7"/>
  <c r="P368" i="7" s="1"/>
  <c r="L419" i="7"/>
  <c r="AC204" i="5"/>
  <c r="AC207" i="5"/>
  <c r="AC209" i="5"/>
  <c r="AC32" i="5"/>
  <c r="AB204" i="5"/>
  <c r="C226" i="5"/>
  <c r="C227" i="5"/>
  <c r="C230" i="5"/>
  <c r="AB207" i="5"/>
  <c r="C229" i="5"/>
  <c r="E54" i="5"/>
  <c r="AB209" i="5"/>
  <c r="C54" i="5"/>
  <c r="C53" i="5"/>
  <c r="C47" i="5"/>
  <c r="C48" i="5"/>
  <c r="Z29" i="5"/>
  <c r="AC29" i="5" s="1"/>
  <c r="Z25" i="5"/>
  <c r="G7" i="5" s="1"/>
  <c r="Z26" i="5"/>
  <c r="AC26" i="5" s="1"/>
  <c r="Z27" i="5"/>
  <c r="AC27" i="5" s="1"/>
  <c r="E44" i="5"/>
  <c r="C39" i="5"/>
  <c r="C38" i="5"/>
  <c r="E38" i="5"/>
  <c r="C59" i="5"/>
  <c r="C60" i="5"/>
  <c r="C44" i="5"/>
  <c r="C45" i="5"/>
  <c r="C42" i="5"/>
  <c r="C41" i="5"/>
  <c r="D11" i="5"/>
  <c r="D372" i="7" s="1"/>
  <c r="I423" i="7" l="1"/>
  <c r="F42" i="5" a="1"/>
  <c r="F42" i="5" s="1"/>
  <c r="AD209" i="5"/>
  <c r="AD207" i="5"/>
  <c r="AD204" i="5"/>
  <c r="AD32" i="5"/>
  <c r="AB26" i="5"/>
  <c r="AC25" i="5"/>
  <c r="AB27" i="5"/>
  <c r="AB29" i="5"/>
  <c r="F41" i="5" a="1"/>
  <c r="F41" i="5" s="1"/>
  <c r="C238" i="5"/>
  <c r="AB25" i="5"/>
  <c r="F54" i="5" a="1"/>
  <c r="F54" i="5" s="1"/>
  <c r="AD27" i="5"/>
  <c r="AD26" i="5"/>
  <c r="C56" i="5"/>
  <c r="C57" i="5"/>
  <c r="E47" i="5"/>
  <c r="E53" i="5"/>
  <c r="F44" i="5" a="1"/>
  <c r="F44" i="5" s="1"/>
  <c r="F45" i="5" a="1"/>
  <c r="F45" i="5" s="1"/>
  <c r="F48" i="5" a="1"/>
  <c r="F48" i="5" s="1"/>
  <c r="E45" i="5"/>
  <c r="F47" i="5" a="1"/>
  <c r="F47" i="5" s="1"/>
  <c r="E48" i="5"/>
  <c r="E50" i="5"/>
  <c r="E51" i="5"/>
  <c r="C50" i="5"/>
  <c r="F50" i="5" a="1"/>
  <c r="F50" i="5" s="1"/>
  <c r="F51" i="5" a="1"/>
  <c r="F51" i="5" s="1"/>
  <c r="C51" i="5"/>
  <c r="E56" i="5"/>
  <c r="E57" i="5"/>
  <c r="F56" i="5" a="1"/>
  <c r="F56" i="5" s="1"/>
  <c r="F57" i="5" a="1"/>
  <c r="F57" i="5" s="1"/>
  <c r="F53" i="5" a="1"/>
  <c r="F53" i="5" s="1"/>
  <c r="F17" i="5"/>
  <c r="E17" i="5"/>
  <c r="E60" i="5"/>
  <c r="F39" i="5" a="1"/>
  <c r="F39" i="5" s="1"/>
  <c r="E41" i="5"/>
  <c r="F59" i="5" a="1"/>
  <c r="F59" i="5" s="1"/>
  <c r="F60" i="5" a="1"/>
  <c r="F60" i="5" s="1"/>
  <c r="F38" i="5" a="1"/>
  <c r="F38" i="5" s="1"/>
  <c r="G9" i="5"/>
  <c r="E11" i="5"/>
  <c r="G11" i="5"/>
  <c r="G14" i="5"/>
  <c r="G8" i="5"/>
  <c r="E372" i="7" l="1"/>
  <c r="L11" i="5"/>
  <c r="L17" i="5" s="1"/>
  <c r="J423" i="7"/>
  <c r="AD25" i="5"/>
  <c r="C63" i="5"/>
  <c r="C239" i="5"/>
  <c r="C62" i="5"/>
  <c r="F11" i="5"/>
  <c r="G372" i="7" l="1"/>
  <c r="F372" i="7"/>
  <c r="D15" i="5"/>
  <c r="D17" i="5"/>
  <c r="D376" i="7"/>
  <c r="D54" i="5" a="1"/>
  <c r="D54" i="5" s="1"/>
  <c r="H8" i="5"/>
  <c r="H15" i="5" s="1"/>
  <c r="AD29" i="5"/>
  <c r="D64" i="5" s="1"/>
  <c r="D62" i="5"/>
  <c r="D63" i="5"/>
  <c r="D45" i="5"/>
  <c r="D57" i="5" a="1"/>
  <c r="D57" i="5" s="1"/>
  <c r="D51" i="5" a="1"/>
  <c r="D51" i="5" s="1"/>
  <c r="D47" i="5"/>
  <c r="D53" i="5"/>
  <c r="D48" i="5" a="1"/>
  <c r="D48" i="5" s="1"/>
  <c r="D50" i="5"/>
  <c r="D44" i="5"/>
  <c r="D56" i="5"/>
  <c r="K11" i="5"/>
  <c r="K15" i="5" s="1"/>
  <c r="I11" i="5"/>
  <c r="I15" i="5" s="1"/>
  <c r="J9" i="5"/>
  <c r="J15" i="5" s="1"/>
  <c r="D60" i="5"/>
  <c r="D42" i="5"/>
  <c r="D59" i="5"/>
  <c r="D41" i="5"/>
  <c r="D39" i="5" a="1"/>
  <c r="D39" i="5" s="1"/>
  <c r="D38" i="5"/>
  <c r="D380" i="7" l="1" a="1"/>
  <c r="D380" i="7" s="1"/>
  <c r="I371" i="7" s="1"/>
  <c r="P372" i="7"/>
  <c r="Q380" i="7" s="1" a="1"/>
  <c r="L423" i="7"/>
  <c r="M367" i="7"/>
  <c r="I427" i="7"/>
  <c r="I428" i="7"/>
  <c r="D16" i="5"/>
  <c r="E18" i="5"/>
  <c r="D18" i="5"/>
  <c r="E42" i="5"/>
  <c r="E59" i="5"/>
  <c r="E39" i="5"/>
  <c r="I408" i="7" l="1"/>
  <c r="K367" i="7"/>
  <c r="I392" i="7"/>
  <c r="I381" i="7"/>
  <c r="I396" i="7"/>
  <c r="E352" i="7"/>
  <c r="E354" i="7" s="1"/>
  <c r="G354" i="7" s="1"/>
  <c r="I413" i="7"/>
  <c r="I416" i="7"/>
  <c r="I385" i="7"/>
  <c r="I389" i="7"/>
  <c r="I430" i="7"/>
  <c r="E385" i="7"/>
  <c r="E386" i="7" s="1"/>
  <c r="E355" i="7" s="1"/>
  <c r="I378" i="7"/>
  <c r="I376" i="7"/>
  <c r="I373" i="7"/>
  <c r="I388" i="7"/>
  <c r="I402" i="7"/>
  <c r="I370" i="7"/>
  <c r="I372" i="7"/>
  <c r="I409" i="7"/>
  <c r="I417" i="7"/>
  <c r="I411" i="7"/>
  <c r="I368" i="7"/>
  <c r="I382" i="7"/>
  <c r="I386" i="7"/>
  <c r="I405" i="7"/>
  <c r="I415" i="7"/>
  <c r="I399" i="7"/>
  <c r="I407" i="7"/>
  <c r="I374" i="7"/>
  <c r="I414" i="7"/>
  <c r="I412" i="7"/>
  <c r="N367" i="7"/>
  <c r="I394" i="7"/>
  <c r="I410" i="7"/>
  <c r="I395" i="7"/>
  <c r="I406" i="7"/>
  <c r="I398" i="7"/>
  <c r="I393" i="7"/>
  <c r="I384" i="7"/>
  <c r="I380" i="7"/>
  <c r="I429" i="7"/>
  <c r="I379" i="7"/>
  <c r="E356" i="7"/>
  <c r="E358" i="7" s="1"/>
  <c r="G358" i="7" s="1"/>
  <c r="I369" i="7"/>
  <c r="I391" i="7"/>
  <c r="I418" i="7"/>
  <c r="I397" i="7"/>
  <c r="I375" i="7"/>
  <c r="I387" i="7"/>
  <c r="I401" i="7"/>
  <c r="I383" i="7"/>
  <c r="I404" i="7"/>
  <c r="I390" i="7"/>
  <c r="I400" i="7"/>
  <c r="E353" i="7"/>
  <c r="D385" i="7"/>
  <c r="D386" i="7" s="1"/>
  <c r="E359" i="7" s="1"/>
  <c r="I377" i="7"/>
  <c r="I403" i="7"/>
  <c r="E357" i="7"/>
  <c r="Q380" i="7"/>
  <c r="Q385" i="7" s="1"/>
  <c r="Q386" i="7" s="1"/>
  <c r="R385" i="7"/>
  <c r="R386" i="7" s="1"/>
  <c r="E1079" i="5"/>
  <c r="H550" i="5"/>
  <c r="I509" i="5" s="1"/>
  <c r="C1" i="5"/>
  <c r="E463" i="5" l="1"/>
  <c r="E1080" i="5"/>
  <c r="J1075" i="5" l="1"/>
  <c r="K1075" i="5" s="1"/>
  <c r="J1067" i="5"/>
  <c r="K1067" i="5" s="1"/>
  <c r="J1059" i="5"/>
  <c r="K1059" i="5" s="1"/>
  <c r="G1062" i="5"/>
  <c r="H1062" i="5" s="1"/>
  <c r="D1071" i="5"/>
  <c r="E1071" i="5" s="1"/>
  <c r="D1059" i="5"/>
  <c r="E1059" i="5" s="1"/>
  <c r="J1074" i="5"/>
  <c r="K1074" i="5" s="1"/>
  <c r="J1066" i="5"/>
  <c r="K1066" i="5" s="1"/>
  <c r="J1058" i="5"/>
  <c r="K1058" i="5" s="1"/>
  <c r="G1071" i="5"/>
  <c r="H1071" i="5" s="1"/>
  <c r="D1070" i="5"/>
  <c r="E1070" i="5" s="1"/>
  <c r="D1058" i="5"/>
  <c r="E1058" i="5" s="1"/>
  <c r="J1057" i="5"/>
  <c r="K1057" i="5" s="1"/>
  <c r="G1070" i="5"/>
  <c r="H1070" i="5" s="1"/>
  <c r="G1061" i="5"/>
  <c r="H1061" i="5" s="1"/>
  <c r="D1069" i="5"/>
  <c r="E1069" i="5" s="1"/>
  <c r="D1057" i="5"/>
  <c r="E1057" i="5" s="1"/>
  <c r="J1073" i="5"/>
  <c r="K1073" i="5" s="1"/>
  <c r="J1065" i="5"/>
  <c r="K1065" i="5" s="1"/>
  <c r="G1069" i="5"/>
  <c r="H1069" i="5" s="1"/>
  <c r="G1060" i="5"/>
  <c r="H1060" i="5" s="1"/>
  <c r="D1068" i="5"/>
  <c r="E1068" i="5" s="1"/>
  <c r="D1056" i="5"/>
  <c r="E1056" i="5" s="1"/>
  <c r="J1072" i="5"/>
  <c r="K1072" i="5" s="1"/>
  <c r="J1064" i="5"/>
  <c r="K1064" i="5" s="1"/>
  <c r="J1056" i="5"/>
  <c r="K1056" i="5" s="1"/>
  <c r="G1068" i="5"/>
  <c r="H1068" i="5" s="1"/>
  <c r="D1067" i="5"/>
  <c r="E1067" i="5" s="1"/>
  <c r="D1055" i="5"/>
  <c r="J1063" i="5"/>
  <c r="K1063" i="5" s="1"/>
  <c r="G1059" i="5"/>
  <c r="H1059" i="5" s="1"/>
  <c r="D1066" i="5"/>
  <c r="E1066" i="5" s="1"/>
  <c r="J1071" i="5"/>
  <c r="K1071" i="5" s="1"/>
  <c r="J1055" i="5"/>
  <c r="G1067" i="5"/>
  <c r="H1067" i="5" s="1"/>
  <c r="G1058" i="5"/>
  <c r="H1058" i="5" s="1"/>
  <c r="D1065" i="5"/>
  <c r="E1065" i="5" s="1"/>
  <c r="J1070" i="5"/>
  <c r="K1070" i="5" s="1"/>
  <c r="J1062" i="5"/>
  <c r="K1062" i="5" s="1"/>
  <c r="G1075" i="5"/>
  <c r="H1075" i="5" s="1"/>
  <c r="G1066" i="5"/>
  <c r="H1066" i="5" s="1"/>
  <c r="G1057" i="5"/>
  <c r="H1057" i="5" s="1"/>
  <c r="D1064" i="5"/>
  <c r="E1064" i="5" s="1"/>
  <c r="G1063" i="5"/>
  <c r="H1063" i="5" s="1"/>
  <c r="J1069" i="5"/>
  <c r="K1069" i="5" s="1"/>
  <c r="G1074" i="5"/>
  <c r="H1074" i="5" s="1"/>
  <c r="G1056" i="5"/>
  <c r="H1056" i="5" s="1"/>
  <c r="D1075" i="5"/>
  <c r="E1075" i="5" s="1"/>
  <c r="D1063" i="5"/>
  <c r="E1063" i="5" s="1"/>
  <c r="D1072" i="5"/>
  <c r="E1072" i="5" s="1"/>
  <c r="S1037" i="5"/>
  <c r="T1037" i="5" s="1"/>
  <c r="U525" i="5" s="1"/>
  <c r="J1061" i="5"/>
  <c r="K1061" i="5" s="1"/>
  <c r="G1065" i="5"/>
  <c r="H1065" i="5" s="1"/>
  <c r="D1074" i="5"/>
  <c r="E1074" i="5" s="1"/>
  <c r="D1062" i="5"/>
  <c r="E1062" i="5" s="1"/>
  <c r="G1072" i="5"/>
  <c r="H1072" i="5" s="1"/>
  <c r="D1060" i="5"/>
  <c r="E1060" i="5" s="1"/>
  <c r="J1068" i="5"/>
  <c r="K1068" i="5" s="1"/>
  <c r="J1060" i="5"/>
  <c r="K1060" i="5" s="1"/>
  <c r="G1073" i="5"/>
  <c r="H1073" i="5" s="1"/>
  <c r="G1064" i="5"/>
  <c r="H1064" i="5" s="1"/>
  <c r="G1055" i="5"/>
  <c r="D1073" i="5"/>
  <c r="E1073" i="5" s="1"/>
  <c r="D1061" i="5"/>
  <c r="E1061" i="5" s="1"/>
  <c r="S1047" i="5"/>
  <c r="T1047" i="5" s="1"/>
  <c r="S1049" i="5"/>
  <c r="T1049" i="5" s="1"/>
  <c r="S1045" i="5"/>
  <c r="T1045" i="5" s="1"/>
  <c r="AM525" i="5" s="1"/>
  <c r="S1032" i="5"/>
  <c r="T1032" i="5" s="1"/>
  <c r="S1030" i="5"/>
  <c r="T1030" i="5" s="1"/>
  <c r="S1036" i="5"/>
  <c r="T1036" i="5" s="1"/>
  <c r="F525" i="5" s="1"/>
  <c r="S1034" i="5"/>
  <c r="T1034" i="5" s="1"/>
  <c r="I525" i="5" s="1"/>
  <c r="S1040" i="5"/>
  <c r="T1040" i="5" s="1"/>
  <c r="T525" i="5" s="1"/>
  <c r="F381" i="5" s="1"/>
  <c r="M381" i="5" s="1"/>
  <c r="S1038" i="5"/>
  <c r="T1038" i="5" s="1"/>
  <c r="S1042" i="5"/>
  <c r="T1042" i="5" s="1"/>
  <c r="W525" i="5" s="1"/>
  <c r="F383" i="5" s="1"/>
  <c r="M383" i="5" s="1"/>
  <c r="S1044" i="5"/>
  <c r="T1044" i="5" s="1"/>
  <c r="AL525" i="5" s="1"/>
  <c r="S1046" i="5"/>
  <c r="T1046" i="5" s="1"/>
  <c r="S1048" i="5"/>
  <c r="T1048" i="5" s="1"/>
  <c r="S1050" i="5"/>
  <c r="T1050" i="5" s="1"/>
  <c r="S1031" i="5"/>
  <c r="T1031" i="5" s="1"/>
  <c r="AF525" i="5" s="1"/>
  <c r="S1033" i="5"/>
  <c r="T1033" i="5" s="1"/>
  <c r="AG525" i="5" s="1"/>
  <c r="S1035" i="5"/>
  <c r="T1035" i="5" s="1"/>
  <c r="S1043" i="5"/>
  <c r="T1043" i="5" s="1"/>
  <c r="AK525" i="5" s="1"/>
  <c r="S1041" i="5"/>
  <c r="T1041" i="5" s="1"/>
  <c r="V525" i="5" s="1"/>
  <c r="F382" i="5" s="1"/>
  <c r="M382" i="5" s="1"/>
  <c r="S1039" i="5"/>
  <c r="T1039" i="5" s="1"/>
  <c r="U512" i="5" l="1"/>
  <c r="AL512" i="5"/>
  <c r="E428" i="5" s="1"/>
  <c r="W512" i="5"/>
  <c r="E383" i="5" s="1"/>
  <c r="K1055" i="5"/>
  <c r="E265" i="5" s="1"/>
  <c r="D265" i="5"/>
  <c r="D132" i="7" s="1"/>
  <c r="D231" i="7" s="1"/>
  <c r="D52" i="7" s="1"/>
  <c r="H1055" i="5"/>
  <c r="E264" i="5" s="1"/>
  <c r="D264" i="5"/>
  <c r="D131" i="7" s="1"/>
  <c r="D230" i="7" s="1"/>
  <c r="D51" i="7" s="1"/>
  <c r="E1055" i="5"/>
  <c r="E263" i="5" s="1"/>
  <c r="D263" i="5"/>
  <c r="D130" i="7" s="1"/>
  <c r="D229" i="7" s="1"/>
  <c r="D50" i="7" s="1"/>
  <c r="F512" i="5"/>
  <c r="E465" i="5" s="1"/>
  <c r="AG512" i="5"/>
  <c r="T512" i="5"/>
  <c r="E381" i="5" s="1"/>
  <c r="AK512" i="5"/>
  <c r="E427" i="5" s="1"/>
  <c r="Q512" i="5"/>
  <c r="E380" i="5" s="1"/>
  <c r="AM512" i="5"/>
  <c r="E429" i="5" s="1"/>
  <c r="AF512" i="5"/>
  <c r="I512" i="5"/>
  <c r="E466" i="5" s="1"/>
  <c r="V512" i="5"/>
  <c r="E382" i="5" s="1"/>
  <c r="D175" i="5"/>
  <c r="D262" i="5"/>
  <c r="D129" i="7" s="1"/>
  <c r="D228" i="7" s="1"/>
  <c r="D49" i="7" s="1"/>
  <c r="G383" i="5"/>
  <c r="R383" i="5" s="1"/>
  <c r="G381" i="5"/>
  <c r="R381" i="5" s="1"/>
  <c r="G382" i="5"/>
  <c r="R382" i="5" s="1"/>
  <c r="F465" i="5"/>
  <c r="M465" i="5" s="1"/>
  <c r="F466" i="5"/>
  <c r="M466" i="5" s="1"/>
  <c r="F428" i="5"/>
  <c r="M428" i="5" s="1"/>
  <c r="F429" i="5"/>
  <c r="M429" i="5" s="1"/>
  <c r="F427" i="5"/>
  <c r="M427" i="5" s="1"/>
  <c r="Q525" i="5"/>
  <c r="F380" i="5" s="1"/>
  <c r="M380" i="5" s="1"/>
  <c r="C1" i="4"/>
  <c r="D445" i="7" l="1"/>
  <c r="I496" i="7"/>
  <c r="J228" i="7"/>
  <c r="F49" i="7" s="1"/>
  <c r="F263" i="5"/>
  <c r="F130" i="7" s="1"/>
  <c r="H229" i="7" s="1"/>
  <c r="E130" i="7"/>
  <c r="F229" i="7" s="1"/>
  <c r="E50" i="7" s="1"/>
  <c r="F264" i="5"/>
  <c r="F131" i="7" s="1"/>
  <c r="H230" i="7" s="1"/>
  <c r="E131" i="7"/>
  <c r="F230" i="7" s="1"/>
  <c r="E51" i="7" s="1"/>
  <c r="E175" i="5"/>
  <c r="F265" i="5"/>
  <c r="E132" i="7"/>
  <c r="F231" i="7" s="1"/>
  <c r="E52" i="7" s="1"/>
  <c r="E379" i="5"/>
  <c r="E262" i="5"/>
  <c r="E129" i="7" s="1"/>
  <c r="F228" i="7" s="1"/>
  <c r="E223" i="5"/>
  <c r="F464" i="5"/>
  <c r="M464" i="5" s="1"/>
  <c r="F426" i="5"/>
  <c r="M426" i="5" s="1"/>
  <c r="G429" i="5"/>
  <c r="R429" i="5" s="1"/>
  <c r="G428" i="5"/>
  <c r="R428" i="5" s="1"/>
  <c r="G466" i="5"/>
  <c r="R466" i="5" s="1"/>
  <c r="E464" i="5"/>
  <c r="G465" i="5"/>
  <c r="R465" i="5" s="1"/>
  <c r="E426" i="5"/>
  <c r="G427" i="5"/>
  <c r="R427" i="5" s="1"/>
  <c r="G378" i="5"/>
  <c r="M438" i="5" l="1"/>
  <c r="M472" i="5"/>
  <c r="E445" i="7"/>
  <c r="G445" i="7" s="1"/>
  <c r="L175" i="5"/>
  <c r="R378" i="5"/>
  <c r="F395" i="5"/>
  <c r="M395" i="5"/>
  <c r="D270" i="5"/>
  <c r="D286" i="5" s="1"/>
  <c r="F132" i="7"/>
  <c r="H231" i="7" s="1"/>
  <c r="K228" i="7" a="1"/>
  <c r="K228" i="7" s="1"/>
  <c r="E49" i="7"/>
  <c r="E290" i="7"/>
  <c r="E312" i="7" s="1"/>
  <c r="E320" i="7" s="1"/>
  <c r="F175" i="5"/>
  <c r="G395" i="5"/>
  <c r="F379" i="5"/>
  <c r="M379" i="5" s="1"/>
  <c r="G438" i="5"/>
  <c r="F438" i="5"/>
  <c r="F472" i="5"/>
  <c r="G472" i="5"/>
  <c r="G464" i="5"/>
  <c r="E472" i="5" s="1"/>
  <c r="G426" i="5"/>
  <c r="E438" i="5" s="1"/>
  <c r="G380" i="5"/>
  <c r="R380" i="5" s="1"/>
  <c r="J496" i="7" l="1"/>
  <c r="R426" i="5"/>
  <c r="I438" i="5" s="1"/>
  <c r="E436" i="5" a="1"/>
  <c r="E436" i="5" s="1"/>
  <c r="R464" i="5"/>
  <c r="I472" i="5" s="1"/>
  <c r="G340" i="5" s="1"/>
  <c r="E470" i="5" a="1"/>
  <c r="E470" i="5" s="1"/>
  <c r="AD198" i="5"/>
  <c r="D179" i="5"/>
  <c r="E321" i="7"/>
  <c r="H321" i="7" s="1"/>
  <c r="E230" i="5"/>
  <c r="F290" i="7"/>
  <c r="F312" i="7" s="1"/>
  <c r="G312" i="7" s="1"/>
  <c r="G49" i="7"/>
  <c r="H320" i="7"/>
  <c r="G320" i="7"/>
  <c r="F445" i="7"/>
  <c r="D457" i="7" s="1" a="1"/>
  <c r="D457" i="7" s="1"/>
  <c r="E233" i="5"/>
  <c r="E227" i="5"/>
  <c r="E221" i="5"/>
  <c r="E217" i="5"/>
  <c r="E214" i="5"/>
  <c r="E229" i="5"/>
  <c r="E232" i="5"/>
  <c r="E235" i="5"/>
  <c r="E224" i="5"/>
  <c r="E220" i="5"/>
  <c r="E218" i="5"/>
  <c r="E215" i="5"/>
  <c r="E226" i="5"/>
  <c r="E338" i="5"/>
  <c r="L426" i="5" a="1"/>
  <c r="L426" i="5" s="1"/>
  <c r="L436" i="5" s="1"/>
  <c r="K423" i="5" a="1"/>
  <c r="K423" i="5" s="1"/>
  <c r="K436" i="5" s="1"/>
  <c r="J430" i="5" a="1"/>
  <c r="J430" i="5" s="1"/>
  <c r="J436" i="5" s="1"/>
  <c r="I423" i="5" a="1"/>
  <c r="I423" i="5" s="1"/>
  <c r="I436" i="5" s="1"/>
  <c r="E340" i="5"/>
  <c r="L467" i="5" a="1"/>
  <c r="L467" i="5" s="1"/>
  <c r="L470" i="5" s="1"/>
  <c r="K463" i="5" a="1"/>
  <c r="K463" i="5" s="1"/>
  <c r="K470" i="5" s="1"/>
  <c r="J467" i="5" a="1"/>
  <c r="J467" i="5" s="1"/>
  <c r="J470" i="5" s="1"/>
  <c r="I464" i="5" a="1"/>
  <c r="I464" i="5" s="1"/>
  <c r="I470" i="5" s="1"/>
  <c r="G338" i="5"/>
  <c r="G379" i="5"/>
  <c r="D190" i="5" l="1"/>
  <c r="L190" i="5"/>
  <c r="R379" i="5"/>
  <c r="I395" i="5" s="1"/>
  <c r="G336" i="5" s="1"/>
  <c r="E395" i="5"/>
  <c r="E393" i="5" a="1"/>
  <c r="E393" i="5" s="1"/>
  <c r="D188" i="5"/>
  <c r="F357" i="7"/>
  <c r="I506" i="7"/>
  <c r="I444" i="7"/>
  <c r="I443" i="7"/>
  <c r="K442" i="7"/>
  <c r="I507" i="7"/>
  <c r="N442" i="7"/>
  <c r="I445" i="7"/>
  <c r="I446" i="7"/>
  <c r="I447" i="7"/>
  <c r="I448" i="7"/>
  <c r="I449" i="7"/>
  <c r="I450" i="7"/>
  <c r="I451" i="7"/>
  <c r="I452" i="7"/>
  <c r="I453" i="7"/>
  <c r="I454" i="7"/>
  <c r="I455" i="7"/>
  <c r="I456" i="7"/>
  <c r="I457" i="7"/>
  <c r="I458" i="7"/>
  <c r="I459" i="7"/>
  <c r="I460" i="7"/>
  <c r="I461" i="7"/>
  <c r="I462" i="7"/>
  <c r="I463" i="7"/>
  <c r="I464" i="7"/>
  <c r="I465" i="7"/>
  <c r="I466" i="7"/>
  <c r="I467" i="7"/>
  <c r="I468" i="7"/>
  <c r="I469" i="7"/>
  <c r="I470" i="7"/>
  <c r="I471" i="7"/>
  <c r="I472" i="7"/>
  <c r="I473" i="7"/>
  <c r="I474" i="7"/>
  <c r="I475" i="7"/>
  <c r="I476" i="7"/>
  <c r="I477" i="7"/>
  <c r="I478" i="7"/>
  <c r="I479" i="7"/>
  <c r="I480" i="7"/>
  <c r="I481" i="7"/>
  <c r="I482" i="7"/>
  <c r="I483" i="7"/>
  <c r="I484" i="7"/>
  <c r="I485" i="7"/>
  <c r="I486" i="7"/>
  <c r="I487" i="7"/>
  <c r="I488" i="7"/>
  <c r="I489" i="7"/>
  <c r="I490" i="7"/>
  <c r="I491" i="7"/>
  <c r="I492" i="7"/>
  <c r="I493" i="7"/>
  <c r="F352" i="7"/>
  <c r="F354" i="7" s="1"/>
  <c r="I354" i="7" s="1"/>
  <c r="E462" i="7"/>
  <c r="E463" i="7" s="1"/>
  <c r="F355" i="7" s="1"/>
  <c r="F353" i="7"/>
  <c r="G321" i="7"/>
  <c r="F229" i="5" a="1"/>
  <c r="F229" i="5" s="1"/>
  <c r="D214" i="5"/>
  <c r="D235" i="5"/>
  <c r="J186" i="5"/>
  <c r="J188" i="5" s="1"/>
  <c r="F226" i="5" a="1"/>
  <c r="F226" i="5" s="1"/>
  <c r="F224" i="5" a="1"/>
  <c r="F224" i="5" s="1"/>
  <c r="E190" i="5"/>
  <c r="D223" i="5"/>
  <c r="F236" i="5" a="1"/>
  <c r="F236" i="5" s="1"/>
  <c r="D238" i="5"/>
  <c r="D239" i="5" a="1"/>
  <c r="D239" i="5" s="1"/>
  <c r="D217" i="5"/>
  <c r="F218" i="5" a="1"/>
  <c r="F218" i="5" s="1"/>
  <c r="D233" i="5" a="1"/>
  <c r="D233" i="5" s="1"/>
  <c r="F217" i="5" a="1"/>
  <c r="F217" i="5" s="1"/>
  <c r="D236" i="5" a="1"/>
  <c r="D236" i="5" s="1"/>
  <c r="D240" i="5"/>
  <c r="G335" i="5" s="1"/>
  <c r="D226" i="5"/>
  <c r="E335" i="5"/>
  <c r="D215" i="5"/>
  <c r="F235" i="5" a="1"/>
  <c r="F235" i="5" s="1"/>
  <c r="D218" i="5" a="1"/>
  <c r="D218" i="5" s="1"/>
  <c r="F232" i="5" a="1"/>
  <c r="F232" i="5" s="1"/>
  <c r="D224" i="5" a="1"/>
  <c r="D224" i="5" s="1"/>
  <c r="D227" i="5" a="1"/>
  <c r="D227" i="5" s="1"/>
  <c r="I186" i="5"/>
  <c r="I188" i="5" s="1"/>
  <c r="F190" i="5"/>
  <c r="K178" i="5"/>
  <c r="K188" i="5" s="1"/>
  <c r="D232" i="5"/>
  <c r="D230" i="5" a="1"/>
  <c r="D230" i="5" s="1"/>
  <c r="F221" i="5" a="1"/>
  <c r="F221" i="5" s="1"/>
  <c r="D221" i="5"/>
  <c r="F233" i="5" a="1"/>
  <c r="F233" i="5" s="1"/>
  <c r="F220" i="5" a="1"/>
  <c r="F220" i="5" s="1"/>
  <c r="F214" i="5" a="1"/>
  <c r="F214" i="5" s="1"/>
  <c r="H182" i="5"/>
  <c r="H188" i="5" s="1"/>
  <c r="F223" i="5" a="1"/>
  <c r="F223" i="5" s="1"/>
  <c r="D220" i="5"/>
  <c r="F215" i="5" a="1"/>
  <c r="F215" i="5" s="1"/>
  <c r="D229" i="5"/>
  <c r="F227" i="5" a="1"/>
  <c r="F227" i="5" s="1"/>
  <c r="F230" i="5" a="1"/>
  <c r="F230" i="5" s="1"/>
  <c r="F356" i="7"/>
  <c r="F358" i="7" s="1"/>
  <c r="I358" i="7" s="1"/>
  <c r="D462" i="7"/>
  <c r="D463" i="7" s="1"/>
  <c r="F359" i="7" s="1"/>
  <c r="L496" i="7"/>
  <c r="D453" i="7"/>
  <c r="E336" i="5"/>
  <c r="L387" i="5" a="1"/>
  <c r="L387" i="5" s="1"/>
  <c r="L393" i="5" s="1"/>
  <c r="J378" i="5" a="1"/>
  <c r="J378" i="5" s="1"/>
  <c r="J393" i="5" s="1"/>
  <c r="I384" i="5" a="1"/>
  <c r="I384" i="5" s="1"/>
  <c r="I393" i="5" s="1"/>
  <c r="K378" i="5" a="1"/>
  <c r="K378" i="5" s="1"/>
  <c r="K393" i="5" s="1"/>
  <c r="E471" i="5"/>
  <c r="K340" i="5" s="1"/>
  <c r="F340" i="5" s="1"/>
  <c r="E437" i="5"/>
  <c r="K338" i="5" s="1"/>
  <c r="F338" i="5" s="1"/>
  <c r="F473" i="5"/>
  <c r="E473" i="5"/>
  <c r="J340" i="5" s="1"/>
  <c r="F439" i="5"/>
  <c r="E439" i="5"/>
  <c r="J338" i="5" s="1"/>
  <c r="D191" i="5" l="1"/>
  <c r="J335" i="5" s="1"/>
  <c r="E191" i="5"/>
  <c r="I335" i="5" s="1"/>
  <c r="D189" i="5"/>
  <c r="K335" i="5" s="1"/>
  <c r="F335" i="5" s="1"/>
  <c r="M442" i="7"/>
  <c r="I505" i="7"/>
  <c r="I504" i="7"/>
  <c r="E371" i="5" a="1"/>
  <c r="E371" i="5" s="1"/>
  <c r="E344" i="5" a="1"/>
  <c r="E344" i="5" s="1"/>
  <c r="E394" i="5"/>
  <c r="K336" i="5" s="1"/>
  <c r="F336" i="5" s="1"/>
  <c r="I340" i="5"/>
  <c r="F396" i="5"/>
  <c r="I336" i="5" s="1"/>
  <c r="E396" i="5"/>
  <c r="J336" i="5" s="1"/>
  <c r="I338" i="5"/>
  <c r="F362" i="5" l="1"/>
  <c r="F365" i="5"/>
  <c r="F367" i="5"/>
  <c r="F363" i="5"/>
  <c r="I454" i="5" l="1"/>
  <c r="F457" i="5" l="1"/>
  <c r="I339" i="5" s="1"/>
  <c r="E455" i="5"/>
  <c r="K339" i="5" s="1"/>
  <c r="F339" i="5" s="1"/>
  <c r="E457" i="5"/>
  <c r="J339" i="5" s="1"/>
  <c r="G357" i="5" s="1" a="1"/>
  <c r="G357" i="5" s="1"/>
  <c r="F366" i="5" l="1"/>
  <c r="F357" i="5" l="1" a="1"/>
  <c r="F357" i="5" s="1"/>
  <c r="F371" i="5"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<sst xmlns="http://schemas.openxmlformats.org/spreadsheetml/2006/main" count="2501" uniqueCount="980">
  <si>
    <t>Stringency studies</t>
  </si>
  <si>
    <t xml:space="preserve"> Effect on COVID-19 mortality</t>
  </si>
  <si>
    <t>Estimate</t>
  </si>
  <si>
    <t>Standard error</t>
  </si>
  <si>
    <t>1/SE</t>
  </si>
  <si>
    <t>“Good” bias dimensions</t>
  </si>
  <si>
    <t>Sensitivity analysis (quality adjusted PWA)</t>
  </si>
  <si>
    <t>Data for checks and use other places</t>
  </si>
  <si>
    <t>Original estimates and standard errors</t>
  </si>
  <si>
    <t>No.</t>
  </si>
  <si>
    <t>Study</t>
  </si>
  <si>
    <t>Estimate and standard error</t>
  </si>
  <si>
    <t>Common measure (relative to recommendation policy)</t>
  </si>
  <si>
    <t>Input data for groupings</t>
  </si>
  <si>
    <t>Groupings</t>
  </si>
  <si>
    <t>SE</t>
  </si>
  <si>
    <t>Unit</t>
  </si>
  <si>
    <t>Europe</t>
  </si>
  <si>
    <t>United states</t>
  </si>
  <si>
    <t>Last date of data</t>
  </si>
  <si>
    <t>Early effect</t>
  </si>
  <si>
    <t>Field of research</t>
  </si>
  <si>
    <t>Publication status</t>
  </si>
  <si>
    <t>Lagged vs. no lag of policy effect</t>
  </si>
  <si>
    <t>Fixed/random vs. no fixed/random effects</t>
  </si>
  <si>
    <t>Public vs. own data.</t>
  </si>
  <si>
    <t>Handling vs. no handling of causality</t>
  </si>
  <si>
    <t>Peer-reviewed</t>
  </si>
  <si>
    <t>Long data series</t>
  </si>
  <si>
    <t>No early effect</t>
  </si>
  <si>
    <t>Lagged</t>
  </si>
  <si>
    <t>Fixed/random effects</t>
  </si>
  <si>
    <t>Public data</t>
  </si>
  <si>
    <t>Handling of causality</t>
  </si>
  <si>
    <t>Social Science</t>
  </si>
  <si>
    <t>Super study</t>
  </si>
  <si>
    <t>Quality index</t>
  </si>
  <si>
    <t>1/SE*QI</t>
  </si>
  <si>
    <t>% fewer deaths per 1% increase in stringency</t>
  </si>
  <si>
    <t>&lt;8 days</t>
  </si>
  <si>
    <t>Economics</t>
  </si>
  <si>
    <t>Peer-review</t>
  </si>
  <si>
    <t>Yes</t>
  </si>
  <si>
    <t>OxCGRT stringency index</t>
  </si>
  <si>
    <t>Instrument variable</t>
  </si>
  <si>
    <t>% fewer deaths per stringency point</t>
  </si>
  <si>
    <t>15-21 days</t>
  </si>
  <si>
    <t>Government</t>
  </si>
  <si>
    <t>Does not handle causality</t>
  </si>
  <si>
    <t>n/a</t>
  </si>
  <si>
    <t>No</t>
  </si>
  <si>
    <t>no</t>
  </si>
  <si>
    <t>deaths/million per stringency point</t>
  </si>
  <si>
    <t>International Development</t>
  </si>
  <si>
    <t>WP</t>
  </si>
  <si>
    <t>Lag dependent (&gt;2 weeks)</t>
  </si>
  <si>
    <t>Epidemiology</t>
  </si>
  <si>
    <t>Other model handling</t>
  </si>
  <si>
    <t>Precision-weighted average (arithmetic average / median)</t>
  </si>
  <si>
    <t>Precision-weighted average</t>
  </si>
  <si>
    <t>Arithmetic average</t>
  </si>
  <si>
    <t>Median</t>
  </si>
  <si>
    <t>Peer-reviewed vs. working papers</t>
  </si>
  <si>
    <t>Working paper</t>
  </si>
  <si>
    <t>Long vs. short data period</t>
  </si>
  <si>
    <t>Data serie ends after 31 May 2020</t>
  </si>
  <si>
    <t>Data serie ends before 31 May 2020</t>
  </si>
  <si>
    <t>No early effect on deaths</t>
  </si>
  <si>
    <t>Does not find an effect within the first 14 days</t>
  </si>
  <si>
    <t>Finds effect within the first 14 days (including n/a)</t>
  </si>
  <si>
    <t>Lagged vs. no lag of policy implementation</t>
  </si>
  <si>
    <t>Lagged policy implementation</t>
  </si>
  <si>
    <t>No lag of policy implementation</t>
  </si>
  <si>
    <t>Panel vs. no panel estimation</t>
  </si>
  <si>
    <t>Panel estimation</t>
  </si>
  <si>
    <t>No panel estimation</t>
  </si>
  <si>
    <t>Verified vs. unverified data</t>
  </si>
  <si>
    <t>Own data</t>
  </si>
  <si>
    <t>Address vs. do not address causality</t>
  </si>
  <si>
    <t>No handling of causality</t>
  </si>
  <si>
    <t>Social sciences vs. other sciences</t>
  </si>
  <si>
    <t>Social sciences</t>
  </si>
  <si>
    <t>Other sciences</t>
  </si>
  <si>
    <t>Lagged, fixed</t>
  </si>
  <si>
    <t>Not super study</t>
  </si>
  <si>
    <t>Quality index adjusted PWA</t>
  </si>
  <si>
    <t>All estimates</t>
  </si>
  <si>
    <t>Inputs</t>
  </si>
  <si>
    <t>Input for commen measure estimate</t>
  </si>
  <si>
    <t>Recommendation policy</t>
  </si>
  <si>
    <t>Average stringency</t>
  </si>
  <si>
    <t>Population (million)</t>
  </si>
  <si>
    <t>Average value for various measures from OxCGRT (March 16 to April 15, 2020)</t>
  </si>
  <si>
    <t>C1_School closing</t>
  </si>
  <si>
    <t>C2_Workplace closing</t>
  </si>
  <si>
    <t>C3_Cancel public events</t>
  </si>
  <si>
    <t>C4_Restrictions on gatherings</t>
  </si>
  <si>
    <t>C5_Close public transport</t>
  </si>
  <si>
    <t>C6_Stay at home requirements</t>
  </si>
  <si>
    <t>C7_Restrictions on internal movement</t>
  </si>
  <si>
    <t>C8_International travel controls</t>
  </si>
  <si>
    <t>H6_Facial Coverings</t>
  </si>
  <si>
    <t>H8_Protection of elderly people</t>
  </si>
  <si>
    <t>COVID-19-deaths at dates relevant for the studies</t>
  </si>
  <si>
    <t>(1) June 30, 2020</t>
  </si>
  <si>
    <t>(89) June 30, 2020</t>
  </si>
  <si>
    <t>(89) Dec 31, 2020</t>
  </si>
  <si>
    <t>(99) June 30, 2020</t>
  </si>
  <si>
    <t>(102) May 20, 2020</t>
  </si>
  <si>
    <t xml:space="preserve"> (111) July 15th, 2020</t>
  </si>
  <si>
    <t>(137) December 3, 2020</t>
  </si>
  <si>
    <t>Shelter-in-place orders</t>
  </si>
  <si>
    <t>Effect of SIPO</t>
  </si>
  <si>
    <t>Weight = 1/SE</t>
  </si>
  <si>
    <t>Quality dimensions</t>
  </si>
  <si>
    <t>Studies where SIPO is one of several variablse and not (as) likely to capture the effect of other measures</t>
  </si>
  <si>
    <t>Precision-weighted average (arithmetic average / median) where SIPO is one of several variables</t>
  </si>
  <si>
    <t>Studies where SIPO is the only variable and may capture the effect of other measures</t>
  </si>
  <si>
    <t>Precision-weighted average (arithmetic average / median) where SIPO is the only variable</t>
  </si>
  <si>
    <t>Precision-weighted average (arithmetic average / median) for all studies</t>
  </si>
  <si>
    <t>Original estimate</t>
  </si>
  <si>
    <t>Original SE</t>
  </si>
  <si>
    <t>Earliest effect</t>
  </si>
  <si>
    <t>Other research data</t>
  </si>
  <si>
    <t>OxCGRT data</t>
  </si>
  <si>
    <t>Management</t>
  </si>
  <si>
    <t>Argumentation</t>
  </si>
  <si>
    <t>Social work</t>
  </si>
  <si>
    <t>Public policy</t>
  </si>
  <si>
    <t>Other official source</t>
  </si>
  <si>
    <t>Finds no effect</t>
  </si>
  <si>
    <t>New York Times</t>
  </si>
  <si>
    <t>8-14 days</t>
  </si>
  <si>
    <t>Public Health</t>
  </si>
  <si>
    <t>Other data</t>
  </si>
  <si>
    <t>Super studies</t>
  </si>
  <si>
    <t>Specific NPIs</t>
  </si>
  <si>
    <t>1. NPI</t>
  </si>
  <si>
    <t>Number of studies</t>
  </si>
  <si>
    <t>2. Precision-weighted averages</t>
  </si>
  <si>
    <t>3. Sensitivity analysis</t>
  </si>
  <si>
    <t>4. Quality index adjusted PWA</t>
  </si>
  <si>
    <t>Min</t>
  </si>
  <si>
    <t>Max</t>
  </si>
  <si>
    <t>Help column</t>
  </si>
  <si>
    <t>SIPO</t>
  </si>
  <si>
    <t>Business closure</t>
  </si>
  <si>
    <t>School closures</t>
  </si>
  <si>
    <t>Limiting gatherings</t>
  </si>
  <si>
    <t>Travel restrictions</t>
  </si>
  <si>
    <t>Face masks mandates</t>
  </si>
  <si>
    <t>Public events cancellation</t>
  </si>
  <si>
    <t>Public transportation closures</t>
  </si>
  <si>
    <t>Internal movement restrictions</t>
  </si>
  <si>
    <t>All at once:</t>
  </si>
  <si>
    <t>Share of time with mandate (weighted by population)</t>
  </si>
  <si>
    <t>United States</t>
  </si>
  <si>
    <t>Best case</t>
  </si>
  <si>
    <t>Worst case</t>
  </si>
  <si>
    <t>Effect of average policy spring 2020</t>
  </si>
  <si>
    <t>2. Share of time with mandate (population weighted)</t>
  </si>
  <si>
    <t>3. Average effect</t>
  </si>
  <si>
    <t>4. Sensitivity analysis</t>
  </si>
  <si>
    <t>5. Quality index adjusted PWA</t>
  </si>
  <si>
    <t>Business closures</t>
  </si>
  <si>
    <t>Description</t>
  </si>
  <si>
    <t>Largest weight equal to 2nd largest</t>
  </si>
  <si>
    <t>Lowest weight equal to 2nd lowest</t>
  </si>
  <si>
    <t>Smallest (most negative) estimate equal to 2nd smallest</t>
  </si>
  <si>
    <t>Highest (least negative) estimate equal to 2nd highest</t>
  </si>
  <si>
    <t>Measure is average of business and bar/restaurant closure</t>
  </si>
  <si>
    <t>Average of below measures</t>
  </si>
  <si>
    <t>Bars &amp; restaurants</t>
  </si>
  <si>
    <t>Bars but not restaurants</t>
  </si>
  <si>
    <t>Implemented before first death</t>
  </si>
  <si>
    <t>Implemented within 14 days after first death</t>
  </si>
  <si>
    <t>Bars &amp; restaurants limit</t>
  </si>
  <si>
    <t>Restaurants</t>
  </si>
  <si>
    <t>Early closure</t>
  </si>
  <si>
    <t>Late closure</t>
  </si>
  <si>
    <t>For control: PWA - average - median</t>
  </si>
  <si>
    <t>Public school closure</t>
  </si>
  <si>
    <t>All school closure</t>
  </si>
  <si>
    <t>Closing schools</t>
  </si>
  <si>
    <t>Opening schools (virtual vs. traditional)</t>
  </si>
  <si>
    <t>Early limits</t>
  </si>
  <si>
    <t>Late limits</t>
  </si>
  <si>
    <t>International travel restrictions</t>
  </si>
  <si>
    <t>Border closures</t>
  </si>
  <si>
    <t>Quarantine of travelers</t>
  </si>
  <si>
    <t>Early restrictions</t>
  </si>
  <si>
    <t>Late restrictions</t>
  </si>
  <si>
    <t>Face masks</t>
  </si>
  <si>
    <t>Mandatory masks</t>
  </si>
  <si>
    <t>Employee masks</t>
  </si>
  <si>
    <t>Early mandates</t>
  </si>
  <si>
    <t>Late mandates</t>
  </si>
  <si>
    <t>Other NPIs</t>
  </si>
  <si>
    <t>Lockdown of any type</t>
  </si>
  <si>
    <t>Input for specific NPIs</t>
  </si>
  <si>
    <t>Ophthalmology</t>
  </si>
  <si>
    <t>&gt;21 days</t>
  </si>
  <si>
    <t>Engineering</t>
  </si>
  <si>
    <t>National/complete lockdown</t>
  </si>
  <si>
    <t>Local/partial lockdown</t>
  </si>
  <si>
    <t>Facemasks early</t>
  </si>
  <si>
    <t>Facemasks late</t>
  </si>
  <si>
    <t>Employee face masks</t>
  </si>
  <si>
    <t>Public events cancellation (24 days)</t>
  </si>
  <si>
    <t>Public events cancellation (38 days)</t>
  </si>
  <si>
    <t>Restrictions on public transportation (24 days)</t>
  </si>
  <si>
    <t>Restrictions on public transportation (38 days)</t>
  </si>
  <si>
    <t>Restrictions on internal movement  (24 days)</t>
  </si>
  <si>
    <t>Restrictions on internal movement  (38 days)</t>
  </si>
  <si>
    <t>Bars &amp; restaurants early/24 days</t>
  </si>
  <si>
    <t>Bars &amp; restaurants late/38 days</t>
  </si>
  <si>
    <t>Bars (but not restaurants)</t>
  </si>
  <si>
    <t>Parks closed</t>
  </si>
  <si>
    <t>Gyms closed</t>
  </si>
  <si>
    <t>Spas closed</t>
  </si>
  <si>
    <t>Border closure</t>
  </si>
  <si>
    <t>Border closure early/24 days</t>
  </si>
  <si>
    <t>Border closure late/38 days</t>
  </si>
  <si>
    <t>School closure</t>
  </si>
  <si>
    <t>School closure early/24 days</t>
  </si>
  <si>
    <t>School closure late/38 days</t>
  </si>
  <si>
    <t>State of emergency</t>
  </si>
  <si>
    <t>No nursing home visits</t>
  </si>
  <si>
    <t>Gatherings</t>
  </si>
  <si>
    <t>Gatherings early/24 days</t>
  </si>
  <si>
    <t>Gatherings late/38 days</t>
  </si>
  <si>
    <t>Gatherings &lt;=10</t>
  </si>
  <si>
    <t>Gatherings 11-100</t>
  </si>
  <si>
    <t>Gatherings (limit &gt; 100)</t>
  </si>
  <si>
    <t>Note</t>
  </si>
  <si>
    <t xml:space="preserve"> </t>
  </si>
  <si>
    <t>COMMON STANDARD ERRORS Multiple lockdown measures</t>
  </si>
  <si>
    <t>Bars and restaurants</t>
  </si>
  <si>
    <t>Standardized estimates from eligible studies</t>
  </si>
  <si>
    <t>Did Lockdown Work? An Economist's Cross-Country Comparison</t>
  </si>
  <si>
    <t>Bjørnskov (2021)</t>
  </si>
  <si>
    <t>Stringency</t>
  </si>
  <si>
    <t>Europa</t>
  </si>
  <si>
    <t>USA</t>
  </si>
  <si>
    <t>Estimat</t>
  </si>
  <si>
    <t>US</t>
  </si>
  <si>
    <t>Table 2, four weeks</t>
  </si>
  <si>
    <t>Effect pr. stringency point</t>
  </si>
  <si>
    <t>Avg. Stringency</t>
  </si>
  <si>
    <t>Only data prior to turning point</t>
  </si>
  <si>
    <t>Effect = Estimate (-0.006) * Ln(Avg. Stringency)</t>
  </si>
  <si>
    <t>Only data after turning point</t>
  </si>
  <si>
    <t>Extra effect (Europe/US minus Recommendation policy)</t>
  </si>
  <si>
    <t>Instrumental variables estimates</t>
  </si>
  <si>
    <t>Causal impact of masks, policies, behavior on early covid-19 pandemic in the U.S.</t>
  </si>
  <si>
    <t>Chernozhukov et al. (2021)</t>
  </si>
  <si>
    <t>Effect as stated</t>
  </si>
  <si>
    <t>CI 90 low</t>
  </si>
  <si>
    <t>CI 90 high</t>
  </si>
  <si>
    <t>Effect on mortality</t>
  </si>
  <si>
    <t>SE - common</t>
  </si>
  <si>
    <t>Employee face mask: 34% (CI .90 [19%-47%])*</t>
  </si>
  <si>
    <t>Business closure: 40% (CI .90 [1%-97%])**</t>
  </si>
  <si>
    <t>&lt;- insignificant</t>
  </si>
  <si>
    <r>
      <t xml:space="preserve">Stay-at-home order: N/A (CI .90 [-7%-50%]) </t>
    </r>
    <r>
      <rPr>
        <b/>
        <sz val="9"/>
        <color theme="1"/>
        <rFont val="Lato"/>
        <family val="2"/>
      </rPr>
      <t>insignificant</t>
    </r>
  </si>
  <si>
    <t>* This is fewer deaths if mandating masks. The other results is *more* deaths if not closing businesses/issuing SAH-orders. So business closure should probably be 29% [1%-49%] and SAH N/A [-8% - 33%]</t>
  </si>
  <si>
    <t>**  Average of closed businesses, restaurants and movie theaters in the regression.</t>
  </si>
  <si>
    <t>Business closure is average of closed nonessential businesses, closed restaurants except takeout, and closed movie theaters</t>
  </si>
  <si>
    <t>The Luxury of Lockdown</t>
  </si>
  <si>
    <t>Shiva and Molana (2021)</t>
  </si>
  <si>
    <t>CI_low</t>
  </si>
  <si>
    <t>CI_high</t>
  </si>
  <si>
    <t>Note: "on average, a 10-unit increase in the index is associated with a reduction of around 1% in fatalities, once we have controlled for variations in infection rates and other relevant factors"</t>
  </si>
  <si>
    <t>Are we #stayinghome to Flatten the Curve?</t>
  </si>
  <si>
    <t>Sears et al. (2020)</t>
  </si>
  <si>
    <t xml:space="preserve">Estimate </t>
  </si>
  <si>
    <t>Precision</t>
  </si>
  <si>
    <t>Stay at home order</t>
  </si>
  <si>
    <t xml:space="preserve">death rates per 100,000 </t>
  </si>
  <si>
    <t>Model 1</t>
  </si>
  <si>
    <t>Model 2</t>
  </si>
  <si>
    <t>The estimate is insignificant (only 10%-significant), see Table 4</t>
  </si>
  <si>
    <t>Average</t>
  </si>
  <si>
    <t>SIPO + behavior</t>
  </si>
  <si>
    <t>Actual</t>
  </si>
  <si>
    <t>Without SIPO</t>
  </si>
  <si>
    <t>SIPO effect</t>
  </si>
  <si>
    <t>SIPO SE</t>
  </si>
  <si>
    <t>Association of country-wide coronavirus mortality with demographics, testing, lockdowns, and public wearing of masks</t>
  </si>
  <si>
    <t>Leffler et al. (2020)</t>
  </si>
  <si>
    <t>Effect after</t>
  </si>
  <si>
    <t>weeks</t>
  </si>
  <si>
    <t>8 weeks between Mar 15 and last day in study (May 10)</t>
  </si>
  <si>
    <t>Effect</t>
  </si>
  <si>
    <t>Masks recommendation</t>
  </si>
  <si>
    <t>&lt;- Masker ikke medtaget, da det er en anbefaling og ikke et påbud, og derfor vil fungere anderledes.</t>
  </si>
  <si>
    <t>Time in internal lockdown (weeks)</t>
  </si>
  <si>
    <t>"lockdowns, defined as any closure of schools or workplaces, limits on public gatherings or internal movement, or stay-at-home orders"</t>
  </si>
  <si>
    <t>Time since the start of international travel restrictions (weeks)</t>
  </si>
  <si>
    <t>Source: Table 2, both are insignificant</t>
  </si>
  <si>
    <t>"A country with 10% more of its population living in an urban environment than another country tended to suffer mortality 14.8% higher (10^0.0599 = 1.148, Table 2)", hence</t>
  </si>
  <si>
    <t>Note: Mask recommendation - not mandate - so not percieved as mandated NPI.</t>
  </si>
  <si>
    <t>the effect for estimates (weeks) can be calculated as weeks^est</t>
  </si>
  <si>
    <t>COVID-19: US shelter-in-place orders and demographic characteristics linked to cases, mortality, and recovery rates</t>
  </si>
  <si>
    <t>Alderman and Harjoto (2020)</t>
  </si>
  <si>
    <t>"We find that the natural log of the duration (in days) that the state instituted shelter-in-place reduces percentages of daily cases and mortality by 0.0019% and 0.0001% respectively, or approximately 1% of the means of percentages of daily cases and deaths per capita in our sample."</t>
  </si>
  <si>
    <t>t-value</t>
  </si>
  <si>
    <t>Table 3</t>
  </si>
  <si>
    <t>Standard error (= est/t)</t>
  </si>
  <si>
    <t>Evaluating the effects of shelter-in-place policies during the COVID-19 pandemic</t>
  </si>
  <si>
    <t>Berry et al. (2020)</t>
  </si>
  <si>
    <t>New COVID-19 Deaths per Million Residents</t>
  </si>
  <si>
    <t>New COVID-19 Deaths (%)</t>
  </si>
  <si>
    <t>Shelter in place order</t>
  </si>
  <si>
    <t>Source: OWID, v4.xlsb</t>
  </si>
  <si>
    <t>Figure 2 (Table A2. Detailed Results for COVID-19 Deaths - model (7)</t>
  </si>
  <si>
    <t>Estimates</t>
  </si>
  <si>
    <t>SIP</t>
  </si>
  <si>
    <r>
      <t>SIP</t>
    </r>
    <r>
      <rPr>
        <sz val="5"/>
        <color theme="1"/>
        <rFont val="Lato"/>
        <family val="1"/>
      </rPr>
      <t>t-1</t>
    </r>
  </si>
  <si>
    <r>
      <t>SIP</t>
    </r>
    <r>
      <rPr>
        <sz val="5"/>
        <color theme="1"/>
        <rFont val="Lato"/>
        <family val="1"/>
      </rPr>
      <t>t-2</t>
    </r>
  </si>
  <si>
    <r>
      <t>SIP</t>
    </r>
    <r>
      <rPr>
        <sz val="5"/>
        <color theme="1"/>
        <rFont val="Lato"/>
        <family val="1"/>
      </rPr>
      <t>t-3</t>
    </r>
  </si>
  <si>
    <r>
      <t>SIP</t>
    </r>
    <r>
      <rPr>
        <sz val="5"/>
        <color theme="1"/>
        <rFont val="Lato"/>
        <family val="1"/>
      </rPr>
      <t>t-4</t>
    </r>
  </si>
  <si>
    <r>
      <t>SIP</t>
    </r>
    <r>
      <rPr>
        <sz val="5"/>
        <color theme="1"/>
        <rFont val="Lato"/>
        <family val="1"/>
      </rPr>
      <t>t-5</t>
    </r>
  </si>
  <si>
    <r>
      <t>SIP</t>
    </r>
    <r>
      <rPr>
        <sz val="5"/>
        <color theme="1"/>
        <rFont val="Lato"/>
        <family val="1"/>
      </rPr>
      <t>t-6</t>
    </r>
  </si>
  <si>
    <r>
      <t>SIP</t>
    </r>
    <r>
      <rPr>
        <sz val="5"/>
        <color theme="1"/>
        <rFont val="Lato"/>
        <family val="1"/>
      </rPr>
      <t>t-7</t>
    </r>
  </si>
  <si>
    <r>
      <t>SIP</t>
    </r>
    <r>
      <rPr>
        <sz val="5"/>
        <color theme="1"/>
        <rFont val="Lato"/>
        <family val="1"/>
      </rPr>
      <t>t-8</t>
    </r>
  </si>
  <si>
    <r>
      <t>SIP</t>
    </r>
    <r>
      <rPr>
        <sz val="5"/>
        <color theme="1"/>
        <rFont val="Lato"/>
        <family val="1"/>
      </rPr>
      <t>t-9</t>
    </r>
  </si>
  <si>
    <r>
      <t>SIP</t>
    </r>
    <r>
      <rPr>
        <sz val="5"/>
        <color theme="1"/>
        <rFont val="Lato"/>
        <family val="1"/>
      </rPr>
      <t>t-10</t>
    </r>
  </si>
  <si>
    <r>
      <t>SIP</t>
    </r>
    <r>
      <rPr>
        <sz val="5"/>
        <color theme="1"/>
        <rFont val="Lato"/>
        <family val="1"/>
      </rPr>
      <t>t-11</t>
    </r>
  </si>
  <si>
    <r>
      <t>SIP</t>
    </r>
    <r>
      <rPr>
        <sz val="5"/>
        <color theme="1"/>
        <rFont val="Lato"/>
        <family val="1"/>
      </rPr>
      <t>t-12</t>
    </r>
  </si>
  <si>
    <r>
      <t>SIP</t>
    </r>
    <r>
      <rPr>
        <sz val="5"/>
        <color theme="1"/>
        <rFont val="Lato"/>
        <family val="1"/>
      </rPr>
      <t>t-13</t>
    </r>
  </si>
  <si>
    <r>
      <t>SIP</t>
    </r>
    <r>
      <rPr>
        <sz val="5"/>
        <color theme="1"/>
        <rFont val="Lato"/>
        <family val="1"/>
      </rPr>
      <t>t-14</t>
    </r>
  </si>
  <si>
    <t>I alt (SIPO in 14 consecutive days)</t>
  </si>
  <si>
    <t>SIPO date (num)</t>
  </si>
  <si>
    <t>SIPO date (date)</t>
  </si>
  <si>
    <t>SIPO date, all (date)</t>
  </si>
  <si>
    <t>SIPO date  + 14 days, all (date)</t>
  </si>
  <si>
    <t>SIPO date  + 14 days, all (num)</t>
  </si>
  <si>
    <t>Deaths, SIPO date + 14 days</t>
  </si>
  <si>
    <t>Population</t>
  </si>
  <si>
    <r>
      <t xml:space="preserve">Deaths </t>
    </r>
    <r>
      <rPr>
        <b/>
        <sz val="9"/>
        <color theme="1"/>
        <rFont val="Lato"/>
        <family val="2"/>
      </rPr>
      <t>with</t>
    </r>
    <r>
      <rPr>
        <sz val="9"/>
        <color theme="1"/>
        <rFont val="Lato"/>
        <family val="2"/>
      </rPr>
      <t xml:space="preserve"> SIPO</t>
    </r>
  </si>
  <si>
    <r>
      <t xml:space="preserve">Deaths </t>
    </r>
    <r>
      <rPr>
        <b/>
        <sz val="9"/>
        <color theme="1"/>
        <rFont val="Lato"/>
        <family val="2"/>
      </rPr>
      <t>without</t>
    </r>
    <r>
      <rPr>
        <sz val="9"/>
        <color theme="1"/>
        <rFont val="Lato"/>
        <family val="2"/>
      </rPr>
      <t xml:space="preserve"> SIPO</t>
    </r>
  </si>
  <si>
    <t>Alabama</t>
  </si>
  <si>
    <t>20200407</t>
  </si>
  <si>
    <t>Alaska</t>
  </si>
  <si>
    <t>20200405</t>
  </si>
  <si>
    <t>Arizona</t>
  </si>
  <si>
    <t>20200414</t>
  </si>
  <si>
    <t>Arkansas</t>
  </si>
  <si>
    <t>No SIPO</t>
  </si>
  <si>
    <t>California</t>
  </si>
  <si>
    <t>20200331</t>
  </si>
  <si>
    <t>Colorado</t>
  </si>
  <si>
    <t>Connecticut</t>
  </si>
  <si>
    <t>Delaware</t>
  </si>
  <si>
    <t>Florida</t>
  </si>
  <si>
    <t>20200330</t>
  </si>
  <si>
    <t>Georgia</t>
  </si>
  <si>
    <t>20200404</t>
  </si>
  <si>
    <t>Hawaii</t>
  </si>
  <si>
    <t>20200408</t>
  </si>
  <si>
    <t>Idaho</t>
  </si>
  <si>
    <t>Illinois</t>
  </si>
  <si>
    <t>Indiana</t>
  </si>
  <si>
    <t>Iowa</t>
  </si>
  <si>
    <t>Kansas</t>
  </si>
  <si>
    <t>20200413</t>
  </si>
  <si>
    <t>Kentucky</t>
  </si>
  <si>
    <t>20200409</t>
  </si>
  <si>
    <t>Louisiana</t>
  </si>
  <si>
    <t>20200406</t>
  </si>
  <si>
    <t>Maine</t>
  </si>
  <si>
    <t>Maryland</t>
  </si>
  <si>
    <t>Massachusetts</t>
  </si>
  <si>
    <t>Michigan</t>
  </si>
  <si>
    <t>Minnesota</t>
  </si>
  <si>
    <t>20200410</t>
  </si>
  <si>
    <t>Mississippi</t>
  </si>
  <si>
    <t>20200417</t>
  </si>
  <si>
    <t>Missouri</t>
  </si>
  <si>
    <t>Montana</t>
  </si>
  <si>
    <t>Nebraska</t>
  </si>
  <si>
    <t>20201217</t>
  </si>
  <si>
    <t>Nevada</t>
  </si>
  <si>
    <t>20200415</t>
  </si>
  <si>
    <t>New Hampshire</t>
  </si>
  <si>
    <t>New Jersey</t>
  </si>
  <si>
    <t>New Mexico</t>
  </si>
  <si>
    <t>New York</t>
  </si>
  <si>
    <t>North Carolina</t>
  </si>
  <si>
    <t>North Dakota</t>
  </si>
  <si>
    <t>Ohio</t>
  </si>
  <si>
    <t>Oklahoma</t>
  </si>
  <si>
    <t>Oregon</t>
  </si>
  <si>
    <t>Pennsylvania</t>
  </si>
  <si>
    <t>Rhode Island</t>
  </si>
  <si>
    <t>South Carolina</t>
  </si>
  <si>
    <t>South Dakota</t>
  </si>
  <si>
    <t>Tennessee</t>
  </si>
  <si>
    <t>20200329</t>
  </si>
  <si>
    <t>Texas</t>
  </si>
  <si>
    <t>Utah</t>
  </si>
  <si>
    <t>Vermont</t>
  </si>
  <si>
    <t>Virginia</t>
  </si>
  <si>
    <t>Washington</t>
  </si>
  <si>
    <t>Washington DC</t>
  </si>
  <si>
    <t>West Virginia</t>
  </si>
  <si>
    <t>Wisconsin</t>
  </si>
  <si>
    <t>Wyoming</t>
  </si>
  <si>
    <t>US total</t>
  </si>
  <si>
    <t>Source: Data from Our World in Data</t>
  </si>
  <si>
    <t>Government Effectiveness and the COVID-19 Pandemic</t>
  </si>
  <si>
    <t>Chisadza et al. (2021)</t>
  </si>
  <si>
    <t>Source</t>
  </si>
  <si>
    <t>ln(death)</t>
  </si>
  <si>
    <t>death</t>
  </si>
  <si>
    <t>Linear term: An increase by 1 on "stringency index" increases the number of ln(deaths) by 0.0130 per million</t>
  </si>
  <si>
    <t>Table 1 (4)</t>
  </si>
  <si>
    <t>Lineær</t>
  </si>
  <si>
    <t>Kvadratisk</t>
  </si>
  <si>
    <t>Quadratic term</t>
  </si>
  <si>
    <t>SI</t>
  </si>
  <si>
    <t>Table 2 (4)</t>
  </si>
  <si>
    <t>SI^2</t>
  </si>
  <si>
    <t>Total Deaths (7-day MA)</t>
  </si>
  <si>
    <t>Table A4 (4)</t>
  </si>
  <si>
    <t>Total Deaths (14-day MA)</t>
  </si>
  <si>
    <t>Table A5 (4)</t>
  </si>
  <si>
    <t>Ordinary Least Squares</t>
  </si>
  <si>
    <t>Advanced Economies</t>
  </si>
  <si>
    <t>Table 11 (1)</t>
  </si>
  <si>
    <t>Note: "The standard error of the linear estimate is the best guess at the standard error of the average, because the linear estimate is the effect on average."</t>
  </si>
  <si>
    <t>Note: We can interpret the Poisson regression coefficient as follows: for a one unit change in the predictor variable, the difference in the logs of expected counts is expected to change by the respective regression coefficient, given the other predictor variables in the model are held constant.” (Fra https://stats.oarc.ucla.edu/stata/output/poisson-regression/)</t>
  </si>
  <si>
    <t>Also see http://www.haowang.pw/blog/Poisson-Coefficient-Interpretation/</t>
  </si>
  <si>
    <t>Recommendations</t>
  </si>
  <si>
    <t>Totel effect - linear term</t>
  </si>
  <si>
    <t>Total effect - quadratic term</t>
  </si>
  <si>
    <t>Stay-at-home orders associate with subsequent decreases in COVID-19 cases and fatalities in the United States</t>
  </si>
  <si>
    <t>Fowler et al. (2021)</t>
  </si>
  <si>
    <t>Stay at home: -35%</t>
  </si>
  <si>
    <t xml:space="preserve">These results suggest that stay-at-home orders reduced confirmed cases nationwide by 390,000 (170,000 to 680,000) and fatalities by 41,000 (27,000 to 59,000) within the first three weeks. These estimates suggest reductions in cases of 25% and in fatalities of 35%, respectively. </t>
  </si>
  <si>
    <t>The relative effects of non-pharmaceutical interventions on early Covid-19 mortality: natural experiment in 130 countries</t>
  </si>
  <si>
    <t>Stokes et al. (2020)</t>
  </si>
  <si>
    <t>24 days</t>
  </si>
  <si>
    <t>38 days</t>
  </si>
  <si>
    <t>Source: Right panel in Table "Regression results, policy strictness. Baseline is policy not introduced within policy analysis period" in "Additional file"</t>
  </si>
  <si>
    <t>Source: OWID-data, v4.xlsb</t>
  </si>
  <si>
    <t>Select</t>
  </si>
  <si>
    <t>Current:</t>
  </si>
  <si>
    <t>https://www.bsg.ox.ac.uk/sites/default/files/2021-06/BSG-WP-2020-032-v12_0.pdf</t>
  </si>
  <si>
    <t>Policy effect</t>
  </si>
  <si>
    <t>Deaths without NPIs</t>
  </si>
  <si>
    <t>Effect if they all had implemented NPIs at March 15th</t>
  </si>
  <si>
    <t>Effect of actual policy</t>
  </si>
  <si>
    <t>Implementation date in "if they all had…"</t>
  </si>
  <si>
    <t>24 days before end of study period (June 1, 2020)</t>
  </si>
  <si>
    <t>Days until 24 days before end of study period</t>
  </si>
  <si>
    <t>Estimating the number of deaths in Europe and United States withouth NPIs.</t>
  </si>
  <si>
    <t>In these columns we calculate how many days the policy was in effect between implementation</t>
  </si>
  <si>
    <t>EUROPE</t>
  </si>
  <si>
    <t>In these columns we find the date (days from Janury 1, 2020) when they implemented mandates</t>
  </si>
  <si>
    <t>and May 8, 2020 (24 days before June 1, 2020)</t>
  </si>
  <si>
    <t>In these columns we calculate the effect on total deaths based on the estimates from Stokes et al. (2020)</t>
  </si>
  <si>
    <t>Implementation time (days from March 1, 2020)</t>
  </si>
  <si>
    <t>Days with policy until May 8, 2020</t>
  </si>
  <si>
    <t>Policy effect (from "with NPIs" to "without NPIs")</t>
  </si>
  <si>
    <t>Deaths by June 1, 2020</t>
  </si>
  <si>
    <t>Max of C1_School closing</t>
  </si>
  <si>
    <t>Max of C2_Workplace closing</t>
  </si>
  <si>
    <t>Max of C3_Cancel public events</t>
  </si>
  <si>
    <t>Max of C4_Restrictions on gatherings</t>
  </si>
  <si>
    <t>Max of C5_Close public transport</t>
  </si>
  <si>
    <t>Max of C6_Stay at home requirements</t>
  </si>
  <si>
    <t>Max of C7_Restrictions on internal movement</t>
  </si>
  <si>
    <t>Max of C8_International travel controls</t>
  </si>
  <si>
    <t>With (assumed) lockdown</t>
  </si>
  <si>
    <t>Without lockdown</t>
  </si>
  <si>
    <t>Level for recommendation</t>
  </si>
  <si>
    <t>Albania</t>
  </si>
  <si>
    <t>Andorra</t>
  </si>
  <si>
    <t>Austria</t>
  </si>
  <si>
    <t>Belarus</t>
  </si>
  <si>
    <t>Belgium</t>
  </si>
  <si>
    <t>Bosnia and Herzegovina</t>
  </si>
  <si>
    <t>Bulgaria</t>
  </si>
  <si>
    <t>Croatia</t>
  </si>
  <si>
    <t>Cyprus</t>
  </si>
  <si>
    <t>Czech Republic</t>
  </si>
  <si>
    <t>Denmark</t>
  </si>
  <si>
    <t>Estonia</t>
  </si>
  <si>
    <t>Finland</t>
  </si>
  <si>
    <t>France</t>
  </si>
  <si>
    <t>Germany</t>
  </si>
  <si>
    <t>Greece</t>
  </si>
  <si>
    <t>Hungary</t>
  </si>
  <si>
    <t>Iceland</t>
  </si>
  <si>
    <t>Ireland</t>
  </si>
  <si>
    <t>Italy</t>
  </si>
  <si>
    <t>Kosovo</t>
  </si>
  <si>
    <t>Latvia</t>
  </si>
  <si>
    <t>Liechtenstein</t>
  </si>
  <si>
    <t>Lithuania</t>
  </si>
  <si>
    <t>Luxembourg</t>
  </si>
  <si>
    <t>Malta</t>
  </si>
  <si>
    <t>Moldova</t>
  </si>
  <si>
    <t>Monaco</t>
  </si>
  <si>
    <t>Netherlands</t>
  </si>
  <si>
    <t>Norway</t>
  </si>
  <si>
    <t>Poland</t>
  </si>
  <si>
    <t>Portugal</t>
  </si>
  <si>
    <t>Romania</t>
  </si>
  <si>
    <t>Russia</t>
  </si>
  <si>
    <t>San Marino</t>
  </si>
  <si>
    <t>Serbia</t>
  </si>
  <si>
    <t>Slovak Republic</t>
  </si>
  <si>
    <t>Slovenia</t>
  </si>
  <si>
    <t>Spain</t>
  </si>
  <si>
    <t>Sweden</t>
  </si>
  <si>
    <t>Switzerland</t>
  </si>
  <si>
    <t>Ukraine</t>
  </si>
  <si>
    <t>United Kingdom</t>
  </si>
  <si>
    <t>Source: Our World in Data</t>
  </si>
  <si>
    <t>UNITED STATES</t>
  </si>
  <si>
    <t>Estimates from Stokes et al. (2020)</t>
  </si>
  <si>
    <t>24 Days (Policies implemented before first death)</t>
  </si>
  <si>
    <t>38 Days (Policies implemented within 14 days after first death)</t>
  </si>
  <si>
    <t>Used in calculations</t>
  </si>
  <si>
    <t>CI</t>
  </si>
  <si>
    <t>Average of estimates</t>
  </si>
  <si>
    <t>Average of SE</t>
  </si>
  <si>
    <t>School</t>
  </si>
  <si>
    <t>(-0.297 to
0.059)</t>
  </si>
  <si>
    <t>(-2.203 to -
0.273)</t>
  </si>
  <si>
    <t>Work</t>
  </si>
  <si>
    <t>(-0.465 to -
0.051)</t>
  </si>
  <si>
    <t>(-0.861 to
0.234)</t>
  </si>
  <si>
    <t>Events</t>
  </si>
  <si>
    <t>(-0.325 to
0.167)</t>
  </si>
  <si>
    <t>(-0.403 to
1.091)</t>
  </si>
  <si>
    <t>(-0.017 to
0.280)</t>
  </si>
  <si>
    <t>(-0.021 to
0.677)</t>
  </si>
  <si>
    <t>Transport</t>
  </si>
  <si>
    <t>(-0.172 to
0.391)</t>
  </si>
  <si>
    <t>(-1.020 to
0.801)</t>
  </si>
  <si>
    <t>Stay home</t>
  </si>
  <si>
    <t>(-0.224 to
0.413)</t>
  </si>
  <si>
    <t>(-0.380 to
1.392)</t>
  </si>
  <si>
    <t>Internal
movement</t>
  </si>
  <si>
    <t>(-0.246 to
0.302)</t>
  </si>
  <si>
    <t>(-0.613 to
0.897)</t>
  </si>
  <si>
    <t>Travel</t>
  </si>
  <si>
    <t>(-0.262 to
0.038)</t>
  </si>
  <si>
    <t>(-1.296 to
0.034)</t>
  </si>
  <si>
    <t>End of study period</t>
  </si>
  <si>
    <t>24 days before end of study period</t>
  </si>
  <si>
    <t>Note: Their study period ends June 1, so we look at effect of NPI until May 8 (and deaths 24 days later)</t>
  </si>
  <si>
    <t>Regression results – Dropping China/Belgium specifications</t>
  </si>
  <si>
    <t>(-0.269 to 0.047)</t>
  </si>
  <si>
    <t>(-1.458 to 0.210)</t>
  </si>
  <si>
    <t>(-0.345 to -0.031)</t>
  </si>
  <si>
    <t>(-0.822 to 0.068)</t>
  </si>
  <si>
    <t>(-0.232 to 0.186)</t>
  </si>
  <si>
    <t>(-0.413 to 0.935)</t>
  </si>
  <si>
    <t>(0.034 to 0.285)</t>
  </si>
  <si>
    <t>(0.059 to 0.620)</t>
  </si>
  <si>
    <t>(-0.162 to 0.338)</t>
  </si>
  <si>
    <t>(-0.258 to 0.791)</t>
  </si>
  <si>
    <t>(-0.252 to 0.202)</t>
  </si>
  <si>
    <t>(-0.364 to 0.830)</t>
  </si>
  <si>
    <t>(-0.149 to 0.325)</t>
  </si>
  <si>
    <t>(-0.590 to 0.315)</t>
  </si>
  <si>
    <t>(-0.186 to 0.052)</t>
  </si>
  <si>
    <t>(-0.863 to 0.091)</t>
  </si>
  <si>
    <t>Regression results – Negative binomial (count model) specifications</t>
  </si>
  <si>
    <t>When Do Shelter-in-Place Orders Fight Covid-19 Best? Policy Heterogeneity Across States and Adoption Time</t>
  </si>
  <si>
    <t>Dave et al. (2020)</t>
  </si>
  <si>
    <t>Average of model 1 to 5</t>
  </si>
  <si>
    <t xml:space="preserve">20+ days after SIPO </t>
  </si>
  <si>
    <t>Model 3</t>
  </si>
  <si>
    <t>Model 4</t>
  </si>
  <si>
    <t>Model 5</t>
  </si>
  <si>
    <r>
      <t xml:space="preserve">Source: Table 7 and </t>
    </r>
    <r>
      <rPr>
        <i/>
        <sz val="9"/>
        <rFont val="Lato"/>
        <family val="2"/>
      </rPr>
      <t>"Models without state trends of any sort (column 1) and with statespecific linear time trends (column 2) suggest that after 20 days, SIPO adoption is associated with 36.1%–50.2% reduction in mortality"</t>
    </r>
  </si>
  <si>
    <t>Business restrictions and Covid-19 fatalities</t>
  </si>
  <si>
    <t>Spiegel and Tookes (2021)</t>
  </si>
  <si>
    <t>Table 4 Policy interventions and t-week-ahead weekly new fatalities</t>
  </si>
  <si>
    <t>Table 4 , week 6</t>
  </si>
  <si>
    <t>Table 6, week 6 (using only the less populous counties (better causality))</t>
  </si>
  <si>
    <t>Table 9, week 6</t>
  </si>
  <si>
    <t>Table A.7</t>
  </si>
  <si>
    <t>Table A.7 (only week 6)</t>
  </si>
  <si>
    <t>Weighted estimate</t>
  </si>
  <si>
    <t>Weighted SE</t>
  </si>
  <si>
    <t>Sig (1=yes)</t>
  </si>
  <si>
    <t>Relative</t>
  </si>
  <si>
    <t>Est.</t>
  </si>
  <si>
    <t>Sig. as stated</t>
  </si>
  <si>
    <t>Without Bonferroni correction</t>
  </si>
  <si>
    <t>Stay at home</t>
  </si>
  <si>
    <t>∗∗∗</t>
  </si>
  <si>
    <t>+</t>
  </si>
  <si>
    <t>∗∗</t>
  </si>
  <si>
    <t>Nursing accept pos.</t>
  </si>
  <si>
    <t>No nursing visits</t>
  </si>
  <si>
    <t>Employees masks</t>
  </si>
  <si>
    <t>-</t>
  </si>
  <si>
    <t>Masks recommended</t>
  </si>
  <si>
    <t>∗</t>
  </si>
  <si>
    <t>Beaches or parks closed</t>
  </si>
  <si>
    <t>No elective procedures</t>
  </si>
  <si>
    <t>Restaurants and bars closed</t>
  </si>
  <si>
    <t>Bars closed/rest. open</t>
  </si>
  <si>
    <t>Gatherings limited to 10</t>
  </si>
  <si>
    <t>No gatherings over 100</t>
  </si>
  <si>
    <t>No gatherings limit &gt; 100</t>
  </si>
  <si>
    <t>Risk level 1 closed</t>
  </si>
  <si>
    <t>Risk level 2 closed</t>
  </si>
  <si>
    <t>Risk level 3 closed</t>
  </si>
  <si>
    <t>Risk level 4 closed</t>
  </si>
  <si>
    <t>Reopnenings reversed</t>
  </si>
  <si>
    <t>Note: *p &lt;.1; **p &lt;.05; ***p &lt;.01.</t>
  </si>
  <si>
    <t>Percent effect</t>
  </si>
  <si>
    <t>"Percent per estimate"</t>
  </si>
  <si>
    <t>Gns</t>
  </si>
  <si>
    <t>"Because the matched county analysis is least likely to suffer from endogeneity problems, we place somewhat more weight on the findings in Table 9."</t>
  </si>
  <si>
    <t>Weights</t>
  </si>
  <si>
    <t>Table 4</t>
  </si>
  <si>
    <t>Table 6</t>
  </si>
  <si>
    <t>Table 9</t>
  </si>
  <si>
    <t xml:space="preserve">Lockdown Fatigue: The Diminishing Effects of Quarantines on the Spread of COVID-19 </t>
  </si>
  <si>
    <t>Goldstein et al. (2021)</t>
  </si>
  <si>
    <t>Figure 4</t>
  </si>
  <si>
    <t>One standard deviation</t>
  </si>
  <si>
    <t>ln(SD)</t>
  </si>
  <si>
    <r>
      <t xml:space="preserve">Effect on </t>
    </r>
    <r>
      <rPr>
        <sz val="9"/>
        <color rgb="FFFF0000"/>
        <rFont val="Lato"/>
        <family val="2"/>
      </rPr>
      <t>weekly</t>
    </r>
    <r>
      <rPr>
        <sz val="9"/>
        <color theme="1"/>
        <rFont val="Lato"/>
        <family val="2"/>
      </rPr>
      <t xml:space="preserve"> deaths per million per SD increase in stringency</t>
    </r>
  </si>
  <si>
    <r>
      <t xml:space="preserve">Effect on </t>
    </r>
    <r>
      <rPr>
        <sz val="9"/>
        <color rgb="FFFF0000"/>
        <rFont val="Lato"/>
        <family val="2"/>
      </rPr>
      <t>weekly</t>
    </r>
    <r>
      <rPr>
        <sz val="9"/>
        <color theme="1"/>
        <rFont val="Lato"/>
        <family val="2"/>
      </rPr>
      <t xml:space="preserve"> deaths per million per point</t>
    </r>
  </si>
  <si>
    <t>Weeks</t>
  </si>
  <si>
    <t>Total effects (after X days) in deaths/million per stringency point</t>
  </si>
  <si>
    <t>After 60 days (max effect)</t>
  </si>
  <si>
    <t>After 90 days (app)</t>
  </si>
  <si>
    <t>&lt;- This is the number used in the meta-analysis</t>
  </si>
  <si>
    <t>SE after 90days (app)</t>
  </si>
  <si>
    <t>Reintroduced after 120 days (after 90 days)</t>
  </si>
  <si>
    <t>Figure A1 - est</t>
  </si>
  <si>
    <t xml:space="preserve"> - SE</t>
  </si>
  <si>
    <t>Figure A2 - est</t>
  </si>
  <si>
    <t>Figure A3 - est</t>
  </si>
  <si>
    <t>Note: Since the results are presented in log differences, a one standard deviation increase in the index which yields a 1.37 log difference of the dependent variable is equivalent to a 𝑒𝑒−1.37 − 1 = −0.75 decline in weekly deaths per million.</t>
  </si>
  <si>
    <t>Reading Figure 4</t>
  </si>
  <si>
    <t>Length figure</t>
  </si>
  <si>
    <t>Length cm</t>
  </si>
  <si>
    <t>0-2</t>
  </si>
  <si>
    <t>Upper CI</t>
  </si>
  <si>
    <t>"The shaded area represents the 90% confidence interval for the coefficient"</t>
  </si>
  <si>
    <t>Effect based on full dataset</t>
  </si>
  <si>
    <t>Stringency (average between January 1 and December 31, 2020)</t>
  </si>
  <si>
    <t>Deaths by December 31, 2020</t>
  </si>
  <si>
    <t>Effect based on first wave</t>
  </si>
  <si>
    <t>Stringency (average between March 16 and April 15, 2020)</t>
  </si>
  <si>
    <t>Using average stringency Mar 16 - June 30, 2020)</t>
  </si>
  <si>
    <t>Stringency (average between March 16 and June 30, 2020)</t>
  </si>
  <si>
    <t>Effect based on first wave using average stringency during 1st wave (Mar 16 - June 30)</t>
  </si>
  <si>
    <t>Figure A1</t>
  </si>
  <si>
    <t>Figure A2</t>
  </si>
  <si>
    <t>Estimates from other models</t>
  </si>
  <si>
    <t>Figure A3</t>
  </si>
  <si>
    <t>Reading Figure A1</t>
  </si>
  <si>
    <t>Reading Figure A2</t>
  </si>
  <si>
    <t>Fast and local: How did lockdown policies affect the spread and severity of the covid-19</t>
  </si>
  <si>
    <t>Bonardi et al. (2020)</t>
  </si>
  <si>
    <t>Regional lockdown</t>
  </si>
  <si>
    <t>Partial lockdown</t>
  </si>
  <si>
    <t>Border closure (stage 1)</t>
  </si>
  <si>
    <t>Border closure (stage 2)</t>
  </si>
  <si>
    <t>Border closure (full lockdown)</t>
  </si>
  <si>
    <t>Figure 6 in published paper "Paper Management Science_v4.pdf"</t>
  </si>
  <si>
    <t>Mitigation Interventions in the United States: An Exploratory Investigation of Determinants and Impacts</t>
  </si>
  <si>
    <t>Guo et al. (2021)</t>
  </si>
  <si>
    <t>Proportion of Cumulative Deaths Over the Population (10,000)</t>
  </si>
  <si>
    <t>Estiamte (Deaths per 10,000)</t>
  </si>
  <si>
    <t>Insignificant</t>
  </si>
  <si>
    <t>We follow the authors and deem it insignificant</t>
  </si>
  <si>
    <t>Large gathering ban (&gt;10)</t>
  </si>
  <si>
    <t>Any gathering ban</t>
  </si>
  <si>
    <t>Restaurant/bar limit</t>
  </si>
  <si>
    <t>Nonessential business closure</t>
  </si>
  <si>
    <t>Mandatory self-quarantine of travelers</t>
  </si>
  <si>
    <t>Table 3, Proportion of Cumulative Deaths Over the Population</t>
  </si>
  <si>
    <t>Mitigation Policies and COVID-19–Associated Mortality — 37 European Countries, January 23–June 30, 2020</t>
  </si>
  <si>
    <t>Fuller et al. (2021)</t>
  </si>
  <si>
    <t>Effect pr. point</t>
  </si>
  <si>
    <t>deaths per 100,000</t>
  </si>
  <si>
    <t>Source: "For each 1-unit increase in the OSI when the mortality threshold was reached, the cumulative mortality as of June 30 decreased by 0.55 deaths per 100,000 (95% confidence interval [CI] = −0.82 to −0.27 deaths per 100,000)"</t>
  </si>
  <si>
    <t>Recommedation</t>
  </si>
  <si>
    <t>Avoided deaths</t>
  </si>
  <si>
    <t>Deaths with NPIs</t>
  </si>
  <si>
    <t>Socioeconomic conditions, government interventions and health outcomes during COVID-19</t>
  </si>
  <si>
    <t>Ashraf (2020)</t>
  </si>
  <si>
    <t>per million per stringency point</t>
  </si>
  <si>
    <t>Average of two specifications</t>
  </si>
  <si>
    <r>
      <t xml:space="preserve"> deaths per million per stringency point </t>
    </r>
    <r>
      <rPr>
        <b/>
        <sz val="7.65"/>
        <color theme="1"/>
        <rFont val="Lato"/>
        <family val="2"/>
      </rPr>
      <t>with</t>
    </r>
    <r>
      <rPr>
        <sz val="9"/>
        <color theme="1"/>
        <rFont val="Lato"/>
        <family val="2"/>
      </rPr>
      <t xml:space="preserve"> an interaction term between the socioeconomic conditions index and the economic support index</t>
    </r>
  </si>
  <si>
    <r>
      <t xml:space="preserve"> deaths per million per stringency point </t>
    </r>
    <r>
      <rPr>
        <b/>
        <sz val="7.65"/>
        <color theme="1"/>
        <rFont val="Lato"/>
        <family val="2"/>
      </rPr>
      <t>without</t>
    </r>
    <r>
      <rPr>
        <sz val="9"/>
        <color theme="1"/>
        <rFont val="Lato"/>
        <family val="2"/>
      </rPr>
      <t xml:space="preserve"> an interaction term between the socioeconomic conditions index and the economic support index</t>
    </r>
  </si>
  <si>
    <t>"Likewise, in Model (2), deaths per million people drop by 10 (-4.70 × 2.15) from the mean value of 22. These figures imply that a one standard deviation improvement in socioeconomic conditions index lowers COVID-19 confirmed cases and deaths by one half."</t>
  </si>
  <si>
    <t>Policy Design for COVID‐19: Worldwide Evidence on the Efficacies of Early Mask Mandates and Other Policy Interventions</t>
  </si>
  <si>
    <t>An et al. (2021)</t>
  </si>
  <si>
    <t>Within 14 days</t>
  </si>
  <si>
    <t>After 14 days</t>
  </si>
  <si>
    <t>Average on time dimension</t>
  </si>
  <si>
    <t>Effect per million</t>
  </si>
  <si>
    <t>Mask mandates</t>
  </si>
  <si>
    <t>International travel bans</t>
  </si>
  <si>
    <t>Domestic lockdowns (SIPO)</t>
  </si>
  <si>
    <t>Mass gathering bans</t>
  </si>
  <si>
    <t>Restaurant closures</t>
  </si>
  <si>
    <t>Source: Table A8</t>
  </si>
  <si>
    <t>Note: Domistic lockdown is SIPO cf. Mail from Simon Porcher, fr 18-02-2022 18:45</t>
  </si>
  <si>
    <t>What about the results in Table A3  (death rate) - not cumulative</t>
  </si>
  <si>
    <t>Deaths per million by July 15th, 2020</t>
  </si>
  <si>
    <t>Share of "population-time"* mandates were used between March 16th and April 15th, 2020</t>
  </si>
  <si>
    <t>Share of population in Europe</t>
  </si>
  <si>
    <t>Europe &amp; United States</t>
  </si>
  <si>
    <t>Death without mandates, Europe</t>
  </si>
  <si>
    <t>Death without mandates, US</t>
  </si>
  <si>
    <t>Comparison with OWID-data</t>
  </si>
  <si>
    <t>Masks</t>
  </si>
  <si>
    <t>Domistic</t>
  </si>
  <si>
    <t>Mass gatherings</t>
  </si>
  <si>
    <t>Source: Based on data from "Governments' Responses to COVID19 Database (Response2covid19)"</t>
  </si>
  <si>
    <t>Note: The values illustrate how large a portion of the population in Europe and US which were under various mandates between March 16th and April 15th, 2020</t>
  </si>
  <si>
    <t>Government mandated lockdowns do not reduce Covid-19 deaths: implications for evaluating the stringent New Zealand response</t>
  </si>
  <si>
    <t>Gibson (2020)</t>
  </si>
  <si>
    <t>Aflæsning af figur 3 (øverst til venstre)</t>
  </si>
  <si>
    <t>Reading of Figure 3 (bottom left)</t>
  </si>
  <si>
    <t>Aflæst figur</t>
  </si>
  <si>
    <t>Beregnet størrelse</t>
  </si>
  <si>
    <t>Gennemsnit af de to figurer</t>
  </si>
  <si>
    <t>Estimat til analyse</t>
  </si>
  <si>
    <t>Common EST</t>
  </si>
  <si>
    <t>est</t>
  </si>
  <si>
    <t>SE (afstand fra est til øvre CI)</t>
  </si>
  <si>
    <t>The impact of school opening model on SARS-CoV-2 community incidence and mortality</t>
  </si>
  <si>
    <t>Ertem et al. (2022)</t>
  </si>
  <si>
    <t>Lengths measured</t>
  </si>
  <si>
    <t>Northeast</t>
  </si>
  <si>
    <t>West</t>
  </si>
  <si>
    <t>Midwest</t>
  </si>
  <si>
    <t>South</t>
  </si>
  <si>
    <t>Lengths from -1 to +3 (4 in total)</t>
  </si>
  <si>
    <t>Est</t>
  </si>
  <si>
    <t>95-Cl</t>
  </si>
  <si>
    <t>Source: Readings of Fig 4 in Ertem et al. (2020)</t>
  </si>
  <si>
    <t>Estimates based on length</t>
  </si>
  <si>
    <t>"change in COVID-19 mortality per 100,000 residents"</t>
  </si>
  <si>
    <t>TOTAL:</t>
  </si>
  <si>
    <t>Total estimate, covid mortality per 1,000,000 residents</t>
  </si>
  <si>
    <t>x 10 to go from 100,000 to 1,000,000</t>
  </si>
  <si>
    <t>https://www.statology.org/averaging-standard-deviations/</t>
  </si>
  <si>
    <t>School closure date</t>
  </si>
  <si>
    <t>Deaths per million at closure date</t>
  </si>
  <si>
    <t>Date 12 weeks later</t>
  </si>
  <si>
    <t>Deaths per million 12 weeks later</t>
  </si>
  <si>
    <t>Deaths per million without school openings</t>
  </si>
  <si>
    <t>Deaths per million with school openings</t>
  </si>
  <si>
    <t>Relative effect</t>
  </si>
  <si>
    <t>First</t>
  </si>
  <si>
    <t>Last</t>
  </si>
  <si>
    <t>What is the relationship between government response and COVID-19 pandemics? Global evidence of 118 countries</t>
  </si>
  <si>
    <t>Yang et al. (2021)</t>
  </si>
  <si>
    <t>Dependent: deaths due to COVID-19 per million people</t>
  </si>
  <si>
    <t>Table 5 (8)</t>
  </si>
  <si>
    <t>Using all data</t>
  </si>
  <si>
    <t>Using 1st wave</t>
  </si>
  <si>
    <t>Recommendation</t>
  </si>
  <si>
    <t>Average stringency, Jan 1 - November 12, 2020</t>
  </si>
  <si>
    <t>Populations</t>
  </si>
  <si>
    <t>Effect on mortality per million people</t>
  </si>
  <si>
    <t>Total effect on mortality</t>
  </si>
  <si>
    <t>COVID-19 deaths by December 3 (3 weeks after November 12)</t>
  </si>
  <si>
    <t>Avg. Stringency fra OWID, v4</t>
  </si>
  <si>
    <t>Days, Jan 1 - Nov 12, 2020</t>
  </si>
  <si>
    <t>Days, Jan 1 - June 30, 2020</t>
  </si>
  <si>
    <t>Government responses and COVID-19 deaths: Global evidence across multiple pandemic waves</t>
  </si>
  <si>
    <t>Hale et al. (2021)</t>
  </si>
  <si>
    <t>Column (1) shows that 1 point of higher stringency 28 days in the past leads to an average reduction in deaths in all countries across all waves of -.006</t>
  </si>
  <si>
    <t>Table 1 (1)</t>
  </si>
  <si>
    <t>LAGGED STRINGENCY BY 28 DAYS: WAVE 1</t>
  </si>
  <si>
    <t>One-Wave Countries</t>
  </si>
  <si>
    <t>Table 1 (2)</t>
  </si>
  <si>
    <t>Two-Wave Countries</t>
  </si>
  <si>
    <t>Table 1 (3)</t>
  </si>
  <si>
    <t>Three-Wave Countries</t>
  </si>
  <si>
    <t>LAGGED STRINGENCY BY 28 DAYS: WAVE 2</t>
  </si>
  <si>
    <t>LAGGED STRINGENCY BY 28 DAYS: WAVE 3</t>
  </si>
  <si>
    <t>Field of research/expertise</t>
  </si>
  <si>
    <t>Social science</t>
  </si>
  <si>
    <t>Definition early data</t>
  </si>
  <si>
    <t>Definition early effect</t>
  </si>
  <si>
    <t>Lag lockdown to death AND Fixed/Random effects</t>
  </si>
  <si>
    <t>NPI type</t>
  </si>
  <si>
    <t>Measure</t>
  </si>
  <si>
    <t>Included in meta-analysis</t>
  </si>
  <si>
    <t>Reason to exclude</t>
  </si>
  <si>
    <t>Data sources for NPI's</t>
  </si>
  <si>
    <t>Public data = 1</t>
  </si>
  <si>
    <t>Verified?</t>
  </si>
  <si>
    <t>Value</t>
  </si>
  <si>
    <t>Earliest (large &amp; significant) effect</t>
  </si>
  <si>
    <t>No early effect = 1</t>
  </si>
  <si>
    <t>Values</t>
  </si>
  <si>
    <t>Handling = 1</t>
  </si>
  <si>
    <t>Environment</t>
  </si>
  <si>
    <t>Excess mortality</t>
  </si>
  <si>
    <t>Duplicate</t>
  </si>
  <si>
    <t>Early data = before</t>
  </si>
  <si>
    <t>Medicine</t>
  </si>
  <si>
    <t>COVID-19 deaths</t>
  </si>
  <si>
    <t>Timing</t>
  </si>
  <si>
    <t>Evolutionary Biology and Environment</t>
  </si>
  <si>
    <t>Growth rates</t>
  </si>
  <si>
    <t>Vetted</t>
  </si>
  <si>
    <t>Undecided</t>
  </si>
  <si>
    <t>Not mortality</t>
  </si>
  <si>
    <t>Human Toxicology</t>
  </si>
  <si>
    <t>Other</t>
  </si>
  <si>
    <t>Reproduction rate, Rt</t>
  </si>
  <si>
    <t>Modelling</t>
  </si>
  <si>
    <t>Descriptive</t>
  </si>
  <si>
    <t>Anesthesiology</t>
  </si>
  <si>
    <t>Social distancing - not lockdown</t>
  </si>
  <si>
    <t>Time series approach</t>
  </si>
  <si>
    <t>Student paper</t>
  </si>
  <si>
    <t>Not lockdown</t>
  </si>
  <si>
    <t>Value used for n/a's</t>
  </si>
  <si>
    <t>Not diff-in-diff</t>
  </si>
  <si>
    <t>Not Europe, US, or Latin America</t>
  </si>
  <si>
    <t>Significance levels</t>
  </si>
  <si>
    <t>Mathematical Modelling</t>
  </si>
  <si>
    <t>Level</t>
  </si>
  <si>
    <t>Symbol</t>
  </si>
  <si>
    <t>¤</t>
  </si>
  <si>
    <t>Disease Ecology</t>
  </si>
  <si>
    <t>¤¤</t>
  </si>
  <si>
    <t>Political Science</t>
  </si>
  <si>
    <t>Health Science</t>
  </si>
  <si>
    <t>Infectious Disease</t>
  </si>
  <si>
    <t>Psychiatry</t>
  </si>
  <si>
    <t>(0.411 to 1.110)</t>
  </si>
  <si>
    <t>(0.161 to 0.644)</t>
  </si>
  <si>
    <t>(0.374 to 1.531)</t>
  </si>
  <si>
    <t>(0.305 to 1.231)</t>
  </si>
  <si>
    <t>(1.140 to 3.052)</t>
  </si>
  <si>
    <t>(0.427 to 3.360)</t>
  </si>
  <si>
    <t>(0.682 to 3.384)</t>
  </si>
  <si>
    <t>(0.499 to 3.295)</t>
  </si>
  <si>
    <t>(0.791 to 1.938)</t>
  </si>
  <si>
    <t>(0.317 to 2.535)</t>
  </si>
  <si>
    <t>#</t>
  </si>
  <si>
    <t>Weighted average</t>
  </si>
  <si>
    <t>Table 4, week 6</t>
  </si>
  <si>
    <t>Common est.</t>
  </si>
  <si>
    <t>Commo SE</t>
  </si>
  <si>
    <t>Tabel 4</t>
  </si>
  <si>
    <t>Tabel 6</t>
  </si>
  <si>
    <t>Tabel 9</t>
  </si>
  <si>
    <t>Random Effects Model</t>
  </si>
  <si>
    <t>Fixed Effects Model</t>
  </si>
  <si>
    <t>#Random Effects Model#</t>
  </si>
  <si>
    <t>OLS Model</t>
  </si>
  <si>
    <t>Control Model</t>
  </si>
  <si>
    <t>Estimat NBM</t>
  </si>
  <si>
    <t>Sign NBM</t>
  </si>
  <si>
    <t>Sign OLS</t>
  </si>
  <si>
    <t>Estimat OLS</t>
  </si>
  <si>
    <t>Lighed</t>
  </si>
  <si>
    <t>Exponentiated values</t>
  </si>
  <si>
    <t>24 Days</t>
  </si>
  <si>
    <t>Averages</t>
  </si>
  <si>
    <t>Additional estimates from Stokes et al. (2020)</t>
  </si>
  <si>
    <t>Standardized estimates</t>
  </si>
  <si>
    <t>Specification 1 - 24 days</t>
  </si>
  <si>
    <t>Specification 2 - 24 days</t>
  </si>
  <si>
    <t>Specification 3 - 24 days</t>
  </si>
  <si>
    <t>Specification 4 - 24 days</t>
  </si>
  <si>
    <t>Specification 1 - 38 days</t>
  </si>
  <si>
    <t>Specification 2 - 38 days</t>
  </si>
  <si>
    <t>Specification 3 - 38 days</t>
  </si>
  <si>
    <t>Specification 4 - 38 days</t>
  </si>
  <si>
    <t>Specification 5 - 24 days</t>
  </si>
  <si>
    <t>Specification 5 - 38 days</t>
  </si>
  <si>
    <t>Specification 1</t>
  </si>
  <si>
    <t>Specification 2</t>
  </si>
  <si>
    <t>Specification 3</t>
  </si>
  <si>
    <t>Specification 4</t>
  </si>
  <si>
    <t>Specification 5</t>
  </si>
  <si>
    <t>Regression results –All secifications</t>
  </si>
  <si>
    <t>(-0.164 to 1.257)</t>
  </si>
  <si>
    <t>(-0.423 to-0.067)</t>
  </si>
  <si>
    <t>(-0.208 to0.369)</t>
  </si>
  <si>
    <t>(-0.205 to0.358)</t>
  </si>
  <si>
    <t>(-0.263 to0.233)</t>
  </si>
  <si>
    <t>(-0.224 to0.413)</t>
  </si>
  <si>
    <t>(-0.140 to 1.261)</t>
  </si>
  <si>
    <t>(-0.342 to 1.248)</t>
  </si>
  <si>
    <t>(-0.380 to 1.392)</t>
  </si>
  <si>
    <t xml:space="preserve">(-1.061 to 0.195) </t>
  </si>
  <si>
    <t>With average estimates</t>
  </si>
  <si>
    <t>These two have not been used, as the effect has been calculated based on the authors estimate of the total deaths prevented due to policy effect. As this number has not been provided for the individual models, an identical calculation cannot be performed for each model</t>
  </si>
  <si>
    <t>Source: Our World in Data, StdDev for all 154 countries with data before 20  Mar 2020 (StdDev for all 174 countries with data before 31 Dec 2020 is 22.20). Also see Table 1 in Fakir og Bharati (2021).</t>
  </si>
  <si>
    <t>Average specification 5</t>
  </si>
  <si>
    <t>Weighted Average</t>
  </si>
  <si>
    <t>Table for plot (stringency)</t>
  </si>
  <si>
    <t>Study est.</t>
  </si>
  <si>
    <t/>
  </si>
  <si>
    <t>PWA</t>
  </si>
  <si>
    <t>Beta_F</t>
  </si>
  <si>
    <t>Beta_M</t>
  </si>
  <si>
    <t>R-square / Standard Error</t>
  </si>
  <si>
    <t>F / Residual df</t>
  </si>
  <si>
    <t>SS reg / SS res</t>
  </si>
  <si>
    <t>t Stat</t>
  </si>
  <si>
    <t>P-value</t>
  </si>
  <si>
    <t>SIPO studies</t>
  </si>
  <si>
    <t>Table for plot (SIPO)</t>
  </si>
  <si>
    <t>All Estimates</t>
  </si>
  <si>
    <t>Weight</t>
  </si>
  <si>
    <t>SIPO-studies</t>
  </si>
  <si>
    <t>Se</t>
  </si>
  <si>
    <t>Internal PWA</t>
  </si>
  <si>
    <t>Single estimate</t>
  </si>
  <si>
    <t>Alderman &amp; Harjoto (2020)</t>
  </si>
  <si>
    <t>Table: Comparing preferred estimate to studies' internal PWA</t>
  </si>
  <si>
    <t>Preferred est.</t>
  </si>
  <si>
    <t>Stringency-studies</t>
  </si>
  <si>
    <t>45-degree line</t>
  </si>
  <si>
    <t>45 degree line</t>
  </si>
  <si>
    <t>Weight = 1/SE/NumEstimates</t>
  </si>
  <si>
    <t>NumEstimates</t>
  </si>
  <si>
    <t>Number of estimates</t>
  </si>
  <si>
    <t>Table A6 (4)</t>
  </si>
  <si>
    <t>Within bias</t>
  </si>
  <si>
    <t>Between bias</t>
  </si>
  <si>
    <t>Selection within each study</t>
  </si>
  <si>
    <t>Comparing preferred estimate to internal PWA</t>
  </si>
  <si>
    <t>Table</t>
  </si>
  <si>
    <t>Estimate type</t>
  </si>
  <si>
    <t>Low Income</t>
  </si>
  <si>
    <t>Lower-middle income</t>
  </si>
  <si>
    <t>Upper-middle income</t>
  </si>
  <si>
    <t>High income</t>
  </si>
  <si>
    <t>Standardized estimates Multiple lockdown measures</t>
  </si>
  <si>
    <t>Standardized estimate</t>
  </si>
  <si>
    <t>Standardized estimate of standard error er fundet ved samme metode som den genereliserede, for hver enkelt tabel.</t>
  </si>
  <si>
    <t>Standardized estimate (opposite: School closures)</t>
  </si>
  <si>
    <t>Kilde: Table 4</t>
  </si>
  <si>
    <t>Used in mata-analysis</t>
  </si>
  <si>
    <t>Main specification</t>
  </si>
  <si>
    <t>Source: Table 5</t>
  </si>
  <si>
    <t>Standardized SE</t>
  </si>
  <si>
    <t>Lag 21</t>
  </si>
  <si>
    <t>Lag 7</t>
  </si>
  <si>
    <t>Lag 0</t>
  </si>
  <si>
    <t>Lag 14</t>
  </si>
  <si>
    <t>Table 5 (5)</t>
  </si>
  <si>
    <t>Table 5 (6)</t>
  </si>
  <si>
    <t>Table 5 (7)</t>
  </si>
  <si>
    <t>Standardized estimate Europe</t>
  </si>
  <si>
    <t>Standardized estimate US</t>
  </si>
  <si>
    <t>Total effect Europe</t>
  </si>
  <si>
    <t>Total effect US</t>
  </si>
  <si>
    <t>Calculations of all estimates</t>
  </si>
  <si>
    <t>Average of specifications</t>
  </si>
  <si>
    <t>t-stat</t>
  </si>
  <si>
    <t>B_F</t>
  </si>
  <si>
    <t>B_M</t>
  </si>
  <si>
    <t>95% CI</t>
  </si>
  <si>
    <t>5. Weighted by inverse variance</t>
  </si>
  <si>
    <t>6. Weighted by inverse variance</t>
  </si>
  <si>
    <t>PEESE MRA</t>
  </si>
  <si>
    <t>FAT-PET</t>
  </si>
  <si>
    <t>1/SE^2</t>
  </si>
  <si>
    <t>Estimate/SE^2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</si>
</sst>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0">
    <numFmt numFmtId="164" formatCode="_(&quot;$&quot;* #,##0.00_);_(&quot;$&quot;* \(#,##0.00\);_(&quot;$&quot;* &quot;-&quot;??_);_(@_)"/>
    <numFmt numFmtId="165" formatCode="_-* #,##0\ &quot;kr&quot;_-;\-* #,##0\ &quot;kr&quot;_-;_-* &quot;-&quot;\ &quot;kr&quot;_-;_-@_-"/>
    <numFmt numFmtId="166" formatCode="_-* #,##0\ _k_r_-;\-* #,##0\ _k_r_-;_-* &quot;-&quot;\ _k_r_-;_-@_-"/>
    <numFmt numFmtId="167" formatCode="&quot;þ&quot;;&quot;N&quot;;&quot;¨&quot;"/>
    <numFmt numFmtId="168" formatCode="#,##0.00_ ;\-#,##0.00\ "/>
    <numFmt numFmtId="169" formatCode="0.0%"/>
    <numFmt numFmtId="170" formatCode="#,##0.0"/>
    <numFmt numFmtId="171" formatCode="0.000%"/>
    <numFmt numFmtId="172" formatCode="0.000"/>
    <numFmt numFmtId="173" formatCode="#,##0.000"/>
    <numFmt numFmtId="174" formatCode="#,##0.0000"/>
    <numFmt numFmtId="175" formatCode="#,##0.00000"/>
    <numFmt numFmtId="176" formatCode="#,##0.000000"/>
    <numFmt numFmtId="177" formatCode="0.0000%"/>
    <numFmt numFmtId="178" formatCode="#,##0.000000000000"/>
    <numFmt numFmtId="179" formatCode="0.0000000000000"/>
    <numFmt numFmtId="180" formatCode="0.00000"/>
    <numFmt numFmtId="181" formatCode="#,##0.0000000000000"/>
    <numFmt numFmtId="182" formatCode="0.0000"/>
    <numFmt numFmtId="183" formatCode="0.0"/>
  </numFmts>
  <fonts count="54" x14ac:knownFonts="1">
    <font>
      <sz val="9"/>
      <color theme="1"/>
      <name val="Lato"/>
      <family val="2"/>
    </font>
    <font>
      <b/>
      <sz val="11"/>
      <color theme="0"/>
      <name val="Lato"/>
      <family val="2"/>
      <scheme val="minor"/>
    </font>
    <font>
      <sz val="11"/>
      <color rgb="FF3F3F76"/>
      <name val="Lato"/>
      <family val="2"/>
      <scheme val="minor"/>
    </font>
    <font>
      <sz val="11"/>
      <color rgb="FF0070C0"/>
      <name val="Lato"/>
      <family val="2"/>
      <scheme val="minor"/>
    </font>
    <font>
      <b/>
      <sz val="11"/>
      <color theme="1"/>
      <name val="Lato"/>
      <family val="2"/>
      <scheme val="minor"/>
    </font>
    <font>
      <sz val="11"/>
      <color rgb="FFFF0000"/>
      <name val="Lato"/>
      <family val="2"/>
      <scheme val="minor"/>
    </font>
    <font>
      <sz val="11"/>
      <color theme="1"/>
      <name val="Lato"/>
      <family val="2"/>
      <scheme val="minor"/>
    </font>
    <font>
      <b/>
      <sz val="18"/>
      <color theme="3"/>
      <name val="Lato"/>
      <family val="2"/>
      <scheme val="major"/>
    </font>
    <font>
      <b/>
      <sz val="15"/>
      <color theme="3"/>
      <name val="Lato"/>
      <family val="2"/>
      <scheme val="minor"/>
    </font>
    <font>
      <b/>
      <sz val="13"/>
      <color theme="3"/>
      <name val="Lato"/>
      <family val="2"/>
      <scheme val="minor"/>
    </font>
    <font>
      <b/>
      <sz val="11"/>
      <color theme="3"/>
      <name val="Lato"/>
      <family val="2"/>
      <scheme val="minor"/>
    </font>
    <font>
      <sz val="11"/>
      <color rgb="FF9C6500"/>
      <name val="Lato"/>
      <family val="2"/>
      <scheme val="minor"/>
    </font>
    <font>
      <b/>
      <sz val="11"/>
      <color rgb="FF3F3F3F"/>
      <name val="Lato"/>
      <family val="2"/>
      <scheme val="minor"/>
    </font>
    <font>
      <b/>
      <sz val="11"/>
      <color rgb="FFFA7D00"/>
      <name val="Lato"/>
      <family val="2"/>
      <scheme val="minor"/>
    </font>
    <font>
      <sz val="11"/>
      <color rgb="FFFA7D00"/>
      <name val="Lato"/>
      <family val="2"/>
      <scheme val="minor"/>
    </font>
    <font>
      <i/>
      <sz val="11"/>
      <color rgb="FF7F7F7F"/>
      <name val="Lato"/>
      <family val="2"/>
      <scheme val="minor"/>
    </font>
    <font>
      <sz val="11"/>
      <color theme="0"/>
      <name val="Lato"/>
      <family val="2"/>
      <scheme val="minor"/>
    </font>
    <font>
      <sz val="10"/>
      <color rgb="FF9C0006"/>
      <name val="Lato"/>
      <family val="2"/>
      <scheme val="minor"/>
    </font>
    <font>
      <sz val="10"/>
      <color rgb="FF006100"/>
      <name val="Lato"/>
      <family val="2"/>
      <scheme val="minor"/>
    </font>
    <font>
      <sz val="9"/>
      <color rgb="FF000000"/>
      <name val="Wingdings"/>
      <charset val="2"/>
    </font>
    <font>
      <sz val="9"/>
      <color rgb="FF0F8DD9"/>
      <name val="Lato"/>
      <family val="2"/>
    </font>
    <font>
      <b/>
      <sz val="14"/>
      <color theme="0"/>
      <name val="Lato"/>
      <family val="2"/>
    </font>
    <font>
      <sz val="9"/>
      <name val="Lato"/>
      <family val="2"/>
    </font>
    <font>
      <sz val="9"/>
      <color rgb="FFFF4338"/>
      <name val="Lato"/>
      <family val="2"/>
    </font>
    <font>
      <b/>
      <sz val="12"/>
      <color theme="0"/>
      <name val="Lato"/>
      <family val="2"/>
    </font>
    <font>
      <sz val="12"/>
      <color rgb="FFBCA9A0"/>
      <name val="Lato"/>
      <family val="2"/>
    </font>
    <font>
      <sz val="9"/>
      <color rgb="FF00B050"/>
      <name val="Lato"/>
      <family val="2"/>
    </font>
    <font>
      <sz val="9"/>
      <color theme="1"/>
      <name val="Lato"/>
      <family val="2"/>
    </font>
    <font>
      <sz val="8"/>
      <name val="Lato"/>
      <family val="2"/>
    </font>
    <font>
      <b/>
      <sz val="9"/>
      <name val="Lato"/>
      <family val="2"/>
    </font>
    <font>
      <sz val="9"/>
      <color rgb="FFFF0000"/>
      <name val="Lato"/>
      <family val="2"/>
    </font>
    <font>
      <i/>
      <sz val="9"/>
      <name val="Lato"/>
      <family val="2"/>
    </font>
    <font>
      <b/>
      <sz val="9"/>
      <color theme="1"/>
      <name val="Lato"/>
      <family val="2"/>
    </font>
    <font>
      <b/>
      <sz val="18"/>
      <color theme="0"/>
      <name val="Lato"/>
      <family val="2"/>
    </font>
    <font>
      <b/>
      <sz val="7.65"/>
      <color theme="1"/>
      <name val="Lato"/>
      <family val="2"/>
    </font>
    <font>
      <sz val="5"/>
      <color theme="1"/>
      <name val="Lato"/>
      <family val="1"/>
    </font>
    <font>
      <i/>
      <sz val="9"/>
      <color theme="1"/>
      <name val="Lato"/>
      <family val="2"/>
    </font>
    <font>
      <sz val="9"/>
      <color theme="3" tint="0.499984740745262"/>
      <name val="Lato"/>
      <family val="2"/>
    </font>
    <font>
      <i/>
      <sz val="9"/>
      <color theme="8"/>
      <name val="Lato"/>
      <family val="2"/>
    </font>
    <font>
      <sz val="9"/>
      <color theme="8"/>
      <name val="Lato"/>
      <family val="2"/>
    </font>
    <font>
      <sz val="9"/>
      <name val="Calibri"/>
      <family val="2"/>
    </font>
    <font>
      <sz val="9"/>
      <color rgb="FF0F8DD9"/>
      <name val="Calibri"/>
      <family val="2"/>
    </font>
    <font>
      <sz val="9"/>
      <color theme="1"/>
      <name val="Calibri"/>
      <family val="2"/>
    </font>
    <font>
      <i/>
      <sz val="8"/>
      <color theme="1"/>
      <name val="Lato"/>
      <family val="2"/>
    </font>
    <font>
      <b/>
      <sz val="8"/>
      <color theme="1"/>
      <name val="Lato"/>
      <family val="2"/>
    </font>
    <font>
      <sz val="8"/>
      <color theme="1"/>
      <name val="Lato"/>
      <family val="2"/>
    </font>
    <font>
      <b/>
      <sz val="12"/>
      <color theme="0"/>
      <name val="Calibri"/>
      <family val="2"/>
    </font>
    <font>
      <sz val="9"/>
      <color rgb="FF00B050"/>
      <name val="Calibri"/>
      <family val="2"/>
    </font>
    <font>
      <sz val="9"/>
      <color rgb="FF0070C0"/>
      <name val="Lato"/>
      <family val="2"/>
    </font>
    <font>
      <b/>
      <i/>
      <sz val="9"/>
      <color theme="1"/>
      <name val="Lato"/>
      <family val="2"/>
    </font>
    <font>
      <sz val="8"/>
      <color rgb="FF0F8DD9"/>
      <name val="Lato"/>
      <family val="2"/>
    </font>
    <font>
      <b/>
      <sz val="14"/>
      <color theme="0"/>
      <name val="Calibri"/>
      <family val="2"/>
    </font>
    <font>
      <b/>
      <sz val="9"/>
      <name val="Calibri"/>
      <family val="2"/>
    </font>
    <font>
      <b/>
      <sz val="9"/>
      <color theme="1"/>
      <name val="Calibri"/>
      <family val="2"/>
    </font>
  </fonts>
  <fills count="43">
    <fill>
      <patternFill patternType="none"/>
    </fill>
    <fill>
      <patternFill patternType="gray125"/>
    </fill>
    <fill>
      <patternFill patternType="solid">
        <fgColor theme="0"/>
        <bgColor indexed="64"/>
      </patternFill>
    </fill>
    <fill>
      <patternFill patternType="solid">
        <fgColor rgb="FFFFCC9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
      <patternFill patternType="solid">
        <fgColor rgb="FFD4EDFC"/>
        <bgColor indexed="64"/>
      </patternFill>
    </fill>
    <fill>
      <patternFill patternType="solid">
        <fgColor rgb="FF003865"/>
        <bgColor indexed="64"/>
      </patternFill>
    </fill>
    <fill>
      <patternFill patternType="solid">
        <fgColor rgb="FFFF0000"/>
        <bgColor indexed="64"/>
      </patternFill>
    </fill>
    <fill>
      <patternFill patternType="solid">
        <fgColor rgb="FFFF3300"/>
        <bgColor indexed="64"/>
      </patternFill>
    </fill>
    <fill>
      <patternFill patternType="solid">
        <fgColor theme="8" tint="0.79998168889431442"/>
        <bgColor indexed="64"/>
      </patternFill>
    </fill>
    <fill>
      <patternFill patternType="solid">
        <fgColor rgb="FFE7E7E5"/>
        <bgColor indexed="64"/>
      </patternFill>
    </fill>
    <fill>
      <patternFill patternType="solid">
        <fgColor rgb="FFFFFF00"/>
        <bgColor indexed="64"/>
      </patternFill>
    </fill>
    <fill>
      <patternFill patternType="solid">
        <fgColor theme="6" tint="0.499984740745262"/>
        <bgColor indexed="64"/>
      </patternFill>
    </fill>
  </fills>
  <borders count="45">
    <border>
      <left/>
      <right/>
      <top/>
      <bottom/>
      <diagonal/>
    </border>
    <border>
      <left/>
      <right/>
      <top style="medium">
        <color theme="1"/>
      </top>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8E634A"/>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theme="9"/>
      </bottom>
      <diagonal/>
    </border>
    <border>
      <left/>
      <right style="thin">
        <color indexed="64"/>
      </right>
      <top style="thin">
        <color indexed="64"/>
      </top>
      <bottom style="thin">
        <color theme="9"/>
      </bottom>
      <diagonal/>
    </border>
    <border>
      <left/>
      <right/>
      <top style="thin">
        <color theme="9"/>
      </top>
      <bottom style="thin">
        <color theme="9"/>
      </bottom>
      <diagonal/>
    </border>
    <border>
      <left/>
      <right style="thin">
        <color indexed="64"/>
      </right>
      <top style="thin">
        <color theme="9"/>
      </top>
      <bottom style="thin">
        <color theme="9"/>
      </bottom>
      <diagonal/>
    </border>
    <border>
      <left/>
      <right/>
      <top style="thin">
        <color theme="9"/>
      </top>
      <bottom style="thin">
        <color indexed="64"/>
      </bottom>
      <diagonal/>
    </border>
    <border>
      <left/>
      <right style="thin">
        <color indexed="64"/>
      </right>
      <top style="thin">
        <color theme="9"/>
      </top>
      <bottom style="thin">
        <color indexed="64"/>
      </bottom>
      <diagonal/>
    </border>
    <border>
      <left/>
      <right/>
      <top/>
      <bottom style="thin">
        <color theme="9"/>
      </bottom>
      <diagonal/>
    </border>
    <border>
      <left/>
      <right style="thin">
        <color theme="9"/>
      </right>
      <top style="thin">
        <color indexed="64"/>
      </top>
      <bottom style="thin">
        <color theme="9"/>
      </bottom>
      <diagonal/>
    </border>
    <border>
      <left style="thin">
        <color theme="9"/>
      </left>
      <right style="thin">
        <color theme="9"/>
      </right>
      <top style="thin">
        <color indexed="64"/>
      </top>
      <bottom style="thin">
        <color theme="9"/>
      </bottom>
      <diagonal/>
    </border>
    <border>
      <left style="thin">
        <color theme="9"/>
      </left>
      <right/>
      <top style="thin">
        <color indexed="64"/>
      </top>
      <bottom style="thin">
        <color theme="9"/>
      </bottom>
      <diagonal/>
    </border>
    <border>
      <left style="thin">
        <color theme="9"/>
      </left>
      <right style="thin">
        <color theme="9"/>
      </right>
      <top style="thin">
        <color theme="9"/>
      </top>
      <bottom style="thin">
        <color theme="9"/>
      </bottom>
      <diagonal/>
    </border>
    <border>
      <left/>
      <right style="thin">
        <color theme="9"/>
      </right>
      <top style="thin">
        <color theme="9"/>
      </top>
      <bottom/>
      <diagonal/>
    </border>
    <border>
      <left style="thin">
        <color theme="9"/>
      </left>
      <right style="thin">
        <color theme="9"/>
      </right>
      <top style="thin">
        <color theme="9"/>
      </top>
      <bottom/>
      <diagonal/>
    </border>
    <border>
      <left style="thin">
        <color theme="9"/>
      </left>
      <right/>
      <top style="thin">
        <color theme="9"/>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theme="9"/>
      </top>
      <bottom/>
      <diagonal/>
    </border>
    <border>
      <left/>
      <right style="thin">
        <color indexed="64"/>
      </right>
      <top style="thin">
        <color theme="9"/>
      </top>
      <bottom/>
      <diagonal/>
    </border>
    <border>
      <left style="thin">
        <color indexed="64"/>
      </left>
      <right/>
      <top/>
      <bottom style="thin">
        <color indexed="64"/>
      </bottom>
      <diagonal/>
    </border>
    <border>
      <left style="thin">
        <color indexed="64"/>
      </left>
      <right/>
      <top style="thin">
        <color theme="9"/>
      </top>
      <bottom style="thin">
        <color indexed="64"/>
      </bottom>
      <diagonal/>
    </border>
    <border>
      <left style="thin">
        <color auto="1"/>
      </left>
      <right style="thin">
        <color auto="1"/>
      </right>
      <top/>
      <bottom style="thin">
        <color indexed="64"/>
      </bottom>
      <diagonal/>
    </border>
    <border>
      <left/>
      <right style="thin">
        <color indexed="64"/>
      </right>
      <top/>
      <bottom style="thin">
        <color theme="9"/>
      </bottom>
      <diagonal/>
    </border>
    <border>
      <left style="thin">
        <color indexed="64"/>
      </left>
      <right/>
      <top style="thin">
        <color theme="9"/>
      </top>
      <bottom/>
      <diagonal/>
    </border>
  </borders>
  <cellStyleXfs count="65">
    <xf numFmtId="0" fontId="0" fillId="2" borderId="0" applyNumberFormat="0"/>
    <xf numFmtId="167" fontId="19" fillId="2" borderId="0" applyBorder="0" applyProtection="0">
      <alignment horizontal="center" vertical="center"/>
      <protection locked="0"/>
    </xf>
    <xf numFmtId="0" fontId="22" fillId="0" borderId="0" applyNumberFormat="0"/>
    <xf numFmtId="0" fontId="2" fillId="3" borderId="2" applyNumberFormat="0" applyAlignment="0" applyProtection="0"/>
    <xf numFmtId="0" fontId="3" fillId="2" borderId="1" applyNumberFormat="0" applyBorder="0">
      <protection locked="0"/>
    </xf>
    <xf numFmtId="0" fontId="20" fillId="35" borderId="0" applyNumberFormat="0" applyBorder="0" applyAlignment="0">
      <protection locked="0"/>
    </xf>
    <xf numFmtId="0" fontId="2" fillId="3" borderId="2" applyNumberFormat="0" applyAlignment="0" applyProtection="0"/>
    <xf numFmtId="0" fontId="3" fillId="2" borderId="1" applyNumberFormat="0" applyBorder="0">
      <protection locked="0"/>
    </xf>
    <xf numFmtId="0" fontId="2" fillId="3" borderId="2" applyNumberFormat="0" applyAlignment="0" applyProtection="0"/>
    <xf numFmtId="0" fontId="3" fillId="2" borderId="1" applyNumberFormat="0" applyBorder="0">
      <protection locked="0"/>
    </xf>
    <xf numFmtId="168" fontId="27" fillId="0" borderId="0" applyFill="0" applyBorder="0" applyAlignment="0" applyProtection="0"/>
    <xf numFmtId="166" fontId="6" fillId="0" borderId="0" applyFont="0" applyFill="0" applyBorder="0" applyAlignment="0" applyProtection="0"/>
    <xf numFmtId="164" fontId="27" fillId="0" borderId="0" applyFill="0" applyBorder="0" applyAlignment="0" applyProtection="0"/>
    <xf numFmtId="165" fontId="6" fillId="0" borderId="0" applyFont="0" applyFill="0" applyBorder="0" applyAlignment="0" applyProtection="0"/>
    <xf numFmtId="9" fontId="27" fillId="0" borderId="0" applyFill="0" applyBorder="0" applyAlignment="0" applyProtection="0"/>
    <xf numFmtId="0" fontId="7" fillId="0" borderId="0" applyNumberFormat="0" applyFill="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8" fillId="4" borderId="0" applyNumberFormat="0" applyBorder="0" applyAlignment="0" applyProtection="0"/>
    <xf numFmtId="0" fontId="17" fillId="5" borderId="0" applyNumberFormat="0" applyBorder="0" applyAlignment="0" applyProtection="0"/>
    <xf numFmtId="0" fontId="11" fillId="6" borderId="0" applyNumberFormat="0" applyBorder="0" applyAlignment="0" applyProtection="0"/>
    <xf numFmtId="0" fontId="12" fillId="7" borderId="6" applyNumberFormat="0" applyAlignment="0" applyProtection="0"/>
    <xf numFmtId="0" fontId="13" fillId="7" borderId="2" applyNumberFormat="0" applyAlignment="0" applyProtection="0"/>
    <xf numFmtId="0" fontId="14" fillId="0" borderId="7" applyNumberFormat="0" applyFill="0" applyAlignment="0" applyProtection="0"/>
    <xf numFmtId="0" fontId="1" fillId="8" borderId="8" applyNumberFormat="0" applyAlignment="0" applyProtection="0"/>
    <xf numFmtId="0" fontId="5" fillId="0" borderId="0" applyNumberFormat="0" applyFill="0" applyBorder="0" applyAlignment="0" applyProtection="0"/>
    <xf numFmtId="0" fontId="6" fillId="9" borderId="9" applyNumberFormat="0" applyFont="0" applyAlignment="0" applyProtection="0"/>
    <xf numFmtId="0" fontId="15" fillId="0" borderId="0" applyNumberFormat="0" applyFill="0" applyBorder="0" applyAlignment="0" applyProtection="0"/>
    <xf numFmtId="0" fontId="4" fillId="0" borderId="10" applyNumberFormat="0" applyFill="0" applyAlignment="0" applyProtection="0"/>
    <xf numFmtId="0" fontId="1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16" fillId="33" borderId="0" applyNumberFormat="0" applyBorder="0" applyAlignment="0" applyProtection="0"/>
    <xf numFmtId="0" fontId="23" fillId="34" borderId="0" applyNumberFormat="0" applyFill="0" applyBorder="0" applyAlignment="0"/>
    <xf numFmtId="0" fontId="24" fillId="36" borderId="0" applyNumberFormat="0"/>
    <xf numFmtId="0" fontId="25" fillId="0" borderId="11" applyNumberFormat="0"/>
    <xf numFmtId="0" fontId="40" fillId="0" borderId="0" applyNumberFormat="0"/>
    <xf numFmtId="0" fontId="41" fillId="35" borderId="0" applyNumberFormat="0" applyBorder="0" applyAlignment="0">
      <protection locked="0"/>
    </xf>
    <xf numFmtId="0" fontId="26" fillId="2" borderId="0" applyNumberFormat="0" applyBorder="0" applyAlignment="0"/>
    <xf numFmtId="0" fontId="42" fillId="40" borderId="0" applyNumberFormat="0"/>
    <xf numFmtId="0" fontId="46" fillId="36" borderId="0" applyNumberFormat="0"/>
    <xf numFmtId="0" fontId="42" fillId="2" borderId="0" applyNumberFormat="0"/>
    <xf numFmtId="0" fontId="47" fillId="2" borderId="0" applyNumberFormat="0" applyBorder="0" applyAlignment="0"/>
  </cellStyleXfs>
  <cellXfs count="528">
    <xf numFmtId="0" fontId="0" fillId="2" borderId="0" xfId="0"/>
    <xf numFmtId="0" fontId="20" fillId="37" borderId="0" xfId="5" applyFill="1">
      <protection locked="0"/>
    </xf>
    <xf numFmtId="0" fontId="21" fillId="36" borderId="0" xfId="16" applyFont="1" applyFill="1" applyBorder="1"/>
    <xf numFmtId="0" fontId="22" fillId="0" borderId="0" xfId="2"/>
    <xf numFmtId="0" fontId="29" fillId="0" borderId="0" xfId="2" applyFont="1"/>
    <xf numFmtId="0" fontId="0" fillId="2" borderId="18" xfId="0" applyBorder="1"/>
    <xf numFmtId="0" fontId="20" fillId="35" borderId="0" xfId="5" applyBorder="1">
      <protection locked="0"/>
    </xf>
    <xf numFmtId="0" fontId="20" fillId="35" borderId="15" xfId="5" applyBorder="1">
      <protection locked="0"/>
    </xf>
    <xf numFmtId="0" fontId="24" fillId="36" borderId="0" xfId="56"/>
    <xf numFmtId="0" fontId="0" fillId="2" borderId="19" xfId="0" applyBorder="1"/>
    <xf numFmtId="9" fontId="22" fillId="0" borderId="0" xfId="2" applyNumberFormat="1"/>
    <xf numFmtId="9" fontId="0" fillId="2" borderId="0" xfId="0" applyNumberFormat="1"/>
    <xf numFmtId="0" fontId="0" fillId="2" borderId="15" xfId="0" applyBorder="1"/>
    <xf numFmtId="9" fontId="0" fillId="2" borderId="15" xfId="0" applyNumberFormat="1" applyBorder="1"/>
    <xf numFmtId="0" fontId="20" fillId="35" borderId="0" xfId="5">
      <protection locked="0"/>
    </xf>
    <xf numFmtId="14" fontId="22" fillId="0" borderId="0" xfId="2" applyNumberFormat="1"/>
    <xf numFmtId="9" fontId="0" fillId="2" borderId="18" xfId="0" applyNumberFormat="1" applyBorder="1"/>
    <xf numFmtId="10" fontId="20" fillId="35" borderId="0" xfId="5" applyNumberFormat="1" applyBorder="1">
      <protection locked="0"/>
    </xf>
    <xf numFmtId="15" fontId="22" fillId="0" borderId="0" xfId="2" applyNumberFormat="1"/>
    <xf numFmtId="4" fontId="22" fillId="0" borderId="0" xfId="2" applyNumberFormat="1"/>
    <xf numFmtId="3" fontId="20" fillId="35" borderId="0" xfId="5" applyNumberFormat="1" applyBorder="1">
      <protection locked="0"/>
    </xf>
    <xf numFmtId="4" fontId="0" fillId="2" borderId="0" xfId="0" applyNumberFormat="1"/>
    <xf numFmtId="3" fontId="0" fillId="2" borderId="0" xfId="0" applyNumberFormat="1"/>
    <xf numFmtId="169" fontId="0" fillId="2" borderId="15" xfId="0" applyNumberFormat="1" applyBorder="1"/>
    <xf numFmtId="9" fontId="20" fillId="35" borderId="0" xfId="5" applyNumberFormat="1" applyBorder="1">
      <protection locked="0"/>
    </xf>
    <xf numFmtId="9" fontId="20" fillId="35" borderId="15" xfId="5" applyNumberFormat="1" applyBorder="1">
      <protection locked="0"/>
    </xf>
    <xf numFmtId="3" fontId="22" fillId="0" borderId="0" xfId="2" applyNumberFormat="1"/>
    <xf numFmtId="3" fontId="0" fillId="2" borderId="15" xfId="0" applyNumberFormat="1" applyBorder="1"/>
    <xf numFmtId="10" fontId="22" fillId="0" borderId="0" xfId="2" applyNumberFormat="1"/>
    <xf numFmtId="0" fontId="26" fillId="2" borderId="0" xfId="60" applyBorder="1"/>
    <xf numFmtId="0" fontId="26" fillId="2" borderId="15" xfId="60" applyBorder="1"/>
    <xf numFmtId="3" fontId="26" fillId="2" borderId="0" xfId="60" applyNumberFormat="1" applyBorder="1"/>
    <xf numFmtId="3" fontId="0" fillId="2" borderId="18" xfId="0" applyNumberFormat="1" applyBorder="1"/>
    <xf numFmtId="9" fontId="20" fillId="35" borderId="18" xfId="5" applyNumberFormat="1" applyBorder="1">
      <protection locked="0"/>
    </xf>
    <xf numFmtId="169" fontId="0" fillId="2" borderId="18" xfId="0" applyNumberFormat="1" applyBorder="1"/>
    <xf numFmtId="10" fontId="20" fillId="35" borderId="15" xfId="5" applyNumberFormat="1" applyBorder="1">
      <protection locked="0"/>
    </xf>
    <xf numFmtId="0" fontId="0" fillId="2" borderId="0" xfId="0" applyAlignment="1">
      <alignment horizontal="left" indent="1"/>
    </xf>
    <xf numFmtId="4" fontId="20" fillId="35" borderId="18" xfId="5" applyNumberFormat="1" applyBorder="1">
      <protection locked="0"/>
    </xf>
    <xf numFmtId="4" fontId="0" fillId="2" borderId="15" xfId="0" applyNumberFormat="1" applyBorder="1"/>
    <xf numFmtId="0" fontId="0" fillId="2" borderId="18" xfId="0" quotePrefix="1" applyBorder="1"/>
    <xf numFmtId="10" fontId="0" fillId="2" borderId="18" xfId="0" applyNumberFormat="1" applyBorder="1"/>
    <xf numFmtId="3" fontId="20" fillId="35" borderId="19" xfId="5" applyNumberFormat="1" applyBorder="1">
      <protection locked="0"/>
    </xf>
    <xf numFmtId="0" fontId="0" fillId="2" borderId="21" xfId="0" applyBorder="1"/>
    <xf numFmtId="0" fontId="0" fillId="2" borderId="15" xfId="0" applyBorder="1" applyAlignment="1">
      <alignment horizontal="center"/>
    </xf>
    <xf numFmtId="0" fontId="0" fillId="2" borderId="23" xfId="0" applyBorder="1" applyAlignment="1">
      <alignment vertical="top" wrapText="1"/>
    </xf>
    <xf numFmtId="10" fontId="0" fillId="2" borderId="25" xfId="0" applyNumberFormat="1" applyBorder="1" applyAlignment="1">
      <alignment vertical="top" wrapText="1"/>
    </xf>
    <xf numFmtId="0" fontId="0" fillId="2" borderId="25" xfId="0" applyBorder="1" applyAlignment="1">
      <alignment vertical="top" wrapText="1"/>
    </xf>
    <xf numFmtId="0" fontId="0" fillId="2" borderId="27" xfId="0" applyBorder="1" applyAlignment="1">
      <alignment vertical="top" wrapText="1"/>
    </xf>
    <xf numFmtId="0" fontId="32" fillId="2" borderId="20" xfId="0" applyFont="1" applyBorder="1" applyAlignment="1">
      <alignment vertical="top" wrapText="1"/>
    </xf>
    <xf numFmtId="0" fontId="32" fillId="2" borderId="20" xfId="0" applyFont="1" applyBorder="1" applyAlignment="1">
      <alignment horizontal="centerContinuous" vertical="top" wrapText="1"/>
    </xf>
    <xf numFmtId="0" fontId="32" fillId="2" borderId="19" xfId="0" applyFont="1" applyBorder="1" applyAlignment="1">
      <alignment horizontal="centerContinuous" vertical="top" wrapText="1"/>
    </xf>
    <xf numFmtId="169" fontId="0" fillId="2" borderId="0" xfId="0" applyNumberFormat="1" applyAlignment="1">
      <alignment horizontal="center" vertical="top"/>
    </xf>
    <xf numFmtId="0" fontId="32" fillId="2" borderId="18" xfId="0" applyFont="1" applyBorder="1"/>
    <xf numFmtId="0" fontId="32" fillId="2" borderId="0" xfId="0" applyFont="1" applyAlignment="1">
      <alignment vertical="top"/>
    </xf>
    <xf numFmtId="15" fontId="26" fillId="2" borderId="15" xfId="60" applyNumberFormat="1" applyBorder="1"/>
    <xf numFmtId="15" fontId="26" fillId="2" borderId="0" xfId="60" applyNumberFormat="1" applyBorder="1"/>
    <xf numFmtId="0" fontId="32" fillId="2" borderId="16" xfId="0" applyFont="1" applyBorder="1" applyAlignment="1">
      <alignment vertical="top"/>
    </xf>
    <xf numFmtId="0" fontId="0" fillId="2" borderId="0" xfId="0" applyAlignment="1">
      <alignment horizontal="left" vertical="top" indent="1"/>
    </xf>
    <xf numFmtId="169" fontId="22" fillId="0" borderId="0" xfId="2" applyNumberFormat="1"/>
    <xf numFmtId="0" fontId="0" fillId="2" borderId="15" xfId="0" applyBorder="1" applyAlignment="1">
      <alignment horizontal="left" vertical="top" indent="1"/>
    </xf>
    <xf numFmtId="0" fontId="22" fillId="0" borderId="0" xfId="2" applyAlignment="1">
      <alignment horizontal="left"/>
    </xf>
    <xf numFmtId="0" fontId="20" fillId="0" borderId="0" xfId="5" applyFill="1" applyAlignment="1">
      <alignment horizontal="left"/>
      <protection locked="0"/>
    </xf>
    <xf numFmtId="0" fontId="31" fillId="0" borderId="0" xfId="2" applyFont="1"/>
    <xf numFmtId="4" fontId="31" fillId="0" borderId="0" xfId="2" applyNumberFormat="1" applyFont="1"/>
    <xf numFmtId="9" fontId="31" fillId="0" borderId="0" xfId="2" applyNumberFormat="1" applyFont="1"/>
    <xf numFmtId="0" fontId="0" fillId="2" borderId="12" xfId="0" applyBorder="1" applyAlignment="1">
      <alignment horizontal="center"/>
    </xf>
    <xf numFmtId="4" fontId="0" fillId="2" borderId="21" xfId="0" applyNumberFormat="1" applyBorder="1" applyAlignment="1">
      <alignment horizontal="center" vertical="top"/>
    </xf>
    <xf numFmtId="9" fontId="0" fillId="2" borderId="23" xfId="0" applyNumberFormat="1" applyBorder="1" applyAlignment="1">
      <alignment horizontal="left" vertical="top"/>
    </xf>
    <xf numFmtId="9" fontId="0" fillId="2" borderId="25" xfId="0" applyNumberFormat="1" applyBorder="1" applyAlignment="1">
      <alignment horizontal="left" vertical="top"/>
    </xf>
    <xf numFmtId="0" fontId="0" fillId="2" borderId="0" xfId="0" applyAlignment="1">
      <alignment horizontal="center"/>
    </xf>
    <xf numFmtId="9" fontId="0" fillId="2" borderId="15" xfId="0" applyNumberFormat="1" applyBorder="1" applyAlignment="1">
      <alignment horizontal="center"/>
    </xf>
    <xf numFmtId="0" fontId="32" fillId="2" borderId="0" xfId="0" applyFont="1" applyAlignment="1">
      <alignment horizontal="center" vertical="top"/>
    </xf>
    <xf numFmtId="9" fontId="24" fillId="36" borderId="0" xfId="56" applyNumberFormat="1"/>
    <xf numFmtId="0" fontId="32" fillId="0" borderId="19" xfId="0" applyFont="1" applyFill="1" applyBorder="1" applyAlignment="1">
      <alignment vertical="top" wrapText="1"/>
    </xf>
    <xf numFmtId="0" fontId="0" fillId="0" borderId="15" xfId="0" applyFill="1" applyBorder="1"/>
    <xf numFmtId="0" fontId="32" fillId="0" borderId="18" xfId="0" applyFont="1" applyFill="1" applyBorder="1"/>
    <xf numFmtId="0" fontId="26" fillId="0" borderId="22" xfId="60" applyFill="1" applyBorder="1" applyAlignment="1">
      <alignment vertical="top"/>
    </xf>
    <xf numFmtId="3" fontId="26" fillId="0" borderId="24" xfId="60" applyNumberFormat="1" applyFill="1" applyBorder="1" applyAlignment="1">
      <alignment vertical="top"/>
    </xf>
    <xf numFmtId="0" fontId="26" fillId="0" borderId="24" xfId="60" applyFill="1" applyBorder="1" applyAlignment="1">
      <alignment vertical="top"/>
    </xf>
    <xf numFmtId="0" fontId="26" fillId="0" borderId="26" xfId="60" applyFill="1" applyBorder="1" applyAlignment="1">
      <alignment vertical="top"/>
    </xf>
    <xf numFmtId="0" fontId="32" fillId="0" borderId="0" xfId="0" applyFont="1" applyFill="1"/>
    <xf numFmtId="0" fontId="26" fillId="0" borderId="0" xfId="60" applyFill="1"/>
    <xf numFmtId="0" fontId="26" fillId="0" borderId="0" xfId="60" applyFill="1" applyBorder="1"/>
    <xf numFmtId="0" fontId="0" fillId="0" borderId="0" xfId="0" applyFill="1"/>
    <xf numFmtId="0" fontId="33" fillId="38" borderId="0" xfId="56" applyFont="1" applyFill="1" applyAlignment="1">
      <alignment vertical="center"/>
    </xf>
    <xf numFmtId="0" fontId="32" fillId="2" borderId="18" xfId="0" applyFont="1" applyBorder="1" applyAlignment="1">
      <alignment vertical="top" wrapText="1"/>
    </xf>
    <xf numFmtId="0" fontId="0" fillId="2" borderId="0" xfId="0" quotePrefix="1"/>
    <xf numFmtId="172" fontId="0" fillId="2" borderId="18" xfId="0" applyNumberFormat="1" applyBorder="1"/>
    <xf numFmtId="0" fontId="20" fillId="35" borderId="0" xfId="5" applyAlignment="1">
      <alignment horizontal="center"/>
      <protection locked="0"/>
    </xf>
    <xf numFmtId="0" fontId="20" fillId="35" borderId="0" xfId="5" applyBorder="1" applyAlignment="1">
      <alignment horizontal="center"/>
      <protection locked="0"/>
    </xf>
    <xf numFmtId="0" fontId="20" fillId="35" borderId="15" xfId="5" applyBorder="1" applyAlignment="1">
      <alignment horizontal="center"/>
      <protection locked="0"/>
    </xf>
    <xf numFmtId="4" fontId="20" fillId="35" borderId="0" xfId="5" applyNumberFormat="1" applyBorder="1">
      <protection locked="0"/>
    </xf>
    <xf numFmtId="0" fontId="0" fillId="2" borderId="19" xfId="0" applyBorder="1" applyAlignment="1">
      <alignment horizontal="centerContinuous"/>
    </xf>
    <xf numFmtId="9" fontId="26" fillId="2" borderId="0" xfId="60" applyNumberFormat="1" applyBorder="1"/>
    <xf numFmtId="9" fontId="22" fillId="0" borderId="0" xfId="55" applyNumberFormat="1" applyFont="1" applyFill="1"/>
    <xf numFmtId="0" fontId="36" fillId="2" borderId="18" xfId="0" applyFont="1" applyBorder="1"/>
    <xf numFmtId="173" fontId="26" fillId="2" borderId="15" xfId="60" applyNumberFormat="1" applyBorder="1"/>
    <xf numFmtId="170" fontId="22" fillId="0" borderId="0" xfId="2" applyNumberFormat="1"/>
    <xf numFmtId="0" fontId="20" fillId="35" borderId="18" xfId="5" applyBorder="1">
      <protection locked="0"/>
    </xf>
    <xf numFmtId="173" fontId="22" fillId="0" borderId="0" xfId="2" applyNumberFormat="1"/>
    <xf numFmtId="14" fontId="0" fillId="2" borderId="18" xfId="0" applyNumberFormat="1" applyBorder="1"/>
    <xf numFmtId="14" fontId="20" fillId="35" borderId="0" xfId="5" applyNumberFormat="1" applyBorder="1">
      <protection locked="0"/>
    </xf>
    <xf numFmtId="173" fontId="20" fillId="35" borderId="0" xfId="5" applyNumberFormat="1" applyBorder="1">
      <protection locked="0"/>
    </xf>
    <xf numFmtId="4" fontId="0" fillId="2" borderId="18" xfId="0" applyNumberFormat="1" applyBorder="1"/>
    <xf numFmtId="4" fontId="26" fillId="2" borderId="0" xfId="60" applyNumberFormat="1" applyBorder="1"/>
    <xf numFmtId="0" fontId="0" fillId="2" borderId="29" xfId="0" applyBorder="1" applyAlignment="1">
      <alignment horizontal="left"/>
    </xf>
    <xf numFmtId="0" fontId="0" fillId="2" borderId="33" xfId="0" applyBorder="1" applyAlignment="1">
      <alignment horizontal="left"/>
    </xf>
    <xf numFmtId="172" fontId="20" fillId="35" borderId="0" xfId="5" applyNumberFormat="1" applyBorder="1">
      <protection locked="0"/>
    </xf>
    <xf numFmtId="172" fontId="20" fillId="35" borderId="15" xfId="5" applyNumberFormat="1" applyBorder="1">
      <protection locked="0"/>
    </xf>
    <xf numFmtId="0" fontId="22" fillId="0" borderId="0" xfId="2" applyAlignment="1">
      <alignment wrapText="1"/>
    </xf>
    <xf numFmtId="169" fontId="0" fillId="2" borderId="0" xfId="0" applyNumberFormat="1"/>
    <xf numFmtId="168" fontId="27" fillId="0" borderId="0" xfId="10"/>
    <xf numFmtId="169" fontId="0" fillId="2" borderId="0" xfId="0" applyNumberFormat="1" applyAlignment="1">
      <alignment horizontal="center"/>
    </xf>
    <xf numFmtId="0" fontId="0" fillId="2" borderId="20" xfId="0" applyBorder="1"/>
    <xf numFmtId="0" fontId="0" fillId="2" borderId="12" xfId="0" applyBorder="1"/>
    <xf numFmtId="0" fontId="0" fillId="2" borderId="20" xfId="0" applyBorder="1" applyAlignment="1">
      <alignment horizontal="centerContinuous"/>
    </xf>
    <xf numFmtId="172" fontId="0" fillId="2" borderId="0" xfId="0" applyNumberFormat="1"/>
    <xf numFmtId="169" fontId="32" fillId="2" borderId="18" xfId="0" applyNumberFormat="1" applyFont="1" applyBorder="1" applyAlignment="1">
      <alignment horizontal="center" vertical="top"/>
    </xf>
    <xf numFmtId="173" fontId="20" fillId="35" borderId="18" xfId="5" applyNumberFormat="1" applyBorder="1">
      <protection locked="0"/>
    </xf>
    <xf numFmtId="10" fontId="0" fillId="2" borderId="0" xfId="0" applyNumberFormat="1"/>
    <xf numFmtId="173" fontId="20" fillId="35" borderId="15" xfId="5" applyNumberFormat="1" applyBorder="1">
      <protection locked="0"/>
    </xf>
    <xf numFmtId="173" fontId="0" fillId="2" borderId="0" xfId="0" applyNumberFormat="1"/>
    <xf numFmtId="3" fontId="20" fillId="35" borderId="18" xfId="5" applyNumberFormat="1" applyBorder="1">
      <protection locked="0"/>
    </xf>
    <xf numFmtId="169" fontId="0" fillId="2" borderId="15" xfId="0" applyNumberFormat="1" applyBorder="1" applyAlignment="1">
      <alignment horizontal="center" vertical="top"/>
    </xf>
    <xf numFmtId="174" fontId="26" fillId="2" borderId="24" xfId="60" applyNumberFormat="1" applyBorder="1" applyAlignment="1">
      <alignment horizontal="center" vertical="top"/>
    </xf>
    <xf numFmtId="174" fontId="26" fillId="2" borderId="22" xfId="60" applyNumberFormat="1" applyBorder="1" applyAlignment="1">
      <alignment horizontal="center" vertical="top"/>
    </xf>
    <xf numFmtId="0" fontId="32" fillId="2" borderId="18" xfId="0" applyFont="1" applyBorder="1" applyAlignment="1">
      <alignment horizontal="center"/>
    </xf>
    <xf numFmtId="0" fontId="0" fillId="0" borderId="18" xfId="0" applyFill="1" applyBorder="1"/>
    <xf numFmtId="169" fontId="0" fillId="2" borderId="19" xfId="0" applyNumberFormat="1" applyBorder="1"/>
    <xf numFmtId="169" fontId="32" fillId="2" borderId="18" xfId="0" applyNumberFormat="1" applyFont="1" applyBorder="1"/>
    <xf numFmtId="9" fontId="32" fillId="2" borderId="18" xfId="0" applyNumberFormat="1" applyFont="1" applyBorder="1"/>
    <xf numFmtId="169" fontId="32" fillId="2" borderId="0" xfId="0" applyNumberFormat="1" applyFont="1" applyAlignment="1">
      <alignment horizontal="center" vertical="top"/>
    </xf>
    <xf numFmtId="3" fontId="0" fillId="2" borderId="15" xfId="0" applyNumberFormat="1" applyBorder="1" applyAlignment="1">
      <alignment horizontal="center"/>
    </xf>
    <xf numFmtId="172" fontId="0" fillId="2" borderId="15" xfId="0" applyNumberFormat="1" applyBorder="1"/>
    <xf numFmtId="171" fontId="22" fillId="0" borderId="0" xfId="2" applyNumberFormat="1"/>
    <xf numFmtId="9" fontId="26" fillId="2" borderId="15" xfId="60" applyNumberFormat="1" applyBorder="1"/>
    <xf numFmtId="0" fontId="0" fillId="2" borderId="16" xfId="0" applyBorder="1"/>
    <xf numFmtId="3" fontId="0" fillId="2" borderId="12" xfId="0" applyNumberFormat="1" applyBorder="1"/>
    <xf numFmtId="169" fontId="0" fillId="2" borderId="15" xfId="0" applyNumberFormat="1" applyBorder="1" applyAlignment="1">
      <alignment horizontal="center"/>
    </xf>
    <xf numFmtId="10" fontId="0" fillId="2" borderId="15" xfId="0" applyNumberFormat="1" applyBorder="1"/>
    <xf numFmtId="169" fontId="32" fillId="2" borderId="15" xfId="0" applyNumberFormat="1" applyFont="1" applyBorder="1" applyAlignment="1">
      <alignment horizontal="center"/>
    </xf>
    <xf numFmtId="169" fontId="20" fillId="35" borderId="0" xfId="5" applyNumberFormat="1" applyBorder="1">
      <protection locked="0"/>
    </xf>
    <xf numFmtId="10" fontId="26" fillId="2" borderId="0" xfId="60" applyNumberFormat="1"/>
    <xf numFmtId="16" fontId="22" fillId="0" borderId="0" xfId="2" applyNumberFormat="1"/>
    <xf numFmtId="169" fontId="20" fillId="35" borderId="19" xfId="5" applyNumberFormat="1" applyBorder="1">
      <protection locked="0"/>
    </xf>
    <xf numFmtId="169" fontId="26" fillId="2" borderId="18" xfId="60" applyNumberFormat="1" applyBorder="1"/>
    <xf numFmtId="174" fontId="26" fillId="2" borderId="0" xfId="60" applyNumberFormat="1" applyAlignment="1">
      <alignment horizontal="center"/>
    </xf>
    <xf numFmtId="174" fontId="26" fillId="2" borderId="15" xfId="60" applyNumberFormat="1" applyBorder="1" applyAlignment="1">
      <alignment horizontal="center"/>
    </xf>
    <xf numFmtId="3" fontId="26" fillId="2" borderId="0" xfId="60" applyNumberFormat="1" applyAlignment="1">
      <alignment horizontal="center"/>
    </xf>
    <xf numFmtId="10" fontId="20" fillId="35" borderId="0" xfId="5" applyNumberFormat="1">
      <protection locked="0"/>
    </xf>
    <xf numFmtId="175" fontId="26" fillId="2" borderId="0" xfId="60" applyNumberFormat="1" applyAlignment="1">
      <alignment horizontal="center"/>
    </xf>
    <xf numFmtId="176" fontId="0" fillId="2" borderId="0" xfId="0" applyNumberFormat="1"/>
    <xf numFmtId="177" fontId="22" fillId="0" borderId="0" xfId="2" applyNumberFormat="1"/>
    <xf numFmtId="9" fontId="27" fillId="0" borderId="0" xfId="14"/>
    <xf numFmtId="0" fontId="25" fillId="0" borderId="11" xfId="57"/>
    <xf numFmtId="169" fontId="20" fillId="35" borderId="15" xfId="5" applyNumberFormat="1" applyBorder="1">
      <protection locked="0"/>
    </xf>
    <xf numFmtId="2" fontId="0" fillId="2" borderId="0" xfId="0" applyNumberFormat="1"/>
    <xf numFmtId="2" fontId="0" fillId="2" borderId="15" xfId="0" applyNumberFormat="1" applyBorder="1"/>
    <xf numFmtId="0" fontId="22" fillId="2" borderId="0" xfId="0" applyFont="1"/>
    <xf numFmtId="169" fontId="0" fillId="2" borderId="0" xfId="0" applyNumberFormat="1" applyAlignment="1">
      <alignment horizontal="left"/>
    </xf>
    <xf numFmtId="171" fontId="0" fillId="2" borderId="0" xfId="0" applyNumberFormat="1" applyAlignment="1">
      <alignment horizontal="center"/>
    </xf>
    <xf numFmtId="3" fontId="22" fillId="2" borderId="0" xfId="0" applyNumberFormat="1" applyFont="1" applyAlignment="1">
      <alignment horizontal="right"/>
    </xf>
    <xf numFmtId="0" fontId="0" fillId="2" borderId="0" xfId="0" applyAlignment="1">
      <alignment horizontal="left"/>
    </xf>
    <xf numFmtId="9" fontId="38" fillId="2" borderId="0" xfId="0" applyNumberFormat="1" applyFont="1" applyAlignment="1">
      <alignment horizontal="left" indent="1"/>
    </xf>
    <xf numFmtId="169" fontId="0" fillId="0" borderId="0" xfId="0" applyNumberFormat="1" applyFill="1"/>
    <xf numFmtId="9" fontId="0" fillId="0" borderId="0" xfId="0" applyNumberFormat="1" applyFill="1"/>
    <xf numFmtId="3" fontId="0" fillId="0" borderId="0" xfId="0" applyNumberFormat="1" applyFill="1"/>
    <xf numFmtId="169" fontId="0" fillId="0" borderId="15" xfId="0" applyNumberFormat="1" applyFill="1" applyBorder="1"/>
    <xf numFmtId="3" fontId="0" fillId="2" borderId="0" xfId="0" applyNumberFormat="1" applyAlignment="1">
      <alignment horizontal="center"/>
    </xf>
    <xf numFmtId="3" fontId="22" fillId="2" borderId="0" xfId="0" applyNumberFormat="1" applyFont="1" applyAlignment="1">
      <alignment horizontal="center"/>
    </xf>
    <xf numFmtId="169" fontId="38" fillId="2" borderId="0" xfId="0" applyNumberFormat="1" applyFont="1" applyAlignment="1">
      <alignment horizontal="center"/>
    </xf>
    <xf numFmtId="171" fontId="38" fillId="2" borderId="0" xfId="0" applyNumberFormat="1" applyFont="1" applyAlignment="1">
      <alignment horizontal="center"/>
    </xf>
    <xf numFmtId="3" fontId="38" fillId="2" borderId="0" xfId="0" applyNumberFormat="1" applyFont="1" applyAlignment="1">
      <alignment horizontal="center"/>
    </xf>
    <xf numFmtId="3" fontId="39" fillId="2" borderId="0" xfId="0" applyNumberFormat="1" applyFont="1" applyAlignment="1">
      <alignment horizontal="center"/>
    </xf>
    <xf numFmtId="169" fontId="22" fillId="39" borderId="0" xfId="2" applyNumberFormat="1" applyFill="1"/>
    <xf numFmtId="169" fontId="32" fillId="2" borderId="19" xfId="0" applyNumberFormat="1" applyFont="1" applyBorder="1" applyAlignment="1">
      <alignment horizontal="center"/>
    </xf>
    <xf numFmtId="0" fontId="0" fillId="2" borderId="19" xfId="0" applyBorder="1" applyAlignment="1">
      <alignment horizontal="center"/>
    </xf>
    <xf numFmtId="169" fontId="0" fillId="2" borderId="19" xfId="0" applyNumberFormat="1" applyBorder="1" applyAlignment="1">
      <alignment horizontal="center"/>
    </xf>
    <xf numFmtId="169" fontId="0" fillId="0" borderId="19" xfId="0" applyNumberFormat="1" applyFill="1" applyBorder="1"/>
    <xf numFmtId="0" fontId="0" fillId="0" borderId="19" xfId="0" applyFill="1" applyBorder="1"/>
    <xf numFmtId="169" fontId="32" fillId="2" borderId="19" xfId="0" applyNumberFormat="1" applyFont="1" applyBorder="1" applyAlignment="1">
      <alignment horizontal="right"/>
    </xf>
    <xf numFmtId="15" fontId="20" fillId="35" borderId="18" xfId="5" applyNumberFormat="1" applyBorder="1">
      <protection locked="0"/>
    </xf>
    <xf numFmtId="0" fontId="26" fillId="0" borderId="38" xfId="60" applyFill="1" applyBorder="1" applyAlignment="1">
      <alignment vertical="top"/>
    </xf>
    <xf numFmtId="0" fontId="0" fillId="2" borderId="39" xfId="0" applyBorder="1" applyAlignment="1">
      <alignment vertical="top" wrapText="1"/>
    </xf>
    <xf numFmtId="0" fontId="20" fillId="35" borderId="12" xfId="5" applyBorder="1">
      <protection locked="0"/>
    </xf>
    <xf numFmtId="0" fontId="26" fillId="0" borderId="0" xfId="2" applyFont="1"/>
    <xf numFmtId="9" fontId="0" fillId="2" borderId="0" xfId="0" applyNumberFormat="1" applyAlignment="1">
      <alignment horizontal="left"/>
    </xf>
    <xf numFmtId="4" fontId="0" fillId="0" borderId="15" xfId="0" applyNumberFormat="1" applyFill="1" applyBorder="1"/>
    <xf numFmtId="15" fontId="0" fillId="2" borderId="0" xfId="0" applyNumberFormat="1"/>
    <xf numFmtId="15" fontId="0" fillId="2" borderId="15" xfId="0" applyNumberFormat="1" applyBorder="1"/>
    <xf numFmtId="178" fontId="22" fillId="0" borderId="0" xfId="2" applyNumberFormat="1"/>
    <xf numFmtId="0" fontId="32" fillId="2" borderId="20" xfId="0" applyFont="1" applyBorder="1"/>
    <xf numFmtId="0" fontId="32" fillId="2" borderId="0" xfId="0" applyFont="1"/>
    <xf numFmtId="0" fontId="32" fillId="2" borderId="15" xfId="0" applyFont="1" applyBorder="1"/>
    <xf numFmtId="3" fontId="32" fillId="2" borderId="15" xfId="0" applyNumberFormat="1" applyFont="1" applyBorder="1"/>
    <xf numFmtId="3" fontId="32" fillId="2" borderId="0" xfId="0" applyNumberFormat="1" applyFont="1"/>
    <xf numFmtId="173" fontId="0" fillId="2" borderId="18" xfId="0" applyNumberFormat="1" applyBorder="1"/>
    <xf numFmtId="0" fontId="20" fillId="35" borderId="14" xfId="5" applyBorder="1">
      <protection locked="0"/>
    </xf>
    <xf numFmtId="0" fontId="20" fillId="35" borderId="21" xfId="5" applyBorder="1">
      <protection locked="0"/>
    </xf>
    <xf numFmtId="0" fontId="20" fillId="35" borderId="40" xfId="5" applyBorder="1">
      <protection locked="0"/>
    </xf>
    <xf numFmtId="0" fontId="20" fillId="35" borderId="20" xfId="5" applyBorder="1">
      <protection locked="0"/>
    </xf>
    <xf numFmtId="0" fontId="20" fillId="35" borderId="36" xfId="5" applyBorder="1">
      <protection locked="0"/>
    </xf>
    <xf numFmtId="0" fontId="32" fillId="2" borderId="12" xfId="0" applyFont="1" applyBorder="1"/>
    <xf numFmtId="0" fontId="32" fillId="2" borderId="14" xfId="0" applyFont="1" applyBorder="1"/>
    <xf numFmtId="2" fontId="0" fillId="2" borderId="12" xfId="0" applyNumberFormat="1" applyBorder="1"/>
    <xf numFmtId="2" fontId="0" fillId="2" borderId="21" xfId="0" applyNumberFormat="1" applyBorder="1"/>
    <xf numFmtId="10" fontId="26" fillId="2" borderId="18" xfId="60" applyNumberFormat="1" applyBorder="1"/>
    <xf numFmtId="3" fontId="26" fillId="2" borderId="0" xfId="60" applyNumberFormat="1"/>
    <xf numFmtId="172" fontId="22" fillId="0" borderId="0" xfId="2" applyNumberFormat="1"/>
    <xf numFmtId="14" fontId="20" fillId="35" borderId="18" xfId="5" applyNumberFormat="1" applyBorder="1">
      <protection locked="0"/>
    </xf>
    <xf numFmtId="171" fontId="0" fillId="2" borderId="15" xfId="0" applyNumberFormat="1" applyBorder="1"/>
    <xf numFmtId="169" fontId="22" fillId="0" borderId="19" xfId="2" applyNumberFormat="1" applyBorder="1"/>
    <xf numFmtId="0" fontId="22" fillId="0" borderId="15" xfId="2" applyBorder="1"/>
    <xf numFmtId="169" fontId="22" fillId="0" borderId="15" xfId="2" applyNumberFormat="1" applyBorder="1"/>
    <xf numFmtId="0" fontId="22" fillId="0" borderId="18" xfId="2" applyBorder="1"/>
    <xf numFmtId="9" fontId="22" fillId="0" borderId="15" xfId="2" applyNumberFormat="1" applyBorder="1"/>
    <xf numFmtId="170" fontId="38" fillId="2" borderId="0" xfId="0" applyNumberFormat="1" applyFont="1" applyAlignment="1">
      <alignment horizontal="center"/>
    </xf>
    <xf numFmtId="0" fontId="0" fillId="2" borderId="15" xfId="0" applyBorder="1" applyAlignment="1">
      <alignment horizontal="left" indent="1"/>
    </xf>
    <xf numFmtId="3" fontId="20" fillId="35" borderId="0" xfId="5" applyNumberFormat="1">
      <protection locked="0"/>
    </xf>
    <xf numFmtId="9" fontId="22" fillId="2" borderId="25" xfId="0" applyNumberFormat="1" applyFont="1" applyBorder="1" applyAlignment="1">
      <alignment horizontal="left" vertical="top"/>
    </xf>
    <xf numFmtId="9" fontId="22" fillId="2" borderId="27" xfId="0" applyNumberFormat="1" applyFont="1" applyBorder="1" applyAlignment="1">
      <alignment horizontal="left" vertical="top"/>
    </xf>
    <xf numFmtId="9" fontId="26" fillId="0" borderId="0" xfId="2" applyNumberFormat="1" applyFont="1"/>
    <xf numFmtId="0" fontId="0" fillId="2" borderId="21" xfId="0" applyBorder="1" applyAlignment="1">
      <alignment horizontal="center"/>
    </xf>
    <xf numFmtId="9" fontId="0" fillId="2" borderId="0" xfId="0" applyNumberFormat="1" applyAlignment="1">
      <alignment horizontal="center"/>
    </xf>
    <xf numFmtId="9" fontId="0" fillId="2" borderId="12" xfId="0" applyNumberFormat="1" applyBorder="1" applyAlignment="1">
      <alignment horizontal="center"/>
    </xf>
    <xf numFmtId="9" fontId="0" fillId="2" borderId="21" xfId="0" applyNumberFormat="1" applyBorder="1" applyAlignment="1">
      <alignment horizontal="center"/>
    </xf>
    <xf numFmtId="9" fontId="25" fillId="0" borderId="11" xfId="57" applyNumberFormat="1"/>
    <xf numFmtId="169" fontId="25" fillId="0" borderId="11" xfId="57" applyNumberFormat="1"/>
    <xf numFmtId="169" fontId="26" fillId="2" borderId="0" xfId="60" applyNumberFormat="1"/>
    <xf numFmtId="169" fontId="26" fillId="2" borderId="15" xfId="60" applyNumberFormat="1" applyBorder="1"/>
    <xf numFmtId="169" fontId="32" fillId="2" borderId="0" xfId="0" applyNumberFormat="1" applyFont="1"/>
    <xf numFmtId="171" fontId="20" fillId="35" borderId="20" xfId="5" applyNumberFormat="1" applyBorder="1">
      <protection locked="0"/>
    </xf>
    <xf numFmtId="171" fontId="20" fillId="35" borderId="19" xfId="5" applyNumberFormat="1" applyBorder="1">
      <protection locked="0"/>
    </xf>
    <xf numFmtId="171" fontId="20" fillId="35" borderId="12" xfId="5" applyNumberFormat="1" applyBorder="1">
      <protection locked="0"/>
    </xf>
    <xf numFmtId="171" fontId="20" fillId="35" borderId="0" xfId="5" applyNumberFormat="1" applyBorder="1">
      <protection locked="0"/>
    </xf>
    <xf numFmtId="171" fontId="20" fillId="35" borderId="21" xfId="5" applyNumberFormat="1" applyBorder="1">
      <protection locked="0"/>
    </xf>
    <xf numFmtId="171" fontId="20" fillId="35" borderId="15" xfId="5" applyNumberFormat="1" applyBorder="1">
      <protection locked="0"/>
    </xf>
    <xf numFmtId="171" fontId="26" fillId="2" borderId="0" xfId="60" applyNumberFormat="1"/>
    <xf numFmtId="171" fontId="26" fillId="2" borderId="15" xfId="60" applyNumberFormat="1" applyBorder="1"/>
    <xf numFmtId="9" fontId="20" fillId="35" borderId="0" xfId="5" applyNumberFormat="1">
      <protection locked="0"/>
    </xf>
    <xf numFmtId="0" fontId="32" fillId="0" borderId="0" xfId="0" applyFont="1" applyFill="1" applyAlignment="1">
      <alignment vertical="top"/>
    </xf>
    <xf numFmtId="169" fontId="0" fillId="0" borderId="0" xfId="0" applyNumberFormat="1" applyFill="1" applyAlignment="1">
      <alignment horizontal="center" vertical="top"/>
    </xf>
    <xf numFmtId="169" fontId="32" fillId="0" borderId="0" xfId="0" applyNumberFormat="1" applyFont="1" applyFill="1" applyAlignment="1">
      <alignment horizontal="center" vertical="top"/>
    </xf>
    <xf numFmtId="0" fontId="0" fillId="0" borderId="0" xfId="0" applyFill="1" applyAlignment="1">
      <alignment horizontal="left" vertical="top" indent="1"/>
    </xf>
    <xf numFmtId="0" fontId="0" fillId="0" borderId="15" xfId="0" applyFill="1" applyBorder="1" applyAlignment="1">
      <alignment horizontal="left" vertical="top" indent="1"/>
    </xf>
    <xf numFmtId="169" fontId="0" fillId="0" borderId="15" xfId="0" applyNumberFormat="1" applyFill="1" applyBorder="1" applyAlignment="1">
      <alignment horizontal="center" vertical="top"/>
    </xf>
    <xf numFmtId="169" fontId="22" fillId="0" borderId="0" xfId="2" applyNumberFormat="1" applyAlignment="1">
      <alignment horizontal="center"/>
    </xf>
    <xf numFmtId="0" fontId="0" fillId="0" borderId="18" xfId="0" applyFill="1" applyBorder="1" applyAlignment="1">
      <alignment horizontal="center"/>
    </xf>
    <xf numFmtId="169" fontId="0" fillId="0" borderId="0" xfId="0" applyNumberFormat="1" applyFill="1" applyAlignment="1">
      <alignment horizontal="center"/>
    </xf>
    <xf numFmtId="0" fontId="0" fillId="2" borderId="18" xfId="0" applyBorder="1" applyAlignment="1">
      <alignment horizontal="center"/>
    </xf>
    <xf numFmtId="0" fontId="22" fillId="0" borderId="18" xfId="2" applyBorder="1" applyAlignment="1">
      <alignment horizontal="center"/>
    </xf>
    <xf numFmtId="169" fontId="22" fillId="0" borderId="15" xfId="2" applyNumberFormat="1" applyBorder="1" applyAlignment="1">
      <alignment horizontal="center"/>
    </xf>
    <xf numFmtId="169" fontId="0" fillId="0" borderId="18" xfId="0" applyNumberFormat="1" applyFill="1" applyBorder="1" applyAlignment="1">
      <alignment horizontal="center"/>
    </xf>
    <xf numFmtId="0" fontId="0" fillId="2" borderId="15" xfId="0" applyBorder="1" applyAlignment="1">
      <alignment horizontal="left"/>
    </xf>
    <xf numFmtId="0" fontId="22" fillId="2" borderId="15" xfId="0" applyFont="1" applyBorder="1"/>
    <xf numFmtId="171" fontId="0" fillId="2" borderId="15" xfId="0" applyNumberFormat="1" applyBorder="1" applyAlignment="1">
      <alignment horizontal="center"/>
    </xf>
    <xf numFmtId="3" fontId="22" fillId="2" borderId="15" xfId="0" applyNumberFormat="1" applyFont="1" applyBorder="1" applyAlignment="1">
      <alignment horizontal="right"/>
    </xf>
    <xf numFmtId="169" fontId="26" fillId="2" borderId="22" xfId="60" applyNumberFormat="1" applyBorder="1" applyAlignment="1">
      <alignment horizontal="center" vertical="top"/>
    </xf>
    <xf numFmtId="169" fontId="26" fillId="2" borderId="24" xfId="60" applyNumberFormat="1" applyBorder="1" applyAlignment="1">
      <alignment horizontal="center" vertical="top"/>
    </xf>
    <xf numFmtId="169" fontId="26" fillId="2" borderId="38" xfId="60" applyNumberFormat="1" applyBorder="1" applyAlignment="1">
      <alignment horizontal="center" vertical="top"/>
    </xf>
    <xf numFmtId="169" fontId="26" fillId="2" borderId="26" xfId="60" applyNumberFormat="1" applyBorder="1" applyAlignment="1">
      <alignment horizontal="center" vertical="top"/>
    </xf>
    <xf numFmtId="0" fontId="43" fillId="2" borderId="18" xfId="0" applyFont="1" applyBorder="1" applyAlignment="1">
      <alignment vertical="center"/>
    </xf>
    <xf numFmtId="0" fontId="44" fillId="2" borderId="18" xfId="0" applyFont="1" applyBorder="1" applyAlignment="1">
      <alignment vertical="center"/>
    </xf>
    <xf numFmtId="0" fontId="45" fillId="2" borderId="0" xfId="0" applyFont="1" applyAlignment="1">
      <alignment vertical="center"/>
    </xf>
    <xf numFmtId="3" fontId="45" fillId="2" borderId="0" xfId="0" applyNumberFormat="1" applyFont="1" applyAlignment="1">
      <alignment vertical="center"/>
    </xf>
    <xf numFmtId="0" fontId="45" fillId="2" borderId="19" xfId="0" applyFont="1" applyBorder="1" applyAlignment="1">
      <alignment vertical="center"/>
    </xf>
    <xf numFmtId="169" fontId="44" fillId="2" borderId="19" xfId="0" applyNumberFormat="1" applyFont="1" applyBorder="1" applyAlignment="1">
      <alignment horizontal="center" vertical="center"/>
    </xf>
    <xf numFmtId="169" fontId="45" fillId="2" borderId="19" xfId="0" applyNumberFormat="1" applyFont="1" applyBorder="1" applyAlignment="1">
      <alignment vertical="center"/>
    </xf>
    <xf numFmtId="0" fontId="45" fillId="2" borderId="15" xfId="0" applyFont="1" applyBorder="1" applyAlignment="1">
      <alignment vertical="center"/>
    </xf>
    <xf numFmtId="169" fontId="44" fillId="2" borderId="15" xfId="0" applyNumberFormat="1" applyFont="1" applyBorder="1" applyAlignment="1">
      <alignment horizontal="center" vertical="center"/>
    </xf>
    <xf numFmtId="169" fontId="45" fillId="2" borderId="15" xfId="0" applyNumberFormat="1" applyFont="1" applyBorder="1" applyAlignment="1">
      <alignment vertical="center"/>
    </xf>
    <xf numFmtId="169" fontId="45" fillId="2" borderId="0" xfId="0" applyNumberFormat="1" applyFont="1" applyAlignment="1">
      <alignment horizontal="center" vertical="center"/>
    </xf>
    <xf numFmtId="171" fontId="45" fillId="2" borderId="0" xfId="0" applyNumberFormat="1" applyFont="1" applyAlignment="1">
      <alignment horizontal="center" vertical="center"/>
    </xf>
    <xf numFmtId="3" fontId="45" fillId="2" borderId="0" xfId="0" applyNumberFormat="1" applyFont="1" applyAlignment="1">
      <alignment horizontal="center" vertical="center"/>
    </xf>
    <xf numFmtId="4" fontId="0" fillId="2" borderId="19" xfId="0" applyNumberFormat="1" applyBorder="1"/>
    <xf numFmtId="0" fontId="44" fillId="2" borderId="0" xfId="0" applyFont="1" applyAlignment="1">
      <alignment vertical="center"/>
    </xf>
    <xf numFmtId="4" fontId="45" fillId="2" borderId="0" xfId="0" applyNumberFormat="1" applyFont="1" applyAlignment="1">
      <alignment horizontal="center" vertical="center"/>
    </xf>
    <xf numFmtId="9" fontId="44" fillId="2" borderId="0" xfId="0" applyNumberFormat="1" applyFont="1" applyAlignment="1">
      <alignment horizontal="center" vertical="center"/>
    </xf>
    <xf numFmtId="0" fontId="45" fillId="2" borderId="0" xfId="0" applyFont="1" applyAlignment="1">
      <alignment horizontal="left" vertical="center"/>
    </xf>
    <xf numFmtId="0" fontId="45" fillId="2" borderId="28" xfId="0" applyFont="1" applyBorder="1" applyAlignment="1">
      <alignment horizontal="left" vertical="center"/>
    </xf>
    <xf numFmtId="169" fontId="45" fillId="2" borderId="28" xfId="0" applyNumberFormat="1" applyFont="1" applyBorder="1" applyAlignment="1">
      <alignment horizontal="center" vertical="center"/>
    </xf>
    <xf numFmtId="169" fontId="44" fillId="2" borderId="0" xfId="0" applyNumberFormat="1" applyFont="1" applyAlignment="1">
      <alignment horizontal="center" vertical="center"/>
    </xf>
    <xf numFmtId="0" fontId="45" fillId="2" borderId="15" xfId="0" applyFont="1" applyBorder="1" applyAlignment="1">
      <alignment horizontal="left" vertical="center"/>
    </xf>
    <xf numFmtId="169" fontId="45" fillId="2" borderId="15" xfId="0" applyNumberFormat="1" applyFont="1" applyBorder="1" applyAlignment="1">
      <alignment horizontal="center" vertical="center"/>
    </xf>
    <xf numFmtId="0" fontId="44" fillId="2" borderId="18" xfId="0" applyFont="1" applyBorder="1"/>
    <xf numFmtId="0" fontId="44" fillId="2" borderId="18" xfId="0" applyFont="1" applyBorder="1" applyAlignment="1">
      <alignment horizontal="center"/>
    </xf>
    <xf numFmtId="0" fontId="45" fillId="2" borderId="0" xfId="0" applyFont="1"/>
    <xf numFmtId="0" fontId="45" fillId="2" borderId="0" xfId="0" applyFont="1" applyAlignment="1">
      <alignment horizontal="center"/>
    </xf>
    <xf numFmtId="0" fontId="45" fillId="2" borderId="0" xfId="0" applyFont="1" applyAlignment="1">
      <alignment horizontal="left" indent="1"/>
    </xf>
    <xf numFmtId="169" fontId="45" fillId="2" borderId="0" xfId="0" applyNumberFormat="1" applyFont="1" applyAlignment="1">
      <alignment horizontal="center"/>
    </xf>
    <xf numFmtId="3" fontId="45" fillId="2" borderId="0" xfId="0" applyNumberFormat="1" applyFont="1" applyAlignment="1">
      <alignment horizontal="center"/>
    </xf>
    <xf numFmtId="0" fontId="45" fillId="2" borderId="15" xfId="0" applyFont="1" applyBorder="1"/>
    <xf numFmtId="9" fontId="45" fillId="2" borderId="15" xfId="0" applyNumberFormat="1" applyFont="1" applyBorder="1" applyAlignment="1">
      <alignment horizontal="center"/>
    </xf>
    <xf numFmtId="3" fontId="45" fillId="2" borderId="15" xfId="0" applyNumberFormat="1" applyFont="1" applyBorder="1" applyAlignment="1">
      <alignment horizontal="center"/>
    </xf>
    <xf numFmtId="9" fontId="45" fillId="2" borderId="0" xfId="0" applyNumberFormat="1" applyFont="1" applyAlignment="1">
      <alignment horizontal="center"/>
    </xf>
    <xf numFmtId="4" fontId="45" fillId="2" borderId="0" xfId="0" applyNumberFormat="1" applyFont="1" applyAlignment="1">
      <alignment horizontal="center"/>
    </xf>
    <xf numFmtId="0" fontId="44" fillId="2" borderId="19" xfId="0" applyFont="1" applyBorder="1" applyAlignment="1">
      <alignment vertical="top"/>
    </xf>
    <xf numFmtId="9" fontId="44" fillId="2" borderId="19" xfId="0" applyNumberFormat="1" applyFont="1" applyBorder="1" applyAlignment="1">
      <alignment horizontal="center"/>
    </xf>
    <xf numFmtId="0" fontId="44" fillId="2" borderId="15" xfId="0" applyFont="1" applyBorder="1" applyAlignment="1">
      <alignment vertical="top"/>
    </xf>
    <xf numFmtId="169" fontId="44" fillId="2" borderId="15" xfId="0" applyNumberFormat="1" applyFont="1" applyBorder="1" applyAlignment="1">
      <alignment horizontal="center"/>
    </xf>
    <xf numFmtId="9" fontId="44" fillId="2" borderId="15" xfId="0" applyNumberFormat="1" applyFont="1" applyBorder="1" applyAlignment="1">
      <alignment horizontal="center"/>
    </xf>
    <xf numFmtId="0" fontId="45" fillId="2" borderId="18" xfId="0" applyFont="1" applyBorder="1"/>
    <xf numFmtId="0" fontId="45" fillId="2" borderId="0" xfId="0" applyFont="1" applyAlignment="1">
      <alignment horizontal="center" vertical="center"/>
    </xf>
    <xf numFmtId="0" fontId="45" fillId="2" borderId="15" xfId="0" applyFont="1" applyBorder="1" applyAlignment="1">
      <alignment horizontal="center" vertical="center"/>
    </xf>
    <xf numFmtId="0" fontId="44" fillId="2" borderId="15" xfId="0" applyFont="1" applyBorder="1" applyAlignment="1">
      <alignment vertical="center"/>
    </xf>
    <xf numFmtId="0" fontId="44" fillId="2" borderId="15" xfId="0" applyFont="1" applyBorder="1" applyAlignment="1">
      <alignment horizontal="center" vertical="center"/>
    </xf>
    <xf numFmtId="9" fontId="45" fillId="2" borderId="0" xfId="0" applyNumberFormat="1" applyFont="1" applyAlignment="1">
      <alignment horizontal="center" vertical="center"/>
    </xf>
    <xf numFmtId="9" fontId="45" fillId="2" borderId="15" xfId="0" applyNumberFormat="1" applyFont="1" applyBorder="1" applyAlignment="1">
      <alignment horizontal="center" vertical="center"/>
    </xf>
    <xf numFmtId="9" fontId="44" fillId="2" borderId="15" xfId="0" applyNumberFormat="1" applyFont="1" applyBorder="1" applyAlignment="1">
      <alignment horizontal="center" vertical="center"/>
    </xf>
    <xf numFmtId="174" fontId="26" fillId="2" borderId="41" xfId="60" applyNumberFormat="1" applyBorder="1" applyAlignment="1">
      <alignment horizontal="center" vertical="top"/>
    </xf>
    <xf numFmtId="174" fontId="26" fillId="2" borderId="26" xfId="60" applyNumberFormat="1" applyBorder="1" applyAlignment="1">
      <alignment horizontal="center" vertical="top"/>
    </xf>
    <xf numFmtId="169" fontId="27" fillId="2" borderId="0" xfId="14" applyNumberFormat="1" applyFill="1" applyBorder="1"/>
    <xf numFmtId="169" fontId="27" fillId="2" borderId="15" xfId="14" applyNumberFormat="1" applyFill="1" applyBorder="1"/>
    <xf numFmtId="171" fontId="22" fillId="2" borderId="0" xfId="0" applyNumberFormat="1" applyFont="1" applyAlignment="1">
      <alignment horizontal="center"/>
    </xf>
    <xf numFmtId="169" fontId="26" fillId="2" borderId="0" xfId="60" applyNumberFormat="1" applyBorder="1"/>
    <xf numFmtId="171" fontId="22" fillId="2" borderId="0" xfId="60" applyNumberFormat="1" applyFont="1"/>
    <xf numFmtId="171" fontId="22" fillId="2" borderId="15" xfId="60" applyNumberFormat="1" applyFont="1" applyBorder="1"/>
    <xf numFmtId="171" fontId="22" fillId="2" borderId="20" xfId="60" applyNumberFormat="1" applyFont="1" applyBorder="1"/>
    <xf numFmtId="171" fontId="22" fillId="2" borderId="12" xfId="60" applyNumberFormat="1" applyFont="1" applyBorder="1"/>
    <xf numFmtId="171" fontId="22" fillId="2" borderId="21" xfId="60" applyNumberFormat="1" applyFont="1" applyBorder="1"/>
    <xf numFmtId="174" fontId="22" fillId="0" borderId="0" xfId="2" applyNumberFormat="1"/>
    <xf numFmtId="169" fontId="20" fillId="35" borderId="18" xfId="5" applyNumberFormat="1" applyBorder="1">
      <protection locked="0"/>
    </xf>
    <xf numFmtId="169" fontId="27" fillId="0" borderId="0" xfId="14" applyNumberFormat="1" applyFill="1"/>
    <xf numFmtId="0" fontId="36" fillId="2" borderId="16" xfId="0" applyFont="1" applyBorder="1"/>
    <xf numFmtId="0" fontId="0" fillId="2" borderId="18" xfId="0" applyBorder="1" applyAlignment="1">
      <alignment horizontal="centerContinuous"/>
    </xf>
    <xf numFmtId="0" fontId="0" fillId="2" borderId="16" xfId="0" applyBorder="1" applyAlignment="1">
      <alignment horizontal="centerContinuous"/>
    </xf>
    <xf numFmtId="179" fontId="22" fillId="0" borderId="0" xfId="2" applyNumberFormat="1"/>
    <xf numFmtId="169" fontId="27" fillId="0" borderId="0" xfId="14" applyNumberFormat="1"/>
    <xf numFmtId="0" fontId="20" fillId="35" borderId="12" xfId="5" applyBorder="1" applyAlignment="1">
      <alignment horizontal="center"/>
      <protection locked="0"/>
    </xf>
    <xf numFmtId="0" fontId="20" fillId="35" borderId="21" xfId="5" applyBorder="1" applyAlignment="1">
      <alignment horizontal="center"/>
      <protection locked="0"/>
    </xf>
    <xf numFmtId="0" fontId="26" fillId="2" borderId="18" xfId="60" applyBorder="1"/>
    <xf numFmtId="180" fontId="22" fillId="0" borderId="0" xfId="2" applyNumberFormat="1"/>
    <xf numFmtId="15" fontId="20" fillId="35" borderId="0" xfId="5" applyNumberFormat="1" applyBorder="1">
      <protection locked="0"/>
    </xf>
    <xf numFmtId="3" fontId="20" fillId="35" borderId="12" xfId="5" applyNumberFormat="1" applyBorder="1">
      <protection locked="0"/>
    </xf>
    <xf numFmtId="15" fontId="0" fillId="2" borderId="18" xfId="0" applyNumberFormat="1" applyBorder="1"/>
    <xf numFmtId="0" fontId="22" fillId="0" borderId="19" xfId="2" applyBorder="1"/>
    <xf numFmtId="9" fontId="37" fillId="0" borderId="0" xfId="2" applyNumberFormat="1" applyFont="1"/>
    <xf numFmtId="0" fontId="26" fillId="2" borderId="30" xfId="0" applyFont="1" applyBorder="1" applyAlignment="1">
      <alignment horizontal="center"/>
    </xf>
    <xf numFmtId="9" fontId="26" fillId="2" borderId="30" xfId="0" applyNumberFormat="1" applyFont="1" applyBorder="1" applyAlignment="1">
      <alignment horizontal="center"/>
    </xf>
    <xf numFmtId="9" fontId="26" fillId="2" borderId="30" xfId="0" applyNumberFormat="1" applyFont="1" applyBorder="1" applyAlignment="1">
      <alignment horizontal="centerContinuous"/>
    </xf>
    <xf numFmtId="0" fontId="26" fillId="2" borderId="31" xfId="0" applyFont="1" applyBorder="1" applyAlignment="1">
      <alignment horizontal="center"/>
    </xf>
    <xf numFmtId="0" fontId="26" fillId="2" borderId="31" xfId="0" applyFont="1" applyBorder="1" applyAlignment="1">
      <alignment horizontal="left"/>
    </xf>
    <xf numFmtId="9" fontId="26" fillId="2" borderId="32" xfId="0" applyNumberFormat="1" applyFont="1" applyBorder="1" applyAlignment="1">
      <alignment horizontal="center"/>
    </xf>
    <xf numFmtId="9" fontId="26" fillId="2" borderId="34" xfId="0" applyNumberFormat="1" applyFont="1" applyBorder="1" applyAlignment="1">
      <alignment horizontal="center"/>
    </xf>
    <xf numFmtId="0" fontId="26" fillId="2" borderId="34" xfId="0" applyFont="1" applyBorder="1" applyAlignment="1">
      <alignment horizontal="center"/>
    </xf>
    <xf numFmtId="0" fontId="26" fillId="2" borderId="35" xfId="0" applyFont="1" applyBorder="1" applyAlignment="1">
      <alignment horizontal="center"/>
    </xf>
    <xf numFmtId="0" fontId="26" fillId="2" borderId="35" xfId="0" applyFont="1" applyBorder="1" applyAlignment="1">
      <alignment horizontal="left"/>
    </xf>
    <xf numFmtId="169" fontId="26" fillId="2" borderId="34" xfId="0" applyNumberFormat="1" applyFont="1" applyBorder="1" applyAlignment="1">
      <alignment horizontal="center"/>
    </xf>
    <xf numFmtId="9" fontId="26" fillId="2" borderId="35" xfId="0" applyNumberFormat="1" applyFont="1" applyBorder="1" applyAlignment="1">
      <alignment horizontal="center"/>
    </xf>
    <xf numFmtId="9" fontId="26" fillId="2" borderId="35" xfId="0" applyNumberFormat="1" applyFont="1" applyBorder="1" applyAlignment="1">
      <alignment horizontal="left"/>
    </xf>
    <xf numFmtId="181" fontId="22" fillId="0" borderId="0" xfId="2" applyNumberFormat="1"/>
    <xf numFmtId="9" fontId="48" fillId="2" borderId="0" xfId="55" applyNumberFormat="1" applyFont="1" applyFill="1" applyBorder="1"/>
    <xf numFmtId="9" fontId="48" fillId="2" borderId="15" xfId="55" applyNumberFormat="1" applyFont="1" applyFill="1" applyBorder="1"/>
    <xf numFmtId="169" fontId="26" fillId="2" borderId="19" xfId="0" applyNumberFormat="1" applyFont="1" applyBorder="1"/>
    <xf numFmtId="169" fontId="26" fillId="2" borderId="0" xfId="0" applyNumberFormat="1" applyFont="1"/>
    <xf numFmtId="169" fontId="26" fillId="2" borderId="15" xfId="0" applyNumberFormat="1" applyFont="1" applyBorder="1"/>
    <xf numFmtId="3" fontId="29" fillId="0" borderId="0" xfId="2" applyNumberFormat="1" applyFont="1"/>
    <xf numFmtId="9" fontId="22" fillId="0" borderId="19" xfId="2" applyNumberFormat="1" applyBorder="1"/>
    <xf numFmtId="15" fontId="20" fillId="35" borderId="0" xfId="5" applyNumberFormat="1">
      <protection locked="0"/>
    </xf>
    <xf numFmtId="0" fontId="0" fillId="2" borderId="18" xfId="0" applyBorder="1" applyAlignment="1">
      <alignment wrapText="1"/>
    </xf>
    <xf numFmtId="15" fontId="20" fillId="35" borderId="19" xfId="5" applyNumberFormat="1" applyBorder="1">
      <protection locked="0"/>
    </xf>
    <xf numFmtId="173" fontId="0" fillId="2" borderId="21" xfId="0" applyNumberFormat="1" applyBorder="1"/>
    <xf numFmtId="173" fontId="0" fillId="2" borderId="15" xfId="0" applyNumberFormat="1" applyBorder="1"/>
    <xf numFmtId="173" fontId="0" fillId="2" borderId="40" xfId="0" applyNumberFormat="1" applyBorder="1"/>
    <xf numFmtId="173" fontId="0" fillId="2" borderId="12" xfId="0" applyNumberFormat="1" applyBorder="1"/>
    <xf numFmtId="0" fontId="32" fillId="2" borderId="19" xfId="0" applyFont="1" applyBorder="1"/>
    <xf numFmtId="3" fontId="32" fillId="2" borderId="16" xfId="0" applyNumberFormat="1" applyFont="1" applyBorder="1"/>
    <xf numFmtId="3" fontId="32" fillId="2" borderId="18" xfId="0" applyNumberFormat="1" applyFont="1" applyBorder="1"/>
    <xf numFmtId="0" fontId="32" fillId="2" borderId="16" xfId="0" applyFont="1" applyBorder="1"/>
    <xf numFmtId="3" fontId="32" fillId="2" borderId="17" xfId="0" applyNumberFormat="1" applyFont="1" applyBorder="1"/>
    <xf numFmtId="3" fontId="20" fillId="35" borderId="13" xfId="5" applyNumberFormat="1" applyBorder="1">
      <protection locked="0"/>
    </xf>
    <xf numFmtId="3" fontId="0" fillId="2" borderId="20" xfId="0" applyNumberFormat="1" applyBorder="1"/>
    <xf numFmtId="0" fontId="26" fillId="2" borderId="16" xfId="60" applyBorder="1"/>
    <xf numFmtId="0" fontId="0" fillId="2" borderId="17" xfId="0" applyBorder="1"/>
    <xf numFmtId="0" fontId="0" fillId="2" borderId="42" xfId="0" applyBorder="1"/>
    <xf numFmtId="14" fontId="0" fillId="2" borderId="19" xfId="0" applyNumberFormat="1" applyBorder="1"/>
    <xf numFmtId="0" fontId="32" fillId="2" borderId="37" xfId="0" applyFont="1" applyBorder="1"/>
    <xf numFmtId="0" fontId="20" fillId="35" borderId="16" xfId="5" applyBorder="1">
      <protection locked="0"/>
    </xf>
    <xf numFmtId="3" fontId="31" fillId="0" borderId="0" xfId="2" applyNumberFormat="1" applyFont="1"/>
    <xf numFmtId="3" fontId="25" fillId="0" borderId="11" xfId="57" applyNumberFormat="1"/>
    <xf numFmtId="169" fontId="32" fillId="0" borderId="15" xfId="0" applyNumberFormat="1" applyFont="1" applyFill="1" applyBorder="1"/>
    <xf numFmtId="0" fontId="32" fillId="0" borderId="15" xfId="0" applyFont="1" applyFill="1" applyBorder="1"/>
    <xf numFmtId="169" fontId="32" fillId="0" borderId="0" xfId="0" applyNumberFormat="1" applyFont="1" applyFill="1"/>
    <xf numFmtId="173" fontId="0" fillId="0" borderId="0" xfId="0" applyNumberFormat="1" applyFill="1"/>
    <xf numFmtId="169" fontId="32" fillId="2" borderId="15" xfId="0" applyNumberFormat="1" applyFont="1" applyBorder="1"/>
    <xf numFmtId="3" fontId="26" fillId="0" borderId="0" xfId="60" applyNumberFormat="1" applyFill="1"/>
    <xf numFmtId="171" fontId="0" fillId="2" borderId="21" xfId="0" applyNumberFormat="1" applyBorder="1"/>
    <xf numFmtId="171" fontId="0" fillId="2" borderId="12" xfId="0" applyNumberFormat="1" applyBorder="1"/>
    <xf numFmtId="172" fontId="20" fillId="35" borderId="0" xfId="5" applyNumberFormat="1">
      <protection locked="0"/>
    </xf>
    <xf numFmtId="9" fontId="0" fillId="2" borderId="19" xfId="0" applyNumberFormat="1" applyBorder="1"/>
    <xf numFmtId="0" fontId="26" fillId="0" borderId="28" xfId="60" applyFill="1" applyBorder="1" applyAlignment="1">
      <alignment vertical="top"/>
    </xf>
    <xf numFmtId="0" fontId="0" fillId="2" borderId="43" xfId="0" applyBorder="1" applyAlignment="1">
      <alignment vertical="top" wrapText="1"/>
    </xf>
    <xf numFmtId="0" fontId="0" fillId="41" borderId="0" xfId="0" applyFill="1"/>
    <xf numFmtId="0" fontId="44" fillId="2" borderId="18" xfId="0" applyFont="1" applyBorder="1" applyAlignment="1">
      <alignment vertical="top"/>
    </xf>
    <xf numFmtId="9" fontId="44" fillId="2" borderId="18" xfId="0" applyNumberFormat="1" applyFont="1" applyBorder="1" applyAlignment="1">
      <alignment horizontal="center"/>
    </xf>
    <xf numFmtId="9" fontId="22" fillId="2" borderId="0" xfId="2" applyNumberFormat="1" applyFill="1"/>
    <xf numFmtId="169" fontId="22" fillId="2" borderId="0" xfId="2" applyNumberFormat="1" applyFill="1"/>
    <xf numFmtId="9" fontId="22" fillId="2" borderId="15" xfId="2" applyNumberFormat="1" applyFill="1" applyBorder="1"/>
    <xf numFmtId="169" fontId="22" fillId="2" borderId="15" xfId="2" applyNumberFormat="1" applyFill="1" applyBorder="1"/>
    <xf numFmtId="174" fontId="26" fillId="2" borderId="44" xfId="60" applyNumberFormat="1" applyBorder="1" applyAlignment="1">
      <alignment horizontal="center" vertical="top"/>
    </xf>
    <xf numFmtId="174" fontId="26" fillId="2" borderId="38" xfId="60" applyNumberFormat="1" applyBorder="1" applyAlignment="1">
      <alignment horizontal="center" vertical="top"/>
    </xf>
    <xf numFmtId="9" fontId="22" fillId="2" borderId="39" xfId="0" applyNumberFormat="1" applyFont="1" applyBorder="1" applyAlignment="1">
      <alignment horizontal="left" vertical="top"/>
    </xf>
    <xf numFmtId="169" fontId="0" fillId="2" borderId="18" xfId="0" applyNumberFormat="1" applyBorder="1" applyAlignment="1">
      <alignment horizontal="center" vertical="top"/>
    </xf>
    <xf numFmtId="4" fontId="0" fillId="2" borderId="16" xfId="0" applyNumberFormat="1" applyBorder="1" applyAlignment="1">
      <alignment horizontal="center" vertical="top"/>
    </xf>
    <xf numFmtId="0" fontId="49" fillId="2" borderId="20" xfId="0" applyFont="1" applyBorder="1"/>
    <xf numFmtId="173" fontId="26" fillId="2" borderId="0" xfId="60" applyNumberFormat="1" applyBorder="1"/>
    <xf numFmtId="2" fontId="26" fillId="2" borderId="15" xfId="60" applyNumberFormat="1" applyBorder="1" applyAlignment="1">
      <alignment horizontal="center"/>
    </xf>
    <xf numFmtId="0" fontId="22" fillId="2" borderId="19" xfId="2" applyFill="1" applyBorder="1"/>
    <xf numFmtId="0" fontId="22" fillId="2" borderId="15" xfId="2" applyFill="1" applyBorder="1"/>
    <xf numFmtId="0" fontId="22" fillId="2" borderId="19" xfId="2" applyFill="1" applyBorder="1" applyAlignment="1">
      <alignment horizontal="centerContinuous"/>
    </xf>
    <xf numFmtId="9" fontId="0" fillId="2" borderId="20" xfId="0" applyNumberFormat="1" applyBorder="1"/>
    <xf numFmtId="9" fontId="0" fillId="2" borderId="12" xfId="0" applyNumberFormat="1" applyBorder="1"/>
    <xf numFmtId="9" fontId="0" fillId="2" borderId="21" xfId="0" applyNumberFormat="1" applyBorder="1"/>
    <xf numFmtId="9" fontId="0" fillId="2" borderId="20" xfId="0" applyNumberFormat="1" applyBorder="1" applyAlignment="1">
      <alignment horizontal="center"/>
    </xf>
    <xf numFmtId="9" fontId="0" fillId="2" borderId="14" xfId="0" applyNumberFormat="1" applyBorder="1" applyAlignment="1">
      <alignment horizontal="center"/>
    </xf>
    <xf numFmtId="15" fontId="26" fillId="2" borderId="19" xfId="60" applyNumberFormat="1" applyBorder="1"/>
    <xf numFmtId="3" fontId="26" fillId="2" borderId="15" xfId="60" applyNumberFormat="1" applyBorder="1"/>
    <xf numFmtId="0" fontId="45" fillId="42" borderId="0" xfId="0" applyFont="1" applyFill="1" applyAlignment="1">
      <alignment horizontal="left" indent="2"/>
    </xf>
    <xf numFmtId="3" fontId="50" fillId="35" borderId="0" xfId="5" applyNumberFormat="1" applyFont="1" applyAlignment="1">
      <alignment horizontal="center"/>
      <protection locked="0"/>
    </xf>
    <xf numFmtId="0" fontId="28" fillId="2" borderId="0" xfId="0" applyFont="1" applyAlignment="1">
      <alignment horizontal="left" indent="1"/>
    </xf>
    <xf numFmtId="0" fontId="0" fillId="2" borderId="36" xfId="0" applyBorder="1" applyAlignment="1">
      <alignment horizontal="centerContinuous"/>
    </xf>
    <xf numFmtId="0" fontId="0" fillId="2" borderId="40" xfId="0" applyBorder="1" applyAlignment="1">
      <alignment horizontal="center"/>
    </xf>
    <xf numFmtId="169" fontId="20" fillId="35" borderId="36" xfId="5" applyNumberFormat="1" applyBorder="1">
      <protection locked="0"/>
    </xf>
    <xf numFmtId="169" fontId="20" fillId="35" borderId="14" xfId="5" applyNumberFormat="1" applyBorder="1">
      <protection locked="0"/>
    </xf>
    <xf numFmtId="169" fontId="26" fillId="2" borderId="12" xfId="60" applyNumberFormat="1" applyBorder="1"/>
    <xf numFmtId="0" fontId="0" fillId="2" borderId="21" xfId="0" applyBorder="1" applyAlignment="1">
      <alignment horizontal="centerContinuous"/>
    </xf>
    <xf numFmtId="171" fontId="26" fillId="2" borderId="12" xfId="60" applyNumberFormat="1" applyBorder="1"/>
    <xf numFmtId="0" fontId="0" fillId="42" borderId="0" xfId="0" applyFill="1" applyAlignment="1">
      <alignment horizontal="left" indent="2"/>
    </xf>
    <xf numFmtId="0" fontId="0" fillId="42" borderId="15" xfId="0" applyFill="1" applyBorder="1" applyAlignment="1">
      <alignment horizontal="left" indent="2"/>
    </xf>
    <xf numFmtId="182" fontId="22" fillId="0" borderId="0" xfId="2" applyNumberFormat="1"/>
    <xf numFmtId="0" fontId="46" fillId="36" borderId="0" xfId="62"/>
    <xf numFmtId="0" fontId="51" fillId="36" borderId="0" xfId="62" applyFont="1"/>
    <xf numFmtId="0" fontId="40" fillId="0" borderId="0" xfId="58" applyNumberFormat="1"/>
    <xf numFmtId="0" fontId="52" fillId="0" borderId="0" xfId="58" applyNumberFormat="1" applyFont="1"/>
    <xf numFmtId="0" fontId="44" fillId="2" borderId="18" xfId="63" applyFont="1" applyBorder="1" applyAlignment="1">
      <alignment horizontal="left" vertical="center"/>
    </xf>
    <xf numFmtId="0" fontId="44" fillId="2" borderId="18" xfId="63" applyFont="1" applyBorder="1"/>
    <xf numFmtId="0" fontId="44" fillId="2" borderId="18" xfId="63" applyFont="1" applyBorder="1" applyAlignment="1">
      <alignment horizontal="center" vertical="center"/>
    </xf>
    <xf numFmtId="0" fontId="42" fillId="2" borderId="18" xfId="63" applyBorder="1"/>
    <xf numFmtId="0" fontId="42" fillId="2" borderId="18" xfId="63" applyNumberFormat="1" applyBorder="1"/>
    <xf numFmtId="0" fontId="45" fillId="2" borderId="0" xfId="63" applyFont="1" applyAlignment="1">
      <alignment vertical="center"/>
    </xf>
    <xf numFmtId="169" fontId="42" fillId="2" borderId="0" xfId="63" applyNumberFormat="1"/>
    <xf numFmtId="10" fontId="41" fillId="35" borderId="0" xfId="59" applyNumberFormat="1" applyBorder="1">
      <protection locked="0"/>
    </xf>
    <xf numFmtId="3" fontId="41" fillId="35" borderId="0" xfId="59" applyNumberFormat="1" applyBorder="1">
      <protection locked="0"/>
    </xf>
    <xf numFmtId="0" fontId="42" fillId="2" borderId="0" xfId="63" applyNumberFormat="1"/>
    <xf numFmtId="0" fontId="42" fillId="2" borderId="0" xfId="63" quotePrefix="1" applyNumberFormat="1"/>
    <xf numFmtId="10" fontId="42" fillId="2" borderId="0" xfId="63" applyNumberFormat="1"/>
    <xf numFmtId="3" fontId="42" fillId="2" borderId="0" xfId="63" applyNumberFormat="1"/>
    <xf numFmtId="0" fontId="53" fillId="2" borderId="18" xfId="63" applyFont="1" applyBorder="1"/>
    <xf numFmtId="169" fontId="53" fillId="2" borderId="18" xfId="63" applyNumberFormat="1" applyFont="1" applyBorder="1"/>
    <xf numFmtId="169" fontId="40" fillId="0" borderId="0" xfId="58" applyNumberFormat="1"/>
    <xf numFmtId="173" fontId="42" fillId="2" borderId="0" xfId="63" applyNumberFormat="1"/>
    <xf numFmtId="0" fontId="42" fillId="2" borderId="15" xfId="63" applyNumberFormat="1" applyBorder="1"/>
    <xf numFmtId="173" fontId="42" fillId="2" borderId="15" xfId="63" applyNumberFormat="1" applyBorder="1"/>
    <xf numFmtId="169" fontId="42" fillId="2" borderId="15" xfId="63" applyNumberFormat="1" applyBorder="1"/>
    <xf numFmtId="10" fontId="42" fillId="2" borderId="15" xfId="63" applyNumberFormat="1" applyBorder="1"/>
    <xf numFmtId="3" fontId="42" fillId="2" borderId="15" xfId="63" applyNumberFormat="1" applyBorder="1"/>
    <xf numFmtId="171" fontId="47" fillId="2" borderId="0" xfId="64" applyNumberFormat="1" applyBorder="1"/>
    <xf numFmtId="3" fontId="47" fillId="2" borderId="0" xfId="64" applyNumberFormat="1" applyBorder="1"/>
    <xf numFmtId="0" fontId="47" fillId="2" borderId="0" xfId="64" applyNumberFormat="1" applyBorder="1"/>
    <xf numFmtId="171" fontId="47" fillId="2" borderId="15" xfId="64" applyNumberFormat="1" applyBorder="1"/>
    <xf numFmtId="0" fontId="47" fillId="2" borderId="15" xfId="64" applyNumberFormat="1" applyBorder="1"/>
    <xf numFmtId="3" fontId="47" fillId="2" borderId="15" xfId="64" applyNumberFormat="1" applyBorder="1"/>
    <xf numFmtId="169" fontId="47" fillId="2" borderId="0" xfId="64" applyNumberFormat="1" applyBorder="1"/>
    <xf numFmtId="169" fontId="47" fillId="2" borderId="15" xfId="64" applyNumberFormat="1" applyBorder="1"/>
    <xf numFmtId="0" fontId="41" fillId="35" borderId="0" xfId="59" applyNumberFormat="1" applyBorder="1">
      <protection locked="0"/>
    </xf>
    <xf numFmtId="10" fontId="40" fillId="0" borderId="0" xfId="58" applyNumberFormat="1"/>
    <xf numFmtId="0" fontId="44" fillId="2" borderId="18" xfId="63" applyFont="1" applyBorder="1" applyAlignment="1">
      <alignment horizontal="center"/>
    </xf>
    <xf numFmtId="0" fontId="45" fillId="2" borderId="0" xfId="63" applyFont="1" applyAlignment="1">
      <alignment horizontal="left"/>
    </xf>
    <xf numFmtId="10" fontId="47" fillId="2" borderId="0" xfId="64" applyNumberFormat="1" applyBorder="1"/>
    <xf numFmtId="10" fontId="47" fillId="2" borderId="15" xfId="64" applyNumberFormat="1" applyBorder="1"/>
    <xf numFmtId="171" fontId="40" fillId="0" borderId="0" xfId="58" applyNumberFormat="1"/>
    <xf numFmtId="3" fontId="40" fillId="0" borderId="0" xfId="58" applyNumberFormat="1"/>
    <xf numFmtId="0" fontId="40" fillId="0" borderId="0" xfId="58"/>
    <xf numFmtId="169" fontId="42" fillId="2" borderId="18" xfId="63" applyNumberFormat="1" applyBorder="1"/>
    <xf numFmtId="171" fontId="42" fillId="2" borderId="18" xfId="63" applyNumberFormat="1" applyBorder="1"/>
    <xf numFmtId="0" fontId="42" fillId="2" borderId="19" xfId="63" applyNumberFormat="1" applyBorder="1"/>
    <xf numFmtId="169" fontId="42" fillId="2" borderId="19" xfId="63" applyNumberFormat="1" applyBorder="1"/>
    <xf numFmtId="0" fontId="25" fillId="0" borderId="11" xfId="57" applyNumberFormat="1"/>
    <xf numFmtId="10" fontId="25" fillId="0" borderId="11" xfId="57" applyNumberFormat="1"/>
    <xf numFmtId="0" fontId="0" fillId="2" borderId="0" xfId="0" applyNumberFormat="1"/>
    <xf numFmtId="0" fontId="0" fillId="2" borderId="15" xfId="0" applyNumberFormat="1" applyBorder="1"/>
    <xf numFmtId="0" fontId="0" fillId="2" borderId="18" xfId="0" applyNumberFormat="1" applyBorder="1"/>
    <xf numFmtId="173" fontId="0" fillId="2" borderId="0" xfId="0" applyNumberFormat="1" applyAlignment="1">
      <alignment horizontal="right"/>
    </xf>
    <xf numFmtId="173" fontId="0" fillId="2" borderId="15" xfId="0" applyNumberFormat="1" applyBorder="1" applyAlignment="1">
      <alignment horizontal="right"/>
    </xf>
    <xf numFmtId="169" fontId="47" fillId="2" borderId="0" xfId="64" applyNumberFormat="1" applyAlignment="1">
      <alignment horizontal="center" vertical="center"/>
    </xf>
    <xf numFmtId="171" fontId="47" fillId="2" borderId="0" xfId="64" applyNumberFormat="1" applyAlignment="1">
      <alignment horizontal="center" vertical="center"/>
    </xf>
    <xf numFmtId="3" fontId="47" fillId="2" borderId="0" xfId="64" applyNumberFormat="1" applyAlignment="1">
      <alignment horizontal="center" vertical="center"/>
    </xf>
    <xf numFmtId="169" fontId="47" fillId="2" borderId="0" xfId="64" applyNumberFormat="1" applyAlignment="1">
      <alignment horizontal="center"/>
    </xf>
    <xf numFmtId="3" fontId="47" fillId="2" borderId="0" xfId="64" applyNumberFormat="1" applyAlignment="1">
      <alignment horizontal="center"/>
    </xf>
    <xf numFmtId="169" fontId="47" fillId="2" borderId="0" xfId="64" applyNumberFormat="1"/>
    <xf numFmtId="171" fontId="47" fillId="2" borderId="0" xfId="64" applyNumberFormat="1"/>
    <xf numFmtId="1" fontId="47" fillId="2" borderId="0" xfId="64" applyNumberFormat="1"/>
    <xf numFmtId="1" fontId="47" fillId="2" borderId="15" xfId="64" applyNumberFormat="1" applyBorder="1"/>
    <xf numFmtId="3" fontId="20" fillId="35" borderId="0" xfId="5" applyNumberFormat="1" applyAlignment="1">
      <alignment horizontal="center" vertical="center"/>
      <protection locked="0"/>
    </xf>
    <xf numFmtId="3" fontId="47" fillId="2" borderId="0" xfId="64" applyNumberFormat="1"/>
    <xf numFmtId="0" fontId="24" fillId="36" borderId="0" xfId="56" applyNumberFormat="1"/>
    <xf numFmtId="171" fontId="45" fillId="2" borderId="15" xfId="0" applyNumberFormat="1" applyFont="1" applyBorder="1" applyAlignment="1">
      <alignment horizontal="center" vertical="center"/>
    </xf>
    <xf numFmtId="3" fontId="45" fillId="2" borderId="15" xfId="0" applyNumberFormat="1" applyFont="1" applyBorder="1" applyAlignment="1">
      <alignment horizontal="center" vertical="center"/>
    </xf>
    <xf numFmtId="3" fontId="20" fillId="35" borderId="15" xfId="5" applyNumberFormat="1" applyBorder="1">
      <protection locked="0"/>
    </xf>
    <xf numFmtId="0" fontId="47" fillId="2" borderId="0" xfId="64" applyNumberFormat="1"/>
    <xf numFmtId="0" fontId="47" fillId="2" borderId="18" xfId="64" applyNumberFormat="1" applyBorder="1"/>
    <xf numFmtId="0" fontId="41" fillId="35" borderId="0" xfId="59" applyNumberFormat="1">
      <protection locked="0"/>
    </xf>
    <xf numFmtId="0" fontId="41" fillId="35" borderId="15" xfId="59" applyNumberFormat="1" applyBorder="1">
      <protection locked="0"/>
    </xf>
    <xf numFmtId="183" fontId="47" fillId="2" borderId="0" xfId="64" applyNumberFormat="1"/>
    <xf numFmtId="183" fontId="47" fillId="2" borderId="15" xfId="64" applyNumberFormat="1" applyBorder="1"/>
    <xf numFmtId="0" fontId="42" fillId="2" borderId="18" xfId="0" applyNumberFormat="1" applyFont="1" applyBorder="1"/>
    <xf numFmtId="0" fontId="42" fillId="2" borderId="0" xfId="0" applyNumberFormat="1" applyFont="1"/>
    <xf numFmtId="0" fontId="42" fillId="2" borderId="15" xfId="0" applyNumberFormat="1" applyFont="1" applyBorder="1"/>
    <xf numFmtId="0" fontId="53" fillId="2" borderId="0" xfId="0" applyNumberFormat="1" applyFont="1"/>
    <xf numFmtId="0" fontId="42" fillId="2" borderId="18" xfId="0" applyNumberFormat="1" applyFont="1" applyBorder="1" applyAlignment="1">
      <alignment horizontal="right"/>
    </xf>
    <xf numFmtId="0" fontId="42" fillId="2" borderId="0" xfId="0" applyNumberFormat="1" applyFont="1" applyAlignment="1">
      <alignment horizontal="right"/>
    </xf>
    <xf numFmtId="169" fontId="42" fillId="2" borderId="0" xfId="0" applyNumberFormat="1" applyFont="1" applyAlignment="1">
      <alignment horizontal="right"/>
    </xf>
    <xf numFmtId="171" fontId="42" fillId="2" borderId="0" xfId="0" applyNumberFormat="1" applyFont="1" applyAlignment="1">
      <alignment horizontal="right"/>
    </xf>
    <xf numFmtId="169" fontId="42" fillId="2" borderId="15" xfId="0" applyNumberFormat="1" applyFont="1" applyBorder="1" applyAlignment="1">
      <alignment horizontal="right"/>
    </xf>
    <xf numFmtId="171" fontId="42" fillId="2" borderId="15" xfId="0" applyNumberFormat="1" applyFont="1" applyBorder="1" applyAlignment="1">
      <alignment horizontal="right"/>
    </xf>
    <xf numFmtId="0" fontId="20" fillId="35" borderId="0" xfId="5" applyNumberFormat="1" applyBorder="1">
      <protection locked="0"/>
    </xf>
    <xf numFmtId="0" fontId="20" fillId="35" borderId="15" xfId="5" applyNumberFormat="1" applyBorder="1">
      <protection locked="0"/>
    </xf>
    <xf numFmtId="9" fontId="47" fillId="2" borderId="15" xfId="64" applyNumberFormat="1" applyBorder="1"/>
    <xf numFmtId="9" fontId="47" fillId="2" borderId="0" xfId="64" applyNumberFormat="1" applyBorder="1"/>
    <xf numFmtId="4" fontId="40" fillId="2" borderId="0" xfId="64" applyNumberFormat="1" applyFont="1" applyAlignment="1">
      <alignment horizontal="center" vertical="center"/>
    </xf>
    <xf numFmtId="175" fontId="42" fillId="2" borderId="0" xfId="63" applyNumberFormat="1"/>
    <xf numFmtId="173" fontId="40" fillId="0" borderId="0" xfId="58" applyNumberFormat="1"/>
    <xf numFmtId="3" fontId="42" fillId="2" borderId="0" xfId="0" applyNumberFormat="1" applyFont="1"/>
    <xf numFmtId="3" fontId="42" fillId="2" borderId="15" xfId="0" applyNumberFormat="1" applyFont="1" applyBorder="1"/>
    <xf numFmtId="4" fontId="42" fillId="2" borderId="0" xfId="0" applyNumberFormat="1" applyFont="1"/>
    <xf numFmtId="4" fontId="42" fillId="2" borderId="15" xfId="0" applyNumberFormat="1" applyFont="1" applyBorder="1"/>
    <xf numFmtId="4" fontId="40" fillId="0" borderId="0" xfId="58" applyNumberFormat="1"/>
    <xf numFmtId="169" fontId="42" fillId="2" borderId="18" xfId="0" applyNumberFormat="1" applyFont="1" applyBorder="1" applyAlignment="1">
      <alignment horizontal="center"/>
    </xf>
  </cellXfs>
  <cellStyles count="65">
    <cellStyle name="20% - Accent1" xfId="32" builtinId="30" hidden="1"/>
    <cellStyle name="20% - Accent2" xfId="36" builtinId="34" hidden="1"/>
    <cellStyle name="20% - Accent3" xfId="40" builtinId="38" hidden="1"/>
    <cellStyle name="20% - Accent4" xfId="44" builtinId="42" hidden="1"/>
    <cellStyle name="20% - Accent5" xfId="48" builtinId="46" hidden="1"/>
    <cellStyle name="20% - Accent6" xfId="52" builtinId="50" hidden="1"/>
    <cellStyle name="40% - Accent1" xfId="33" builtinId="31" hidden="1"/>
    <cellStyle name="40% - Accent2" xfId="37" builtinId="35" hidden="1"/>
    <cellStyle name="40% - Accent3" xfId="41" builtinId="39" hidden="1"/>
    <cellStyle name="40% - Accent4" xfId="45" builtinId="43" hidden="1"/>
    <cellStyle name="40% - Accent5" xfId="49" builtinId="47" hidden="1"/>
    <cellStyle name="40% - Accent6" xfId="53" builtinId="51" hidden="1"/>
    <cellStyle name="60% - Accent1" xfId="34" builtinId="32" hidden="1"/>
    <cellStyle name="60% - Accent2" xfId="38" builtinId="36" hidden="1"/>
    <cellStyle name="60% - Accent3" xfId="42" builtinId="40" hidden="1"/>
    <cellStyle name="60% - Accent4" xfId="46" builtinId="44" hidden="1"/>
    <cellStyle name="60% - Accent5" xfId="50" builtinId="48" hidden="1"/>
    <cellStyle name="60% - Accent6" xfId="54" builtinId="52" hidden="1"/>
    <cellStyle name="Accent1" xfId="31" builtinId="29" hidden="1"/>
    <cellStyle name="Accent2" xfId="35" builtinId="33" hidden="1"/>
    <cellStyle name="Accent3" xfId="39" builtinId="37" hidden="1"/>
    <cellStyle name="Accent4" xfId="43" builtinId="41" hidden="1"/>
    <cellStyle name="Accent5" xfId="47" builtinId="45" hidden="1"/>
    <cellStyle name="Accent6" xfId="51" builtinId="49" hidden="1"/>
    <cellStyle name="Background" xfId="2" xr:uid="{00000000-0005-0000-0000-000018000000}"/>
    <cellStyle name="Background 2" xfId="58" xr:uid="{A6FF855A-0085-4FC0-B01C-C70DF2EA91FE}"/>
    <cellStyle name="Bad" xfId="21" builtinId="27" hidden="1" customBuiltin="1"/>
    <cellStyle name="Calculation" xfId="24" builtinId="22" hidden="1"/>
    <cellStyle name="Check box" xfId="1" xr:uid="{00000000-0005-0000-0000-00001B000000}"/>
    <cellStyle name="Check Cell" xfId="26" builtinId="23" hidden="1"/>
    <cellStyle name="Comma" xfId="10" builtinId="3" customBuiltin="1"/>
    <cellStyle name="Comma [0]" xfId="11" builtinId="6" hidden="1"/>
    <cellStyle name="Currency" xfId="12" builtinId="4" customBuiltin="1"/>
    <cellStyle name="Currency [0]" xfId="13" builtinId="7" hidden="1"/>
    <cellStyle name="Explanatory Text" xfId="29" builtinId="53" hidden="1"/>
    <cellStyle name="Foreløbigt tal" xfId="55" xr:uid="{00000000-0005-0000-0000-000022000000}"/>
    <cellStyle name="Good" xfId="20" builtinId="26" hidden="1" customBuiltin="1"/>
    <cellStyle name="Heading 1" xfId="16" hidden="1" xr:uid="{00000000-0005-0000-0000-000025000000}"/>
    <cellStyle name="Heading 1" xfId="56" xr:uid="{2F2D61CD-0794-4D09-B657-910A15363F80}"/>
    <cellStyle name="Heading 1 2" xfId="62" xr:uid="{4EAFA0F3-55BC-4D08-B656-457C8667F50C}"/>
    <cellStyle name="Heading 2" xfId="17" hidden="1" xr:uid="{00000000-0005-0000-0000-000027000000}"/>
    <cellStyle name="Heading 2" xfId="57" xr:uid="{49FC7304-EB2A-4F62-8572-3ACE7DA56DFD}"/>
    <cellStyle name="Heading 3" xfId="18" builtinId="18" hidden="1"/>
    <cellStyle name="Heading 4" xfId="19" builtinId="19" hidden="1"/>
    <cellStyle name="Hyperlink" xfId="60" builtinId="8"/>
    <cellStyle name="Input" xfId="3" builtinId="20" hidden="1"/>
    <cellStyle name="Input" xfId="7" builtinId="20" hidden="1"/>
    <cellStyle name="Input" xfId="8" builtinId="20" hidden="1"/>
    <cellStyle name="Input" xfId="4" builtinId="20" hidden="1"/>
    <cellStyle name="Input" xfId="6" builtinId="20" hidden="1"/>
    <cellStyle name="Input" xfId="9" builtinId="20" hidden="1"/>
    <cellStyle name="InputCell" xfId="5" xr:uid="{00000000-0005-0000-0000-000030000000}"/>
    <cellStyle name="InputCell 2" xfId="59" xr:uid="{F5E9F9F5-A4CF-4531-B3EC-94778C5C0009}"/>
    <cellStyle name="Link 2" xfId="64" xr:uid="{7DC38FD7-523F-44F7-B310-9D1B5F705091}"/>
    <cellStyle name="Linked Cell" xfId="25" builtinId="24" hidden="1"/>
    <cellStyle name="Neutral" xfId="22" builtinId="28" hidden="1"/>
    <cellStyle name="Normal" xfId="0" builtinId="0" customBuiltin="1"/>
    <cellStyle name="Normal 2" xfId="61" xr:uid="{7044866D-08B0-40E6-9C23-4F2AEFD83700}"/>
    <cellStyle name="Normal 3" xfId="63" xr:uid="{D29B95B6-F591-4F63-ABCD-6BB2778C61A6}"/>
    <cellStyle name="Note" xfId="28" builtinId="10" hidden="1"/>
    <cellStyle name="Output" xfId="23" builtinId="21" hidden="1"/>
    <cellStyle name="Percent" xfId="14" builtinId="5" customBuiltin="1"/>
    <cellStyle name="Title" xfId="15" builtinId="15" hidden="1"/>
    <cellStyle name="Total" xfId="30" builtinId="25" hidden="1"/>
    <cellStyle name="Warning Text" xfId="27" builtinId="11" hidden="1"/>
  </cellStyles>
  <dxfs count="4">
    <dxf>
      <font>
        <color rgb="FFBCA9A0"/>
      </font>
      <fill>
        <patternFill patternType="solid">
          <fgColor indexed="15"/>
          <bgColor rgb="FFBCA9A0"/>
        </patternFill>
      </fill>
    </dxf>
    <dxf>
      <font>
        <color rgb="FFBCA9A0"/>
      </font>
      <fill>
        <patternFill patternType="solid">
          <fgColor indexed="15"/>
          <bgColor rgb="FFBCA9A0"/>
        </patternFill>
      </fill>
    </dxf>
    <dxf>
      <font>
        <b/>
        <i val="0"/>
        <sz val="10"/>
        <color auto="1"/>
        <name val="Trebuchet MS"/>
        <scheme val="none"/>
      </font>
      <fill>
        <patternFill>
          <bgColor theme="0"/>
        </patternFill>
      </fill>
      <border>
        <bottom style="thin">
          <color theme="4"/>
        </bottom>
        <vertical/>
        <horizontal/>
      </border>
    </dxf>
    <dxf>
      <font>
        <b val="0"/>
        <i val="0"/>
        <strike val="0"/>
        <sz val="10"/>
        <color auto="1"/>
        <name val="Trebuchet MS"/>
        <scheme val="none"/>
      </font>
      <fill>
        <patternFill>
          <bgColor theme="0"/>
        </patternFill>
      </fill>
      <border>
        <left style="thin">
          <color theme="4"/>
        </left>
        <right style="thin">
          <color theme="4"/>
        </right>
        <top style="thin">
          <color theme="4"/>
        </top>
        <bottom style="thin">
          <color theme="4"/>
        </bottom>
        <vertical/>
        <horizontal/>
      </border>
    </dxf>
  </dxfs>
  <tableStyles count="1" defaultTableStyle="TableStyleMedium2" defaultPivotStyle="PivotStyleLight16">
    <tableStyle name="IP slicer" pivot="0" table="0" count="10" xr9:uid="{00000000-0011-0000-FFFF-FFFF00000000}">
      <tableStyleElement type="wholeTable" dxfId="3"/>
      <tableStyleElement type="headerRow" dxfId="2"/>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85C225"/>
      <rgbColor rgb="00AE863F"/>
      <rgbColor rgb="0025686E"/>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color rgb="FFFFCCCC"/>
      <color rgb="FFFF3300"/>
      <color rgb="FFD4EDFC"/>
      <color rgb="FFBCA9A0"/>
      <color rgb="FF003865"/>
      <color rgb="FF86754F"/>
      <color rgb="FF8E634A"/>
      <color rgb="FF373636"/>
      <color rgb="FF000000"/>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0" tint="-0.14996795556505021"/>
          </font>
          <fill>
            <patternFill patternType="solid">
              <fgColor theme="4" tint="0.79992065187536243"/>
              <bgColor theme="4" tint="0.39994506668294322"/>
            </patternFill>
          </fill>
          <border>
            <left style="thin">
              <color rgb="FFCCCCCC"/>
            </left>
            <right style="thin">
              <color rgb="FFCCCCCC"/>
            </right>
            <top style="thin">
              <color rgb="FFCCCCCC"/>
            </top>
            <bottom style="thin">
              <color rgb="FFCCCCCC"/>
            </bottom>
            <vertical/>
            <horizontal/>
          </border>
        </dxf>
        <dxf>
          <font>
            <color theme="0"/>
          </font>
          <fill>
            <patternFill patternType="solid">
              <fgColor theme="4" tint="0.59999389629810485"/>
              <bgColor rgb="FF00AEEF"/>
            </patternFill>
          </fill>
          <border>
            <left style="thin">
              <color rgb="FF999999"/>
            </left>
            <right style="thin">
              <color rgb="FF999999"/>
            </right>
            <top style="thin">
              <color rgb="FF999999"/>
            </top>
            <bottom style="thin">
              <color rgb="FF999999"/>
            </bottom>
            <vertical/>
            <horizontal/>
          </border>
        </dxf>
        <dxf>
          <font>
            <color theme="0" tint="-0.34998626667073579"/>
          </font>
          <fill>
            <patternFill patternType="solid">
              <fgColor rgb="FFFFFFFF"/>
              <bgColor theme="0"/>
            </patternFill>
          </fill>
          <border>
            <left style="thin">
              <color rgb="FFE0E0E0"/>
            </left>
            <right style="thin">
              <color rgb="FFE0E0E0"/>
            </right>
            <top style="thin">
              <color rgb="FFE0E0E0"/>
            </top>
            <bottom style="thin">
              <color rgb="FFE0E0E0"/>
            </bottom>
            <vertical/>
            <horizontal/>
          </border>
        </dxf>
        <dxf>
          <font>
            <color auto="1"/>
          </font>
          <fill>
            <patternFill patternType="solid">
              <fgColor rgb="FFFFFFFF"/>
              <bgColor theme="0"/>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IP slicer">
        <x14:slicerStyle name="IP slic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4.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5.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6.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a-DK"/>
        </a:p>
      </c:txPr>
    </c:title>
    <c:autoTitleDeleted val="0"/>
    <c:plotArea>
      <c:layout/>
      <c:scatterChart>
        <c:scatterStyle val="lineMarker"/>
        <c:varyColors val="0"/>
        <c:ser>
          <c:idx val="0"/>
          <c:order val="0"/>
          <c:tx>
            <c:strRef>
              <c:f>'Standardizing estimates'!$Q$704</c:f>
              <c:strCache>
                <c:ptCount val="1"/>
                <c:pt idx="0">
                  <c:v>Lineær</c:v>
                </c:pt>
              </c:strCache>
            </c:strRef>
          </c:tx>
          <c:spPr>
            <a:ln w="28575" cap="rnd">
              <a:noFill/>
              <a:round/>
            </a:ln>
            <a:effectLst/>
          </c:spPr>
          <c:marker>
            <c:symbol val="circle"/>
            <c:size val="5"/>
            <c:spPr>
              <a:solidFill>
                <a:schemeClr val="accent1"/>
              </a:solidFill>
              <a:ln w="9525">
                <a:solidFill>
                  <a:schemeClr val="accent1"/>
                </a:solidFill>
              </a:ln>
              <a:effectLst/>
            </c:spPr>
          </c:marker>
          <c:xVal>
            <c:numRef>
              <c:f>'Standardizing estimates'!$P$705:$P$724</c:f>
              <c:numCache>
                <c:formatCode>#,##0</c:formatCode>
                <c:ptCount val="20"/>
                <c:pt idx="0" formatCode="General">
                  <c:v>0</c:v>
                </c:pt>
                <c:pt idx="1">
                  <c:v>10</c:v>
                </c:pt>
                <c:pt idx="10">
                  <c:v>20</c:v>
                </c:pt>
                <c:pt idx="11">
                  <c:v>30</c:v>
                </c:pt>
                <c:pt idx="12">
                  <c:v>40</c:v>
                </c:pt>
                <c:pt idx="13">
                  <c:v>44.444444444444443</c:v>
                </c:pt>
                <c:pt idx="14">
                  <c:v>50</c:v>
                </c:pt>
                <c:pt idx="15">
                  <c:v>60</c:v>
                </c:pt>
                <c:pt idx="17">
                  <c:v>70</c:v>
                </c:pt>
                <c:pt idx="18">
                  <c:v>76.391666087864692</c:v>
                </c:pt>
                <c:pt idx="19">
                  <c:v>125</c:v>
                </c:pt>
              </c:numCache>
            </c:numRef>
          </c:xVal>
          <c:yVal>
            <c:numRef>
              <c:f>'Standardizing estimates'!$Q$705:$Q$724</c:f>
              <c:numCache>
                <c:formatCode>#,##0.00</c:formatCode>
                <c:ptCount val="20"/>
                <c:pt idx="0">
                  <c:v>0</c:v>
                </c:pt>
                <c:pt idx="1">
                  <c:v>0.13</c:v>
                </c:pt>
                <c:pt idx="10">
                  <c:v>0.26</c:v>
                </c:pt>
                <c:pt idx="11">
                  <c:v>0.38999999999999996</c:v>
                </c:pt>
                <c:pt idx="12">
                  <c:v>0.52</c:v>
                </c:pt>
                <c:pt idx="13">
                  <c:v>0.57777777777777772</c:v>
                </c:pt>
                <c:pt idx="14">
                  <c:v>0.65</c:v>
                </c:pt>
                <c:pt idx="15">
                  <c:v>0.77999999999999992</c:v>
                </c:pt>
                <c:pt idx="17">
                  <c:v>0.90999999999999992</c:v>
                </c:pt>
                <c:pt idx="18">
                  <c:v>0.99309165914224096</c:v>
                </c:pt>
                <c:pt idx="19">
                  <c:v>1.625</c:v>
                </c:pt>
              </c:numCache>
            </c:numRef>
          </c:yVal>
          <c:smooth val="0"/>
          <c:extLst>
            <c:ext xmlns:c16="http://schemas.microsoft.com/office/drawing/2014/chart" uri="{C3380CC4-5D6E-409C-BE32-E72D297353CC}">
              <c16:uniqueId val="{00000000-F217-4875-9A47-A5BA4C3CE5C7}"/>
            </c:ext>
          </c:extLst>
        </c:ser>
        <c:ser>
          <c:idx val="1"/>
          <c:order val="1"/>
          <c:tx>
            <c:strRef>
              <c:f>'Standardizing estimates'!$R$704</c:f>
              <c:strCache>
                <c:ptCount val="1"/>
                <c:pt idx="0">
                  <c:v>Kvadratisk</c:v>
                </c:pt>
              </c:strCache>
            </c:strRef>
          </c:tx>
          <c:spPr>
            <a:ln w="28575" cap="rnd">
              <a:noFill/>
              <a:round/>
            </a:ln>
            <a:effectLst/>
          </c:spPr>
          <c:marker>
            <c:symbol val="circle"/>
            <c:size val="5"/>
            <c:spPr>
              <a:solidFill>
                <a:schemeClr val="accent2"/>
              </a:solidFill>
              <a:ln w="9525">
                <a:solidFill>
                  <a:schemeClr val="accent2"/>
                </a:solidFill>
              </a:ln>
              <a:effectLst/>
            </c:spPr>
          </c:marker>
          <c:xVal>
            <c:numRef>
              <c:f>'Standardizing estimates'!$P$705:$P$724</c:f>
              <c:numCache>
                <c:formatCode>#,##0</c:formatCode>
                <c:ptCount val="20"/>
                <c:pt idx="0" formatCode="General">
                  <c:v>0</c:v>
                </c:pt>
                <c:pt idx="1">
                  <c:v>10</c:v>
                </c:pt>
                <c:pt idx="10">
                  <c:v>20</c:v>
                </c:pt>
                <c:pt idx="11">
                  <c:v>30</c:v>
                </c:pt>
                <c:pt idx="12">
                  <c:v>40</c:v>
                </c:pt>
                <c:pt idx="13">
                  <c:v>44.444444444444443</c:v>
                </c:pt>
                <c:pt idx="14">
                  <c:v>50</c:v>
                </c:pt>
                <c:pt idx="15">
                  <c:v>60</c:v>
                </c:pt>
                <c:pt idx="17">
                  <c:v>70</c:v>
                </c:pt>
                <c:pt idx="18">
                  <c:v>76.391666087864692</c:v>
                </c:pt>
                <c:pt idx="19">
                  <c:v>125</c:v>
                </c:pt>
              </c:numCache>
            </c:numRef>
          </c:xVal>
          <c:yVal>
            <c:numRef>
              <c:f>'Standardizing estimates'!$R$705:$R$724</c:f>
              <c:numCache>
                <c:formatCode>#,##0.00</c:formatCode>
                <c:ptCount val="20"/>
                <c:pt idx="0">
                  <c:v>0</c:v>
                </c:pt>
                <c:pt idx="1">
                  <c:v>0.80400000000000016</c:v>
                </c:pt>
                <c:pt idx="10">
                  <c:v>1.4680000000000002</c:v>
                </c:pt>
                <c:pt idx="11">
                  <c:v>1.9920000000000004</c:v>
                </c:pt>
                <c:pt idx="12">
                  <c:v>2.3760000000000003</c:v>
                </c:pt>
                <c:pt idx="13">
                  <c:v>2.5017283950617286</c:v>
                </c:pt>
                <c:pt idx="14">
                  <c:v>2.62</c:v>
                </c:pt>
                <c:pt idx="15">
                  <c:v>2.7240000000000006</c:v>
                </c:pt>
                <c:pt idx="17">
                  <c:v>2.6880000000000002</c:v>
                </c:pt>
                <c:pt idx="18">
                  <c:v>2.5916509627035031</c:v>
                </c:pt>
                <c:pt idx="19">
                  <c:v>-1.2499999999999289E-2</c:v>
                </c:pt>
              </c:numCache>
            </c:numRef>
          </c:yVal>
          <c:smooth val="0"/>
          <c:extLst>
            <c:ext xmlns:c16="http://schemas.microsoft.com/office/drawing/2014/chart" uri="{C3380CC4-5D6E-409C-BE32-E72D297353CC}">
              <c16:uniqueId val="{00000001-F217-4875-9A47-A5BA4C3CE5C7}"/>
            </c:ext>
          </c:extLst>
        </c:ser>
        <c:dLbls>
          <c:showLegendKey val="0"/>
          <c:showVal val="0"/>
          <c:showCatName val="0"/>
          <c:showSerName val="0"/>
          <c:showPercent val="0"/>
          <c:showBubbleSize val="0"/>
        </c:dLbls>
        <c:axId val="1812592560"/>
        <c:axId val="1812595472"/>
      </c:scatterChart>
      <c:valAx>
        <c:axId val="1812592560"/>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812595472"/>
        <c:crosses val="autoZero"/>
        <c:crossBetween val="midCat"/>
      </c:valAx>
      <c:valAx>
        <c:axId val="18125954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8125925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'Selective reporting'!$F$301</c:f>
              <c:strCache>
                <c:ptCount val="1"/>
                <c:pt idx="0">
                  <c:v>Stringency studies</c:v>
                </c:pt>
              </c:strCache>
            </c:strRef>
          </c:tx>
          <c:spPr>
            <a:ln w="25400" cap="rnd">
              <a:noFill/>
              <a:round/>
            </a:ln>
            <a:effectLst/>
          </c:spPr>
          <c:marker>
            <c:symbol val="circle"/>
            <c:size val="5"/>
            <c:spPr>
              <a:solidFill>
                <a:schemeClr val="tx1"/>
              </a:solidFill>
              <a:ln w="9525">
                <a:noFill/>
              </a:ln>
              <a:effectLst/>
            </c:spPr>
          </c:marker>
          <c:dLbls>
            <c:dLbl>
              <c:idx val="0"/>
              <c:layout>
                <c:manualLayout>
                  <c:x val="-0.15940789917244169"/>
                  <c:y val="-8.1954294720252202E-2"/>
                </c:manualLayout>
              </c:layout>
              <c:tx>
                <c:rich>
                  <a:bodyPr/>
                  <a:lstStyle/>
                  <a:p>
                    <a:fld id="{B667BDE1-F5BA-4496-8E5D-11EAC449BEE7}"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0566-49E4-B001-D63BF3480443}"/>
                </c:ext>
              </c:extLst>
            </c:dLbl>
            <c:dLbl>
              <c:idx val="1"/>
              <c:layout>
                <c:manualLayout>
                  <c:x val="9.4187656003252091E-6"/>
                  <c:y val="3.5593998513965427E-2"/>
                </c:manualLayout>
              </c:layout>
              <c:tx>
                <c:rich>
                  <a:bodyPr/>
                  <a:lstStyle/>
                  <a:p>
                    <a:fld id="{54BBADFA-DA21-4D00-8B90-DFED601CA649}"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layout>
                    <c:manualLayout>
                      <c:w val="0.18236831486149024"/>
                      <c:h val="4.71868110556962E-2"/>
                    </c:manualLayout>
                  </c15:layout>
                  <c15:dlblFieldTable/>
                  <c15:showDataLabelsRange val="1"/>
                </c:ext>
                <c:ext xmlns:c16="http://schemas.microsoft.com/office/drawing/2014/chart" uri="{C3380CC4-5D6E-409C-BE32-E72D297353CC}">
                  <c16:uniqueId val="{00000001-0566-49E4-B001-D63BF3480443}"/>
                </c:ext>
              </c:extLst>
            </c:dLbl>
            <c:dLbl>
              <c:idx val="2"/>
              <c:layout>
                <c:manualLayout>
                  <c:x val="-0.15225607937285318"/>
                  <c:y val="-6.2428723111408242E-2"/>
                </c:manualLayout>
              </c:layout>
              <c:tx>
                <c:rich>
                  <a:bodyPr/>
                  <a:lstStyle/>
                  <a:p>
                    <a:fld id="{81FC232A-7CBB-4303-9A2B-5E10D0EA5EB7}"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0566-49E4-B001-D63BF3480443}"/>
                </c:ext>
              </c:extLst>
            </c:dLbl>
            <c:dLbl>
              <c:idx val="3"/>
              <c:layout>
                <c:manualLayout>
                  <c:x val="6.8317671073902745E-3"/>
                  <c:y val="1.2608353033884891E-2"/>
                </c:manualLayout>
              </c:layout>
              <c:tx>
                <c:rich>
                  <a:bodyPr/>
                  <a:lstStyle/>
                  <a:p>
                    <a:fld id="{8BED9509-DD0E-46AC-A6F2-D2284D83B8C8}"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0566-49E4-B001-D63BF3480443}"/>
                </c:ext>
              </c:extLst>
            </c:dLbl>
            <c:dLbl>
              <c:idx val="4"/>
              <c:layout>
                <c:manualLayout>
                  <c:x val="6.8317671073903586E-3"/>
                  <c:y val="2.5216706067769899E-2"/>
                </c:manualLayout>
              </c:layout>
              <c:tx>
                <c:rich>
                  <a:bodyPr/>
                  <a:lstStyle/>
                  <a:p>
                    <a:fld id="{783499D3-C697-4E6E-A92B-DDF95A3E9358}"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0566-49E4-B001-D63BF3480443}"/>
                </c:ext>
              </c:extLst>
            </c:dLbl>
            <c:dLbl>
              <c:idx val="5"/>
              <c:layout>
                <c:manualLayout>
                  <c:x val="-0.15940789917244169"/>
                  <c:y val="-4.7281323877068585E-2"/>
                </c:manualLayout>
              </c:layout>
              <c:tx>
                <c:rich>
                  <a:bodyPr/>
                  <a:lstStyle/>
                  <a:p>
                    <a:fld id="{322D5743-19C1-4E01-8BA9-3DDEB5EDBBD6}"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0566-49E4-B001-D63BF3480443}"/>
                </c:ext>
              </c:extLst>
            </c:dLbl>
            <c:dLbl>
              <c:idx val="6"/>
              <c:layout>
                <c:manualLayout>
                  <c:x val="1.3663534214780632E-2"/>
                  <c:y val="0"/>
                </c:manualLayout>
              </c:layout>
              <c:tx>
                <c:rich>
                  <a:bodyPr/>
                  <a:lstStyle/>
                  <a:p>
                    <a:fld id="{D1380023-107C-4992-9E68-5ECA131EA94B}"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0566-49E4-B001-D63BF3480443}"/>
                </c:ext>
              </c:extLst>
            </c:dLbl>
            <c:dLbl>
              <c:idx val="7"/>
              <c:layout>
                <c:manualLayout>
                  <c:x val="6.8317671073903586E-3"/>
                  <c:y val="3.1520882584712374E-3"/>
                </c:manualLayout>
              </c:layout>
              <c:tx>
                <c:rich>
                  <a:bodyPr/>
                  <a:lstStyle/>
                  <a:p>
                    <a:fld id="{B944DD42-2DD3-46FD-87D7-8C9AB27221DA}"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0566-49E4-B001-D63BF3480443}"/>
                </c:ext>
              </c:extLst>
            </c:dLbl>
            <c:dLbl>
              <c:idx val="8"/>
              <c:layout>
                <c:manualLayout>
                  <c:x val="-0.25973889788099463"/>
                  <c:y val="-3.1520859168374472E-2"/>
                </c:manualLayout>
              </c:layout>
              <c:tx>
                <c:rich>
                  <a:bodyPr/>
                  <a:lstStyle/>
                  <a:p>
                    <a:fld id="{9E57310E-19D6-4007-89D8-BEABBD3C2072}"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layout>
                    <c:manualLayout>
                      <c:w val="0.20448996865736677"/>
                      <c:h val="5.9795211594496314E-2"/>
                    </c:manualLayout>
                  </c15:layout>
                  <c15:dlblFieldTable/>
                  <c15:showDataLabelsRange val="1"/>
                </c:ext>
                <c:ext xmlns:c16="http://schemas.microsoft.com/office/drawing/2014/chart" uri="{C3380CC4-5D6E-409C-BE32-E72D297353CC}">
                  <c16:uniqueId val="{00000008-0566-49E4-B001-D63BF3480443}"/>
                </c:ext>
              </c:extLst>
            </c:dLbl>
            <c:dLbl>
              <c:idx val="9"/>
              <c:layout>
                <c:manualLayout>
                  <c:x val="2.9595033136580691E-2"/>
                  <c:y val="1.4382789789186031E-2"/>
                </c:manualLayout>
              </c:layout>
              <c:tx>
                <c:rich>
                  <a:bodyPr/>
                  <a:lstStyle/>
                  <a:p>
                    <a:fld id="{218B1182-5E2B-4048-83F0-5F0786E80869}"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0566-49E4-B001-D63BF3480443}"/>
                </c:ext>
              </c:extLst>
            </c:dLbl>
            <c:dLbl>
              <c:idx val="10"/>
              <c:layout>
                <c:manualLayout>
                  <c:x val="-5.3408992284683807E-2"/>
                  <c:y val="3.9567458497348225E-2"/>
                </c:manualLayout>
              </c:layout>
              <c:tx>
                <c:rich>
                  <a:bodyPr/>
                  <a:lstStyle/>
                  <a:p>
                    <a:fld id="{A9C57833-1989-427F-9F27-6ECBC3B94567}"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layout>
                    <c:manualLayout>
                      <c:w val="0.18458618866243098"/>
                      <c:h val="4.0882610786296139E-2"/>
                    </c:manualLayout>
                  </c15:layout>
                  <c15:dlblFieldTable/>
                  <c15:showDataLabelsRange val="1"/>
                </c:ext>
                <c:ext xmlns:c16="http://schemas.microsoft.com/office/drawing/2014/chart" uri="{C3380CC4-5D6E-409C-BE32-E72D297353CC}">
                  <c16:uniqueId val="{0000000A-0566-49E4-B001-D63BF3480443}"/>
                </c:ext>
              </c:extLst>
            </c:dLbl>
            <c:dLbl>
              <c:idx val="11"/>
              <c:layout>
                <c:manualLayout>
                  <c:x val="-0.13891259785027063"/>
                  <c:y val="-9.7714736012608383E-2"/>
                </c:manualLayout>
              </c:layout>
              <c:tx>
                <c:rich>
                  <a:bodyPr/>
                  <a:lstStyle/>
                  <a:p>
                    <a:fld id="{6A538D24-192A-44E8-9BE8-E56E32147B89}"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0566-49E4-B001-D63BF3480443}"/>
                </c:ext>
              </c:extLst>
            </c:dLbl>
            <c:dLbl>
              <c:idx val="12"/>
              <c:layout>
                <c:manualLayout>
                  <c:x val="-8.1814741148144271E-2"/>
                  <c:y val="-5.0432749083445486E-2"/>
                </c:manualLayout>
              </c:layout>
              <c:tx>
                <c:rich>
                  <a:bodyPr/>
                  <a:lstStyle/>
                  <a:p>
                    <a:fld id="{6F3F4FBE-757C-4825-A255-5FA64FEF7720}"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C-0566-49E4-B001-D63BF3480443}"/>
                </c:ext>
              </c:extLst>
            </c:dLbl>
            <c:dLbl>
              <c:idx val="13"/>
              <c:layout>
                <c:manualLayout>
                  <c:x val="5.4654136859122869E-2"/>
                  <c:y val="-6.3041765169424748E-3"/>
                </c:manualLayout>
              </c:layout>
              <c:tx>
                <c:rich>
                  <a:bodyPr/>
                  <a:lstStyle/>
                  <a:p>
                    <a:fld id="{F0A18BA4-6631-44BA-8D85-6ABE99667D62}"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0566-49E4-B001-D63BF3480443}"/>
                </c:ext>
              </c:extLst>
            </c:dLbl>
            <c:dLbl>
              <c:idx val="14"/>
              <c:layout>
                <c:manualLayout>
                  <c:x val="2.3555196529473884E-3"/>
                  <c:y val="3.1520902238111159E-2"/>
                </c:manualLayout>
              </c:layout>
              <c:tx>
                <c:rich>
                  <a:bodyPr/>
                  <a:lstStyle/>
                  <a:p>
                    <a:fld id="{3D69873C-8A01-49E9-888E-22CFC154172A}"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layout>
                    <c:manualLayout>
                      <c:w val="0.20407695810931359"/>
                      <c:h val="4.7186526698444538E-2"/>
                    </c:manualLayout>
                  </c15:layout>
                  <c15:dlblFieldTable/>
                  <c15:showDataLabelsRange val="1"/>
                </c:ext>
                <c:ext xmlns:c16="http://schemas.microsoft.com/office/drawing/2014/chart" uri="{C3380CC4-5D6E-409C-BE32-E72D297353CC}">
                  <c16:uniqueId val="{0000000E-0566-49E4-B001-D63BF3480443}"/>
                </c:ext>
              </c:extLst>
            </c:dLbl>
            <c:dLbl>
              <c:idx val="15"/>
              <c:layout>
                <c:manualLayout>
                  <c:x val="-0.13922987891737892"/>
                  <c:y val="-9.6441111111111116E-2"/>
                </c:manualLayout>
              </c:layout>
              <c:tx>
                <c:rich>
                  <a:bodyPr/>
                  <a:lstStyle/>
                  <a:p>
                    <a:fld id="{71EFFD49-AA83-446C-BA45-96CAD860D86C}"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F-0566-49E4-B001-D63BF3480443}"/>
                </c:ext>
              </c:extLst>
            </c:dLbl>
            <c:dLbl>
              <c:idx val="16"/>
              <c:layout>
                <c:manualLayout>
                  <c:x val="-0.17079417768475905"/>
                  <c:y val="-2.8368794326241134E-2"/>
                </c:manualLayout>
              </c:layout>
              <c:tx>
                <c:rich>
                  <a:bodyPr/>
                  <a:lstStyle/>
                  <a:p>
                    <a:fld id="{C84641C2-C19E-4D4A-A5E4-EBDC471AC9C2}"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0-0566-49E4-B001-D63BF3480443}"/>
                </c:ext>
              </c:extLst>
            </c:dLbl>
            <c:dLbl>
              <c:idx val="17"/>
              <c:layout>
                <c:manualLayout>
                  <c:x val="6.8317671073903161E-3"/>
                  <c:y val="2.8368794326241134E-2"/>
                </c:manualLayout>
              </c:layout>
              <c:tx>
                <c:rich>
                  <a:bodyPr/>
                  <a:lstStyle/>
                  <a:p>
                    <a:fld id="{7E9E52EB-E91A-42D1-8BE0-66B7224BD3B9}"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0566-49E4-B001-D63BF3480443}"/>
                </c:ext>
              </c:extLst>
            </c:dLbl>
            <c:dLbl>
              <c:idx val="18"/>
              <c:tx>
                <c:rich>
                  <a:bodyPr/>
                  <a:lstStyle/>
                  <a:p>
                    <a:endParaRPr lang="da-DK"/>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0566-49E4-B001-D63BF3480443}"/>
                </c:ext>
              </c:extLst>
            </c:dLbl>
            <c:dLbl>
              <c:idx val="19"/>
              <c:tx>
                <c:rich>
                  <a:bodyPr/>
                  <a:lstStyle/>
                  <a:p>
                    <a:endParaRPr lang="da-DK"/>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0566-49E4-B001-D63BF3480443}"/>
                </c:ext>
              </c:extLst>
            </c:dLbl>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mn-lt"/>
                    <a:ea typeface="+mn-ea"/>
                    <a:cs typeface="+mn-cs"/>
                  </a:defRPr>
                </a:pPr>
                <a:endParaRPr lang="da-D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'Selective reporting'!$E$302:$E$321</c:f>
              <c:numCache>
                <c:formatCode>0.0%</c:formatCode>
                <c:ptCount val="20"/>
                <c:pt idx="0">
                  <c:v>-3.0820447444083188E-3</c:v>
                </c:pt>
                <c:pt idx="1">
                  <c:v>-4.0159765066823672E-2</c:v>
                </c:pt>
                <c:pt idx="2">
                  <c:v>0.11715264654310653</c:v>
                </c:pt>
                <c:pt idx="3">
                  <c:v>-7.5420107976104989E-2</c:v>
                </c:pt>
                <c:pt idx="4">
                  <c:v>-0.3534582598710535</c:v>
                </c:pt>
                <c:pt idx="5">
                  <c:v>-2.4009081653636168E-2</c:v>
                </c:pt>
                <c:pt idx="6">
                  <c:v>-0.16329011082141937</c:v>
                </c:pt>
                <c:pt idx="7">
                  <c:v>-0.16869018010788994</c:v>
                </c:pt>
                <c:pt idx="8">
                  <c:v>-0.17695473251028815</c:v>
                </c:pt>
                <c:pt idx="9">
                  <c:v>4.8995231350040705E-2</c:v>
                </c:pt>
                <c:pt idx="10">
                  <c:v>0.13071364795918367</c:v>
                </c:pt>
                <c:pt idx="11">
                  <c:v>4.5999999999999999E-2</c:v>
                </c:pt>
                <c:pt idx="12">
                  <c:v>0.15612949485277217</c:v>
                </c:pt>
                <c:pt idx="13">
                  <c:v>-0.32151610007036957</c:v>
                </c:pt>
                <c:pt idx="14">
                  <c:v>-0.01</c:v>
                </c:pt>
                <c:pt idx="15">
                  <c:v>-0.35</c:v>
                </c:pt>
                <c:pt idx="16">
                  <c:v>-6.0069444444444453E-2</c:v>
                </c:pt>
                <c:pt idx="17">
                  <c:v>-0.40389417076968986</c:v>
                </c:pt>
                <c:pt idx="18">
                  <c:v>-0.40389417076968986</c:v>
                </c:pt>
                <c:pt idx="19">
                  <c:v>0.15612949485277217</c:v>
                </c:pt>
              </c:numCache>
            </c:numRef>
          </c:xVal>
          <c:yVal>
            <c:numRef>
              <c:f>'Selective reporting'!$F$302:$F$321</c:f>
              <c:numCache>
                <c:formatCode>0.0%</c:formatCode>
                <c:ptCount val="20"/>
                <c:pt idx="0">
                  <c:v>-1.5737853812680257E-3</c:v>
                </c:pt>
                <c:pt idx="1">
                  <c:v>-3.1556404900083594E-2</c:v>
                </c:pt>
                <c:pt idx="2">
                  <c:v>0.12817756085375426</c:v>
                </c:pt>
                <c:pt idx="3">
                  <c:v>-7.6482595799537451E-2</c:v>
                </c:pt>
                <c:pt idx="4">
                  <c:v>-0.3534582598710535</c:v>
                </c:pt>
                <c:pt idx="5">
                  <c:v>-3.8412243315599864E-2</c:v>
                </c:pt>
                <c:pt idx="6">
                  <c:v>0.16692069199248513</c:v>
                </c:pt>
                <c:pt idx="7">
                  <c:v>-0.20050668249493972</c:v>
                </c:pt>
                <c:pt idx="8">
                  <c:v>-0.17695473251028815</c:v>
                </c:pt>
                <c:pt idx="9">
                  <c:v>1.0527598000436476E-2</c:v>
                </c:pt>
                <c:pt idx="10">
                  <c:v>8.7801205621199502E-2</c:v>
                </c:pt>
                <c:pt idx="11">
                  <c:v>4.5999999999999999E-2</c:v>
                </c:pt>
                <c:pt idx="12">
                  <c:v>0.15909491163937145</c:v>
                </c:pt>
                <c:pt idx="13">
                  <c:v>-0.32151610007036957</c:v>
                </c:pt>
                <c:pt idx="14">
                  <c:v>-0.01</c:v>
                </c:pt>
                <c:pt idx="15">
                  <c:v>-0.35</c:v>
                </c:pt>
                <c:pt idx="16">
                  <c:v>-5.8197618592940092E-2</c:v>
                </c:pt>
                <c:pt idx="17">
                  <c:v>-0.40024818371044751</c:v>
                </c:pt>
              </c:numCache>
            </c:numRef>
          </c:yVal>
          <c:smooth val="0"/>
          <c:extLst>
            <c:ext xmlns:c15="http://schemas.microsoft.com/office/drawing/2012/chart" uri="{02D57815-91ED-43cb-92C2-25804820EDAC}">
              <c15:datalabelsRange>
                <c15:f>'Selective reporting'!$D$302:$D$319</c15:f>
                <c15:dlblRangeCache>
                  <c:ptCount val="18"/>
                  <c:pt idx="0">
                    <c:v>Bjørnskov (2021)</c:v>
                  </c:pt>
                  <c:pt idx="1">
                    <c:v>Shiva and Molana (2021)</c:v>
                  </c:pt>
                  <c:pt idx="2">
                    <c:v>Chisadza et al. (2021)</c:v>
                  </c:pt>
                  <c:pt idx="3">
                    <c:v>Goldstein et al. (2021)</c:v>
                  </c:pt>
                  <c:pt idx="4">
                    <c:v>Fuller et al. (2021)</c:v>
                  </c:pt>
                  <c:pt idx="5">
                    <c:v>Ashraf (2020)</c:v>
                  </c:pt>
                  <c:pt idx="6">
                    <c:v>Yang et al. (2021)</c:v>
                  </c:pt>
                  <c:pt idx="7">
                    <c:v>Hale et al. (2021)</c:v>
                  </c:pt>
                  <c:pt idx="8">
                    <c:v>Chernozhukov et al. (2021)</c:v>
                  </c:pt>
                  <c:pt idx="9">
                    <c:v>Stokes et al. (2020)</c:v>
                  </c:pt>
                  <c:pt idx="10">
                    <c:v>Spiegel and Tookes (2021)</c:v>
                  </c:pt>
                  <c:pt idx="11">
                    <c:v>Guo et al. (2021)</c:v>
                  </c:pt>
                  <c:pt idx="12">
                    <c:v>An et al. (2021)</c:v>
                  </c:pt>
                  <c:pt idx="13">
                    <c:v>Sears et al. (2020)</c:v>
                  </c:pt>
                  <c:pt idx="14">
                    <c:v>Alderman &amp; Harjoto (2020)</c:v>
                  </c:pt>
                  <c:pt idx="15">
                    <c:v>Fowler et al. (2021)</c:v>
                  </c:pt>
                  <c:pt idx="16">
                    <c:v>Gibson (2020)</c:v>
                  </c:pt>
                  <c:pt idx="17">
                    <c:v>Dave et al. (2020)</c:v>
                  </c:pt>
                </c15:dlblRangeCache>
              </c15:datalabelsRange>
            </c:ext>
            <c:ext xmlns:c16="http://schemas.microsoft.com/office/drawing/2014/chart" uri="{C3380CC4-5D6E-409C-BE32-E72D297353CC}">
              <c16:uniqueId val="{00000014-0566-49E4-B001-D63BF3480443}"/>
            </c:ext>
          </c:extLst>
        </c:ser>
        <c:ser>
          <c:idx val="1"/>
          <c:order val="1"/>
          <c:tx>
            <c:strRef>
              <c:f>'Selective reporting'!$G$301</c:f>
              <c:strCache>
                <c:ptCount val="1"/>
                <c:pt idx="0">
                  <c:v>SIPO-studies</c:v>
                </c:pt>
              </c:strCache>
            </c:strRef>
          </c:tx>
          <c:spPr>
            <a:ln w="25400" cap="rnd">
              <a:noFill/>
              <a:round/>
            </a:ln>
            <a:effectLst/>
          </c:spPr>
          <c:marker>
            <c:symbol val="circle"/>
            <c:size val="6"/>
            <c:spPr>
              <a:solidFill>
                <a:schemeClr val="accent6"/>
              </a:solidFill>
              <a:ln w="9525">
                <a:noFill/>
              </a:ln>
              <a:effectLst/>
            </c:spPr>
          </c:marker>
          <c:xVal>
            <c:numRef>
              <c:f>'Selective reporting'!$E$302:$E$321</c:f>
              <c:numCache>
                <c:formatCode>0.0%</c:formatCode>
                <c:ptCount val="20"/>
                <c:pt idx="0">
                  <c:v>-3.0820447444083188E-3</c:v>
                </c:pt>
                <c:pt idx="1">
                  <c:v>-4.0159765066823672E-2</c:v>
                </c:pt>
                <c:pt idx="2">
                  <c:v>0.11715264654310653</c:v>
                </c:pt>
                <c:pt idx="3">
                  <c:v>-7.5420107976104989E-2</c:v>
                </c:pt>
                <c:pt idx="4">
                  <c:v>-0.3534582598710535</c:v>
                </c:pt>
                <c:pt idx="5">
                  <c:v>-2.4009081653636168E-2</c:v>
                </c:pt>
                <c:pt idx="6">
                  <c:v>-0.16329011082141937</c:v>
                </c:pt>
                <c:pt idx="7">
                  <c:v>-0.16869018010788994</c:v>
                </c:pt>
                <c:pt idx="8">
                  <c:v>-0.17695473251028815</c:v>
                </c:pt>
                <c:pt idx="9">
                  <c:v>4.8995231350040705E-2</c:v>
                </c:pt>
                <c:pt idx="10">
                  <c:v>0.13071364795918367</c:v>
                </c:pt>
                <c:pt idx="11">
                  <c:v>4.5999999999999999E-2</c:v>
                </c:pt>
                <c:pt idx="12">
                  <c:v>0.15612949485277217</c:v>
                </c:pt>
                <c:pt idx="13">
                  <c:v>-0.32151610007036957</c:v>
                </c:pt>
                <c:pt idx="14">
                  <c:v>-0.01</c:v>
                </c:pt>
                <c:pt idx="15">
                  <c:v>-0.35</c:v>
                </c:pt>
                <c:pt idx="16">
                  <c:v>-6.0069444444444453E-2</c:v>
                </c:pt>
                <c:pt idx="17">
                  <c:v>-0.40389417076968986</c:v>
                </c:pt>
                <c:pt idx="18">
                  <c:v>-0.40389417076968986</c:v>
                </c:pt>
                <c:pt idx="19">
                  <c:v>0.15612949485277217</c:v>
                </c:pt>
              </c:numCache>
            </c:numRef>
          </c:xVal>
          <c:yVal>
            <c:numRef>
              <c:f>'Selective reporting'!$G$302:$G$321</c:f>
              <c:numCache>
                <c:formatCode>General</c:formatCode>
                <c:ptCount val="20"/>
                <c:pt idx="8" formatCode="0.0%">
                  <c:v>-0.17695473251028815</c:v>
                </c:pt>
                <c:pt idx="9" formatCode="0.0%">
                  <c:v>1.0527598000436476E-2</c:v>
                </c:pt>
                <c:pt idx="10" formatCode="0.0%">
                  <c:v>8.7801205621199502E-2</c:v>
                </c:pt>
                <c:pt idx="11" formatCode="0.0%">
                  <c:v>4.5999999999999999E-2</c:v>
                </c:pt>
                <c:pt idx="12" formatCode="0.0%">
                  <c:v>0.15909491163937145</c:v>
                </c:pt>
                <c:pt idx="13" formatCode="0.0%">
                  <c:v>-0.32151610007036957</c:v>
                </c:pt>
                <c:pt idx="14" formatCode="0.0%">
                  <c:v>-0.01</c:v>
                </c:pt>
                <c:pt idx="15" formatCode="0.0%">
                  <c:v>-0.35</c:v>
                </c:pt>
                <c:pt idx="16" formatCode="0.0%">
                  <c:v>-5.8197618592940092E-2</c:v>
                </c:pt>
                <c:pt idx="17" formatCode="0.0%">
                  <c:v>-0.40024818371044751</c:v>
                </c:pt>
                <c:pt idx="18" formatCode="0.0%">
                  <c:v>-0.40389417076968986</c:v>
                </c:pt>
                <c:pt idx="19" formatCode="0.0%">
                  <c:v>0.15612949485277217</c:v>
                </c:pt>
              </c:numCache>
            </c:numRef>
          </c:yVal>
          <c:smooth val="0"/>
          <c:extLst>
            <c:ext xmlns:c16="http://schemas.microsoft.com/office/drawing/2014/chart" uri="{C3380CC4-5D6E-409C-BE32-E72D297353CC}">
              <c16:uniqueId val="{00000015-0566-49E4-B001-D63BF3480443}"/>
            </c:ext>
          </c:extLst>
        </c:ser>
        <c:ser>
          <c:idx val="2"/>
          <c:order val="2"/>
          <c:tx>
            <c:strRef>
              <c:f>'Selective reporting'!$H$301</c:f>
              <c:strCache>
                <c:ptCount val="1"/>
                <c:pt idx="0">
                  <c:v>45-degree line</c:v>
                </c:pt>
              </c:strCache>
            </c:strRef>
          </c:tx>
          <c:spPr>
            <a:ln w="12700" cap="rnd">
              <a:solidFill>
                <a:schemeClr val="accent1"/>
              </a:solidFill>
              <a:prstDash val="dash"/>
              <a:round/>
            </a:ln>
            <a:effectLst/>
          </c:spPr>
          <c:marker>
            <c:symbol val="none"/>
          </c:marker>
          <c:xVal>
            <c:numRef>
              <c:f>'Selective reporting'!$E$302:$E$321</c:f>
              <c:numCache>
                <c:formatCode>0.0%</c:formatCode>
                <c:ptCount val="20"/>
                <c:pt idx="0">
                  <c:v>-3.0820447444083188E-3</c:v>
                </c:pt>
                <c:pt idx="1">
                  <c:v>-4.0159765066823672E-2</c:v>
                </c:pt>
                <c:pt idx="2">
                  <c:v>0.11715264654310653</c:v>
                </c:pt>
                <c:pt idx="3">
                  <c:v>-7.5420107976104989E-2</c:v>
                </c:pt>
                <c:pt idx="4">
                  <c:v>-0.3534582598710535</c:v>
                </c:pt>
                <c:pt idx="5">
                  <c:v>-2.4009081653636168E-2</c:v>
                </c:pt>
                <c:pt idx="6">
                  <c:v>-0.16329011082141937</c:v>
                </c:pt>
                <c:pt idx="7">
                  <c:v>-0.16869018010788994</c:v>
                </c:pt>
                <c:pt idx="8">
                  <c:v>-0.17695473251028815</c:v>
                </c:pt>
                <c:pt idx="9">
                  <c:v>4.8995231350040705E-2</c:v>
                </c:pt>
                <c:pt idx="10">
                  <c:v>0.13071364795918367</c:v>
                </c:pt>
                <c:pt idx="11">
                  <c:v>4.5999999999999999E-2</c:v>
                </c:pt>
                <c:pt idx="12">
                  <c:v>0.15612949485277217</c:v>
                </c:pt>
                <c:pt idx="13">
                  <c:v>-0.32151610007036957</c:v>
                </c:pt>
                <c:pt idx="14">
                  <c:v>-0.01</c:v>
                </c:pt>
                <c:pt idx="15">
                  <c:v>-0.35</c:v>
                </c:pt>
                <c:pt idx="16">
                  <c:v>-6.0069444444444453E-2</c:v>
                </c:pt>
                <c:pt idx="17">
                  <c:v>-0.40389417076968986</c:v>
                </c:pt>
                <c:pt idx="18">
                  <c:v>-0.40389417076968986</c:v>
                </c:pt>
                <c:pt idx="19">
                  <c:v>0.15612949485277217</c:v>
                </c:pt>
              </c:numCache>
            </c:numRef>
          </c:xVal>
          <c:yVal>
            <c:numRef>
              <c:f>'Selective reporting'!$H$302:$H$321</c:f>
              <c:numCache>
                <c:formatCode>General</c:formatCode>
                <c:ptCount val="20"/>
                <c:pt idx="18" formatCode="0.0%">
                  <c:v>-0.40389417076968986</c:v>
                </c:pt>
                <c:pt idx="19" formatCode="0.0%">
                  <c:v>0.15612949485277217</c:v>
                </c:pt>
              </c:numCache>
            </c:numRef>
          </c:yVal>
          <c:smooth val="0"/>
          <c:extLst>
            <c:ext xmlns:c16="http://schemas.microsoft.com/office/drawing/2014/chart" uri="{C3380CC4-5D6E-409C-BE32-E72D297353CC}">
              <c16:uniqueId val="{00000016-0566-49E4-B001-D63BF3480443}"/>
            </c:ext>
          </c:extLst>
        </c:ser>
        <c:dLbls>
          <c:showLegendKey val="0"/>
          <c:showVal val="0"/>
          <c:showCatName val="0"/>
          <c:showSerName val="0"/>
          <c:showPercent val="0"/>
          <c:showBubbleSize val="0"/>
        </c:dLbls>
        <c:axId val="1590952063"/>
        <c:axId val="1379766591"/>
      </c:scatterChart>
      <c:valAx>
        <c:axId val="1590952063"/>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Preferred estimate</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379766591"/>
        <c:crossesAt val="-5"/>
        <c:crossBetween val="midCat"/>
      </c:valAx>
      <c:valAx>
        <c:axId val="13797665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en-US"/>
                  <a:t>Internal PWA</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590952063"/>
        <c:crossesAt val="-5"/>
        <c:crossBetween val="midCat"/>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179365079365079"/>
          <c:y val="3.0877192982456142E-2"/>
          <c:w val="0.74292324570539792"/>
          <c:h val="0.90400486255007595"/>
        </c:manualLayout>
      </c:layout>
      <c:scatterChart>
        <c:scatterStyle val="lineMarker"/>
        <c:varyColors val="0"/>
        <c:ser>
          <c:idx val="0"/>
          <c:order val="0"/>
          <c:tx>
            <c:strRef>
              <c:f>'Selective reporting'!$D$185</c:f>
              <c:strCache>
                <c:ptCount val="1"/>
                <c:pt idx="0">
                  <c:v>All estimates</c:v>
                </c:pt>
              </c:strCache>
            </c:strRef>
          </c:tx>
          <c:spPr>
            <a:ln w="25400" cap="rnd">
              <a:noFill/>
              <a:round/>
            </a:ln>
            <a:effectLst/>
          </c:spPr>
          <c:marker>
            <c:symbol val="circle"/>
            <c:size val="5"/>
            <c:spPr>
              <a:solidFill>
                <a:schemeClr val="tx1"/>
              </a:solidFill>
              <a:ln w="9525">
                <a:solidFill>
                  <a:schemeClr val="accent1"/>
                </a:solidFill>
              </a:ln>
              <a:effectLst/>
            </c:spPr>
          </c:marker>
          <c:dLbls>
            <c:dLbl>
              <c:idx val="0"/>
              <c:layout>
                <c:manualLayout>
                  <c:x val="-0.50088183421516752"/>
                  <c:y val="0"/>
                </c:manualLayout>
              </c:layout>
              <c:tx>
                <c:rich>
                  <a:bodyPr/>
                  <a:lstStyle/>
                  <a:p>
                    <a:fld id="{21A94B08-A60A-42EA-859F-AC5FCBFE1D5B}"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2EA7-4A89-80B2-E58692C48250}"/>
                </c:ext>
              </c:extLst>
            </c:dLbl>
            <c:dLbl>
              <c:idx val="1"/>
              <c:tx>
                <c:rich>
                  <a:bodyPr/>
                  <a:lstStyle/>
                  <a:p>
                    <a:fld id="{E2D90AB6-6721-4AA6-AB01-9F553B796EDC}"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EA7-4A89-80B2-E58692C48250}"/>
                </c:ext>
              </c:extLst>
            </c:dLbl>
            <c:dLbl>
              <c:idx val="2"/>
              <c:tx>
                <c:rich>
                  <a:bodyPr/>
                  <a:lstStyle/>
                  <a:p>
                    <a:fld id="{55946476-2303-450B-BCAC-F151EA02953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EA7-4A89-80B2-E58692C48250}"/>
                </c:ext>
              </c:extLst>
            </c:dLbl>
            <c:dLbl>
              <c:idx val="3"/>
              <c:tx>
                <c:rich>
                  <a:bodyPr/>
                  <a:lstStyle/>
                  <a:p>
                    <a:fld id="{C6FBBABA-AD0D-418A-B075-9EBC6D1E6F5B}"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EA7-4A89-80B2-E58692C48250}"/>
                </c:ext>
              </c:extLst>
            </c:dLbl>
            <c:dLbl>
              <c:idx val="4"/>
              <c:layout>
                <c:manualLayout>
                  <c:x val="-0.52733686067019403"/>
                  <c:y val="-1.0744684142041426E-16"/>
                </c:manualLayout>
              </c:layout>
              <c:tx>
                <c:rich>
                  <a:bodyPr/>
                  <a:lstStyle/>
                  <a:p>
                    <a:fld id="{32E3E60A-F843-44A9-B003-B36A30FB9816}"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EA7-4A89-80B2-E58692C48250}"/>
                </c:ext>
              </c:extLst>
            </c:dLbl>
            <c:dLbl>
              <c:idx val="5"/>
              <c:tx>
                <c:rich>
                  <a:bodyPr/>
                  <a:lstStyle/>
                  <a:p>
                    <a:fld id="{FBD0C0FD-1BCD-4ECC-A01F-0998B3B86C03}"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EA7-4A89-80B2-E58692C48250}"/>
                </c:ext>
              </c:extLst>
            </c:dLbl>
            <c:dLbl>
              <c:idx val="6"/>
              <c:tx>
                <c:rich>
                  <a:bodyPr/>
                  <a:lstStyle/>
                  <a:p>
                    <a:fld id="{BB74A27E-3D85-4E36-A074-8564419194B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EA7-4A89-80B2-E58692C48250}"/>
                </c:ext>
              </c:extLst>
            </c:dLbl>
            <c:dLbl>
              <c:idx val="7"/>
              <c:tx>
                <c:rich>
                  <a:bodyPr/>
                  <a:lstStyle/>
                  <a:p>
                    <a:fld id="{952FB14D-5A34-4614-9821-FA9CF9487136}"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EA7-4A89-80B2-E58692C48250}"/>
                </c:ext>
              </c:extLst>
            </c:dLbl>
            <c:dLbl>
              <c:idx val="8"/>
              <c:layout>
                <c:manualLayout>
                  <c:x val="-0.60317460317460314"/>
                  <c:y val="0"/>
                </c:manualLayout>
              </c:layout>
              <c:tx>
                <c:rich>
                  <a:bodyPr/>
                  <a:lstStyle/>
                  <a:p>
                    <a:fld id="{4EBE5089-4E21-4F28-999C-B35169A27779}"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2EA7-4A89-80B2-E58692C48250}"/>
                </c:ext>
              </c:extLst>
            </c:dLbl>
            <c:dLbl>
              <c:idx val="9"/>
              <c:tx>
                <c:rich>
                  <a:bodyPr/>
                  <a:lstStyle/>
                  <a:p>
                    <a:fld id="{923F1612-FF16-47B0-8849-6106EBCCC236}"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EA7-4A89-80B2-E58692C48250}"/>
                </c:ext>
              </c:extLst>
            </c:dLbl>
            <c:dLbl>
              <c:idx val="10"/>
              <c:tx>
                <c:rich>
                  <a:bodyPr/>
                  <a:lstStyle/>
                  <a:p>
                    <a:fld id="{EF64F388-A3BD-4F68-98A8-55A638C3AF8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EA7-4A89-80B2-E58692C48250}"/>
                </c:ext>
              </c:extLst>
            </c:dLbl>
            <c:dLbl>
              <c:idx val="11"/>
              <c:tx>
                <c:rich>
                  <a:bodyPr/>
                  <a:lstStyle/>
                  <a:p>
                    <a:fld id="{BCF2E65E-65E3-4713-B622-82533F37ABEE}"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EA7-4A89-80B2-E58692C48250}"/>
                </c:ext>
              </c:extLst>
            </c:dLbl>
            <c:dLbl>
              <c:idx val="12"/>
              <c:tx>
                <c:rich>
                  <a:bodyPr/>
                  <a:lstStyle/>
                  <a:p>
                    <a:fld id="{92DC8C51-F362-4DE0-8945-3AE9D019CEC4}"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EA7-4A89-80B2-E58692C48250}"/>
                </c:ext>
              </c:extLst>
            </c:dLbl>
            <c:dLbl>
              <c:idx val="13"/>
              <c:tx>
                <c:rich>
                  <a:bodyPr/>
                  <a:lstStyle/>
                  <a:p>
                    <a:fld id="{A91FE5E4-2263-4EC5-9651-1DEC4394D047}"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EA7-4A89-80B2-E58692C48250}"/>
                </c:ext>
              </c:extLst>
            </c:dLbl>
            <c:dLbl>
              <c:idx val="14"/>
              <c:layout>
                <c:manualLayout>
                  <c:x val="-0.49029982363315694"/>
                  <c:y val="0"/>
                </c:manualLayout>
              </c:layout>
              <c:tx>
                <c:rich>
                  <a:bodyPr/>
                  <a:lstStyle/>
                  <a:p>
                    <a:fld id="{411AD062-C928-47A5-B999-D320D2ED3FB6}"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E-2EA7-4A89-80B2-E58692C48250}"/>
                </c:ext>
              </c:extLst>
            </c:dLbl>
            <c:dLbl>
              <c:idx val="15"/>
              <c:tx>
                <c:rich>
                  <a:bodyPr/>
                  <a:lstStyle/>
                  <a:p>
                    <a:fld id="{7B15C371-C358-4201-BFB0-A1E2F59EF94C}"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EA7-4A89-80B2-E58692C48250}"/>
                </c:ext>
              </c:extLst>
            </c:dLbl>
            <c:dLbl>
              <c:idx val="16"/>
              <c:tx>
                <c:rich>
                  <a:bodyPr/>
                  <a:lstStyle/>
                  <a:p>
                    <a:fld id="{66553582-4761-441C-B9A2-EE61D608C9E9}"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EA7-4A89-80B2-E58692C48250}"/>
                </c:ext>
              </c:extLst>
            </c:dLbl>
            <c:dLbl>
              <c:idx val="17"/>
              <c:layout>
                <c:manualLayout>
                  <c:x val="-0.29100529100529099"/>
                  <c:y val="0"/>
                </c:manualLayout>
              </c:layout>
              <c:tx>
                <c:rich>
                  <a:bodyPr/>
                  <a:lstStyle/>
                  <a:p>
                    <a:fld id="{C08DB7EE-5635-4643-9505-6A1CBCDCA4BE}"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2EA7-4A89-80B2-E58692C48250}"/>
                </c:ext>
              </c:extLst>
            </c:dLbl>
            <c:dLbl>
              <c:idx val="18"/>
              <c:layout>
                <c:manualLayout>
                  <c:x val="-0.46804292129437397"/>
                  <c:y val="-2.9302931532129467E-3"/>
                </c:manualLayout>
              </c:layout>
              <c:tx>
                <c:rich>
                  <a:bodyPr/>
                  <a:lstStyle/>
                  <a:p>
                    <a:fld id="{4D901409-728F-449A-952F-6C5F1A48B3CD}"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2EA7-4A89-80B2-E58692C48250}"/>
                </c:ext>
              </c:extLst>
            </c:dLbl>
            <c:dLbl>
              <c:idx val="19"/>
              <c:tx>
                <c:rich>
                  <a:bodyPr/>
                  <a:lstStyle/>
                  <a:p>
                    <a:fld id="{1E029743-A7E3-4CF7-8A4B-D7E3845E26F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EA7-4A89-80B2-E58692C48250}"/>
                </c:ext>
              </c:extLst>
            </c:dLbl>
            <c:dLbl>
              <c:idx val="20"/>
              <c:tx>
                <c:rich>
                  <a:bodyPr/>
                  <a:lstStyle/>
                  <a:p>
                    <a:fld id="{7A027679-4BF9-45F2-81DF-65AD5C58E99B}"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EA7-4A89-80B2-E58692C48250}"/>
                </c:ext>
              </c:extLst>
            </c:dLbl>
            <c:dLbl>
              <c:idx val="21"/>
              <c:layout>
                <c:manualLayout>
                  <c:x val="-0.40211640211640221"/>
                  <c:y val="0"/>
                </c:manualLayout>
              </c:layout>
              <c:tx>
                <c:rich>
                  <a:bodyPr/>
                  <a:lstStyle/>
                  <a:p>
                    <a:fld id="{75EB1C6E-2D75-4C9E-B3E7-9DB2FC4A283F}"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2EA7-4A89-80B2-E58692C48250}"/>
                </c:ext>
              </c:extLst>
            </c:dLbl>
            <c:dLbl>
              <c:idx val="22"/>
              <c:tx>
                <c:rich>
                  <a:bodyPr/>
                  <a:lstStyle/>
                  <a:p>
                    <a:fld id="{7A169F8B-B0D0-4AEC-8C29-F8DAE1177C8C}"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EA7-4A89-80B2-E58692C48250}"/>
                </c:ext>
              </c:extLst>
            </c:dLbl>
            <c:dLbl>
              <c:idx val="23"/>
              <c:tx>
                <c:rich>
                  <a:bodyPr/>
                  <a:lstStyle/>
                  <a:p>
                    <a:fld id="{6EEE6EAF-330E-4674-AB74-8FE07E3C0349}"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EA7-4A89-80B2-E58692C48250}"/>
                </c:ext>
              </c:extLst>
            </c:dLbl>
            <c:dLbl>
              <c:idx val="24"/>
              <c:tx>
                <c:rich>
                  <a:bodyPr/>
                  <a:lstStyle/>
                  <a:p>
                    <a:fld id="{5D76B67E-A380-4177-82E2-CEA87437DFC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EA7-4A89-80B2-E58692C48250}"/>
                </c:ext>
              </c:extLst>
            </c:dLbl>
            <c:dLbl>
              <c:idx val="25"/>
              <c:layout>
                <c:manualLayout>
                  <c:x val="-0.39682539682539691"/>
                  <c:y val="0"/>
                </c:manualLayout>
              </c:layout>
              <c:tx>
                <c:rich>
                  <a:bodyPr/>
                  <a:lstStyle/>
                  <a:p>
                    <a:fld id="{8D4FE408-CBD2-430D-BC33-E5AAC400128D}"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2EA7-4A89-80B2-E58692C48250}"/>
                </c:ext>
              </c:extLst>
            </c:dLbl>
            <c:dLbl>
              <c:idx val="26"/>
              <c:tx>
                <c:rich>
                  <a:bodyPr/>
                  <a:lstStyle/>
                  <a:p>
                    <a:fld id="{6BA01028-1103-4417-8D94-8D0D18C6B20C}"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EA7-4A89-80B2-E58692C48250}"/>
                </c:ext>
              </c:extLst>
            </c:dLbl>
            <c:dLbl>
              <c:idx val="27"/>
              <c:tx>
                <c:rich>
                  <a:bodyPr/>
                  <a:lstStyle/>
                  <a:p>
                    <a:fld id="{4AACC14F-F50C-4C7F-9B0B-69B1EB373B95}"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EA7-4A89-80B2-E58692C48250}"/>
                </c:ext>
              </c:extLst>
            </c:dLbl>
            <c:dLbl>
              <c:idx val="28"/>
              <c:tx>
                <c:rich>
                  <a:bodyPr/>
                  <a:lstStyle/>
                  <a:p>
                    <a:fld id="{BA7B95AC-BAE5-4589-BA27-88F8E632B0A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EA7-4A89-80B2-E58692C48250}"/>
                </c:ext>
              </c:extLst>
            </c:dLbl>
            <c:dLbl>
              <c:idx val="29"/>
              <c:tx>
                <c:rich>
                  <a:bodyPr/>
                  <a:lstStyle/>
                  <a:p>
                    <a:endParaRPr lang="da-DK"/>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EA7-4A89-80B2-E58692C48250}"/>
                </c:ext>
              </c:extLst>
            </c:dLbl>
            <c:dLbl>
              <c:idx val="30"/>
              <c:layout>
                <c:manualLayout>
                  <c:x val="-0.4567901234567901"/>
                  <c:y val="-2.9304022542407768E-3"/>
                </c:manualLayout>
              </c:layout>
              <c:tx>
                <c:rich>
                  <a:bodyPr/>
                  <a:lstStyle/>
                  <a:p>
                    <a:fld id="{F7DFF430-5CAC-465D-9B3F-E0B87185EC04}"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2EA7-4A89-80B2-E58692C48250}"/>
                </c:ext>
              </c:extLst>
            </c:dLbl>
            <c:dLbl>
              <c:idx val="31"/>
              <c:layout>
                <c:manualLayout>
                  <c:x val="-0.54673721340388004"/>
                  <c:y val="-5.3723420710207129E-17"/>
                </c:manualLayout>
              </c:layout>
              <c:tx>
                <c:rich>
                  <a:bodyPr/>
                  <a:lstStyle/>
                  <a:p>
                    <a:fld id="{14BEC6B8-916A-4E63-B072-D9058674415D}"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F-2EA7-4A89-80B2-E58692C48250}"/>
                </c:ext>
              </c:extLst>
            </c:dLbl>
            <c:dLbl>
              <c:idx val="32"/>
              <c:tx>
                <c:rich>
                  <a:bodyPr/>
                  <a:lstStyle/>
                  <a:p>
                    <a:fld id="{AF89B1E0-7E11-4AB0-BA27-0229BFF998C1}"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EA7-4A89-80B2-E58692C48250}"/>
                </c:ext>
              </c:extLst>
            </c:dLbl>
            <c:dLbl>
              <c:idx val="33"/>
              <c:tx>
                <c:rich>
                  <a:bodyPr/>
                  <a:lstStyle/>
                  <a:p>
                    <a:fld id="{20C39A0E-226B-4E94-B421-D29A35CBE653}"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EA7-4A89-80B2-E58692C48250}"/>
                </c:ext>
              </c:extLst>
            </c:dLbl>
            <c:dLbl>
              <c:idx val="34"/>
              <c:tx>
                <c:rich>
                  <a:bodyPr/>
                  <a:lstStyle/>
                  <a:p>
                    <a:fld id="{3595B16E-F6B2-480C-A6A1-92CAF96349B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EA7-4A89-80B2-E58692C48250}"/>
                </c:ext>
              </c:extLst>
            </c:dLbl>
            <c:dLbl>
              <c:idx val="35"/>
              <c:tx>
                <c:rich>
                  <a:bodyPr/>
                  <a:lstStyle/>
                  <a:p>
                    <a:fld id="{4EDA2F25-EDEA-4585-9B26-561841398309}"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EA7-4A89-80B2-E58692C48250}"/>
                </c:ext>
              </c:extLst>
            </c:dLbl>
            <c:dLbl>
              <c:idx val="36"/>
              <c:tx>
                <c:rich>
                  <a:bodyPr/>
                  <a:lstStyle/>
                  <a:p>
                    <a:fld id="{146DFAB1-38B4-4C6C-91BF-D1B9BA26AA2F}"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EA7-4A89-80B2-E58692C48250}"/>
                </c:ext>
              </c:extLst>
            </c:dLbl>
            <c:dLbl>
              <c:idx val="37"/>
              <c:tx>
                <c:rich>
                  <a:bodyPr/>
                  <a:lstStyle/>
                  <a:p>
                    <a:fld id="{D6DAD3A0-29EF-4B48-8AE0-38E37FF2AB4F}"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EA7-4A89-80B2-E58692C48250}"/>
                </c:ext>
              </c:extLst>
            </c:dLbl>
            <c:dLbl>
              <c:idx val="38"/>
              <c:tx>
                <c:rich>
                  <a:bodyPr/>
                  <a:lstStyle/>
                  <a:p>
                    <a:fld id="{BE4B2298-0F5A-4BC5-B1B1-B767AF9C163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EA7-4A89-80B2-E58692C48250}"/>
                </c:ext>
              </c:extLst>
            </c:dLbl>
            <c:dLbl>
              <c:idx val="39"/>
              <c:tx>
                <c:rich>
                  <a:bodyPr/>
                  <a:lstStyle/>
                  <a:p>
                    <a:fld id="{16487067-C225-496A-A37F-36ED22CDC647}"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EA7-4A89-80B2-E58692C48250}"/>
                </c:ext>
              </c:extLst>
            </c:dLbl>
            <c:dLbl>
              <c:idx val="40"/>
              <c:tx>
                <c:rich>
                  <a:bodyPr/>
                  <a:lstStyle/>
                  <a:p>
                    <a:fld id="{0A18492D-F683-4DF4-8090-AA2F6AB130B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EA7-4A89-80B2-E58692C48250}"/>
                </c:ext>
              </c:extLst>
            </c:dLbl>
            <c:dLbl>
              <c:idx val="41"/>
              <c:tx>
                <c:rich>
                  <a:bodyPr/>
                  <a:lstStyle/>
                  <a:p>
                    <a:fld id="{22E6AF39-2356-4B1B-B4B8-BF22EBF45A2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EA7-4A89-80B2-E58692C48250}"/>
                </c:ext>
              </c:extLst>
            </c:dLbl>
            <c:dLbl>
              <c:idx val="42"/>
              <c:layout>
                <c:manualLayout>
                  <c:x val="-0.64373899810002988"/>
                  <c:y val="3.0457749894862436E-3"/>
                </c:manualLayout>
              </c:layout>
              <c:tx>
                <c:rich>
                  <a:bodyPr/>
                  <a:lstStyle/>
                  <a:p>
                    <a:fld id="{1E016B28-7CED-41F9-B05E-9C7910875FA0}"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2EA7-4A89-80B2-E58692C48250}"/>
                </c:ext>
              </c:extLst>
            </c:dLbl>
            <c:dLbl>
              <c:idx val="43"/>
              <c:tx>
                <c:rich>
                  <a:bodyPr/>
                  <a:lstStyle/>
                  <a:p>
                    <a:fld id="{E11797A3-27FF-43D9-8C95-8159AFE70CE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2EA7-4A89-80B2-E58692C48250}"/>
                </c:ext>
              </c:extLst>
            </c:dLbl>
            <c:dLbl>
              <c:idx val="44"/>
              <c:tx>
                <c:rich>
                  <a:bodyPr/>
                  <a:lstStyle/>
                  <a:p>
                    <a:fld id="{33B1BA67-D7B3-409E-888C-B3465BB53724}"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C-2EA7-4A89-80B2-E58692C48250}"/>
                </c:ext>
              </c:extLst>
            </c:dLbl>
            <c:dLbl>
              <c:idx val="45"/>
              <c:tx>
                <c:rich>
                  <a:bodyPr/>
                  <a:lstStyle/>
                  <a:p>
                    <a:fld id="{8F8D9ECD-A76A-44F0-AFB2-DE996C02F69B}"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2EA7-4A89-80B2-E58692C48250}"/>
                </c:ext>
              </c:extLst>
            </c:dLbl>
            <c:dLbl>
              <c:idx val="46"/>
              <c:layout>
                <c:manualLayout>
                  <c:x val="-0.52223933443014214"/>
                  <c:y val="-5.4428563299327663E-17"/>
                </c:manualLayout>
              </c:layout>
              <c:tx>
                <c:rich>
                  <a:bodyPr/>
                  <a:lstStyle/>
                  <a:p>
                    <a:fld id="{DF9552BE-4A72-483D-AEC1-CCAE40085E54}"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E-2EA7-4A89-80B2-E58692C48250}"/>
                </c:ext>
              </c:extLst>
            </c:dLbl>
            <c:dLbl>
              <c:idx val="47"/>
              <c:layout>
                <c:manualLayout>
                  <c:x val="-0.52910052910052907"/>
                  <c:y val="0"/>
                </c:manualLayout>
              </c:layout>
              <c:tx>
                <c:rich>
                  <a:bodyPr/>
                  <a:lstStyle/>
                  <a:p>
                    <a:fld id="{48B8BB35-B9A2-4A10-AA9B-1565D94469ED}"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F-2EA7-4A89-80B2-E58692C48250}"/>
                </c:ext>
              </c:extLst>
            </c:dLbl>
            <c:dLbl>
              <c:idx val="48"/>
              <c:layout>
                <c:manualLayout>
                  <c:x val="-0.58730158730158744"/>
                  <c:y val="0"/>
                </c:manualLayout>
              </c:layout>
              <c:tx>
                <c:rich>
                  <a:bodyPr/>
                  <a:lstStyle/>
                  <a:p>
                    <a:fld id="{19DC1E42-E306-4739-AB36-C2B3BA43EE03}"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0-2EA7-4A89-80B2-E58692C48250}"/>
                </c:ext>
              </c:extLst>
            </c:dLbl>
            <c:dLbl>
              <c:idx val="49"/>
              <c:tx>
                <c:rich>
                  <a:bodyPr/>
                  <a:lstStyle/>
                  <a:p>
                    <a:fld id="{44F13864-396E-4912-ADD1-C258CA0E5857}"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2EA7-4A89-80B2-E58692C48250}"/>
                </c:ext>
              </c:extLst>
            </c:dLbl>
            <c:dLbl>
              <c:idx val="50"/>
              <c:layout>
                <c:manualLayout>
                  <c:x val="-0.30864197530864196"/>
                  <c:y val="-5.3723420710207129E-17"/>
                </c:manualLayout>
              </c:layout>
              <c:tx>
                <c:rich>
                  <a:bodyPr/>
                  <a:lstStyle/>
                  <a:p>
                    <a:fld id="{A0782F8E-2D75-4DEF-B241-92E73B6C4B92}"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2-2EA7-4A89-80B2-E58692C48250}"/>
                </c:ext>
              </c:extLst>
            </c:dLbl>
            <c:dLbl>
              <c:idx val="51"/>
              <c:layout>
                <c:manualLayout>
                  <c:x val="-0.56431019396797721"/>
                  <c:y val="0"/>
                </c:manualLayout>
              </c:layout>
              <c:tx>
                <c:rich>
                  <a:bodyPr/>
                  <a:lstStyle/>
                  <a:p>
                    <a:fld id="{F6927D8F-FB45-441E-8EFD-0002F149325A}"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3-2EA7-4A89-80B2-E58692C48250}"/>
                </c:ext>
              </c:extLst>
            </c:dLbl>
            <c:dLbl>
              <c:idx val="52"/>
              <c:layout>
                <c:manualLayout>
                  <c:x val="-0.51605898727712274"/>
                  <c:y val="0"/>
                </c:manualLayout>
              </c:layout>
              <c:tx>
                <c:rich>
                  <a:bodyPr/>
                  <a:lstStyle/>
                  <a:p>
                    <a:fld id="{278C659C-62F4-4DF1-8D06-AEDBD30C867C}"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4-2EA7-4A89-80B2-E58692C48250}"/>
                </c:ext>
              </c:extLst>
            </c:dLbl>
            <c:dLbl>
              <c:idx val="53"/>
              <c:layout>
                <c:manualLayout>
                  <c:x val="-0.30158730158730157"/>
                  <c:y val="-2.9304022542408037E-3"/>
                </c:manualLayout>
              </c:layout>
              <c:tx>
                <c:rich>
                  <a:bodyPr/>
                  <a:lstStyle/>
                  <a:p>
                    <a:fld id="{D1360620-05BB-42A9-832C-3361DACA2BA2}"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35-2EA7-4A89-80B2-E58692C48250}"/>
                </c:ext>
              </c:extLst>
            </c:dLbl>
            <c:dLbl>
              <c:idx val="54"/>
              <c:layout>
                <c:manualLayout>
                  <c:x val="-0.44444444444444453"/>
                  <c:y val="0"/>
                </c:manualLayout>
              </c:layout>
              <c:tx>
                <c:rich>
                  <a:bodyPr/>
                  <a:lstStyle/>
                  <a:p>
                    <a:fld id="{6054304A-59C8-47DF-A1EC-04D590A058A3}"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0-33D5-4115-B7ED-FD702F8FC299}"/>
                </c:ext>
              </c:extLst>
            </c:dLbl>
            <c:dLbl>
              <c:idx val="55"/>
              <c:tx>
                <c:rich>
                  <a:bodyPr/>
                  <a:lstStyle/>
                  <a:p>
                    <a:fld id="{FA09E5D3-B2DC-4144-A050-AB59CB878E44}"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CBC-45CF-AA8B-6DE02C9F1136}"/>
                </c:ext>
              </c:extLst>
            </c:dLbl>
            <c:dLbl>
              <c:idx val="56"/>
              <c:tx>
                <c:rich>
                  <a:bodyPr/>
                  <a:lstStyle/>
                  <a:p>
                    <a:fld id="{21C0028A-ED81-4E48-82B8-A7BF03195F34}"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BC-45CF-AA8B-6DE02C9F1136}"/>
                </c:ext>
              </c:extLst>
            </c:dLbl>
            <c:dLbl>
              <c:idx val="57"/>
              <c:layout>
                <c:manualLayout>
                  <c:x val="-0.25573192239858905"/>
                  <c:y val="-2.9304022542407768E-3"/>
                </c:manualLayout>
              </c:layout>
              <c:tx>
                <c:rich>
                  <a:bodyPr/>
                  <a:lstStyle/>
                  <a:p>
                    <a:fld id="{40D3F4BC-1372-4529-AD99-9F5D6B9F6FC1}" type="CELLRANGE">
                      <a:rPr lang="en-US"/>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8CBC-45CF-AA8B-6DE02C9F1136}"/>
                </c:ext>
              </c:extLst>
            </c:dLbl>
            <c:dLbl>
              <c:idx val="58"/>
              <c:tx>
                <c:rich>
                  <a:bodyPr/>
                  <a:lstStyle/>
                  <a:p>
                    <a:fld id="{EA980A99-5C2E-4B51-935A-D92FA8BFB7DD}"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BC-45CF-AA8B-6DE02C9F1136}"/>
                </c:ext>
              </c:extLst>
            </c:dLbl>
            <c:dLbl>
              <c:idx val="59"/>
              <c:tx>
                <c:rich>
                  <a:bodyPr/>
                  <a:lstStyle/>
                  <a:p>
                    <a:fld id="{12024CA2-FEC9-41E0-B794-685F7979C932}"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BC-45CF-AA8B-6DE02C9F1136}"/>
                </c:ext>
              </c:extLst>
            </c:dLbl>
            <c:dLbl>
              <c:idx val="60"/>
              <c:tx>
                <c:rich>
                  <a:bodyPr/>
                  <a:lstStyle/>
                  <a:p>
                    <a:fld id="{35C2C0CE-009B-4B26-B79B-73EFB3BAD93E}"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BC-45CF-AA8B-6DE02C9F1136}"/>
                </c:ext>
              </c:extLst>
            </c:dLbl>
            <c:dLbl>
              <c:idx val="61"/>
              <c:tx>
                <c:rich>
                  <a:bodyPr/>
                  <a:lstStyle/>
                  <a:p>
                    <a:fld id="{E26243CC-5353-4ACD-8C1B-14E829678240}"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BC-45CF-AA8B-6DE02C9F1136}"/>
                </c:ext>
              </c:extLst>
            </c:dLbl>
            <c:dLbl>
              <c:idx val="62"/>
              <c:tx>
                <c:rich>
                  <a:bodyPr/>
                  <a:lstStyle/>
                  <a:p>
                    <a:fld id="{AC9782D9-589B-499F-BE21-BB6B4FCFA107}" type="CELLRANGE">
                      <a:rPr lang="da-DK"/>
                      <a:pPr/>
                      <a:t>[CELLRANGE]</a:t>
                    </a:fld>
                    <a:endParaRPr lang="da-DK"/>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BC-45CF-AA8B-6DE02C9F1136}"/>
                </c:ext>
              </c:extLst>
            </c:dLbl>
            <c:spPr>
              <a:noFill/>
              <a:ln>
                <a:noFill/>
              </a:ln>
              <a:effectLst/>
            </c:spPr>
            <c:txPr>
              <a:bodyPr rot="0" spcFirstLastPara="1" vertOverflow="ellipsis" vert="horz" wrap="square" lIns="38100" tIns="19050" rIns="38100" bIns="19050" anchor="ctr" anchorCtr="0">
                <a:spAutoFit/>
              </a:bodyPr>
              <a:lstStyle/>
              <a:p>
                <a:pPr algn="l">
                  <a:defRPr sz="900" b="0" i="0" u="none" strike="noStrike" kern="1200" baseline="0">
                    <a:solidFill>
                      <a:sysClr val="windowText" lastClr="000000"/>
                    </a:solidFill>
                    <a:latin typeface="+mn-lt"/>
                    <a:ea typeface="+mn-ea"/>
                    <a:cs typeface="+mn-cs"/>
                  </a:defRPr>
                </a:pPr>
                <a:endParaRPr lang="da-DK"/>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'Selective reporting'!$D$186:$D$248</c:f>
              <c:numCache>
                <c:formatCode>0.0%</c:formatCode>
                <c:ptCount val="63"/>
                <c:pt idx="0">
                  <c:v>-3.0820447444083188E-3</c:v>
                </c:pt>
                <c:pt idx="1">
                  <c:v>0.26364657161019567</c:v>
                </c:pt>
                <c:pt idx="2">
                  <c:v>-0.31127007761556869</c:v>
                </c:pt>
                <c:pt idx="3">
                  <c:v>3.1186851708321361E-2</c:v>
                </c:pt>
                <c:pt idx="4">
                  <c:v>-4.0159765066823672E-2</c:v>
                </c:pt>
                <c:pt idx="5">
                  <c:v>-2.4566776305971705E-2</c:v>
                </c:pt>
                <c:pt idx="6">
                  <c:v>-2.5062285339323864E-2</c:v>
                </c:pt>
                <c:pt idx="7">
                  <c:v>-3.6327365288010449E-2</c:v>
                </c:pt>
                <c:pt idx="8">
                  <c:v>0.11715264654310653</c:v>
                </c:pt>
                <c:pt idx="9">
                  <c:v>0.4925129106658831</c:v>
                </c:pt>
                <c:pt idx="10">
                  <c:v>7.9971233062565261E-2</c:v>
                </c:pt>
                <c:pt idx="11">
                  <c:v>6.3482747201465628E-2</c:v>
                </c:pt>
                <c:pt idx="12">
                  <c:v>0.26878554671779431</c:v>
                </c:pt>
                <c:pt idx="13">
                  <c:v>0.23438175332447053</c:v>
                </c:pt>
                <c:pt idx="14">
                  <c:v>-7.5420107976104989E-2</c:v>
                </c:pt>
                <c:pt idx="15">
                  <c:v>-7.774976266690975E-2</c:v>
                </c:pt>
                <c:pt idx="16">
                  <c:v>-7.602035160243481E-2</c:v>
                </c:pt>
                <c:pt idx="17">
                  <c:v>-0.3534582598710535</c:v>
                </c:pt>
                <c:pt idx="18">
                  <c:v>-2.4009081653636168E-2</c:v>
                </c:pt>
                <c:pt idx="19">
                  <c:v>-8.9252370371751891E-3</c:v>
                </c:pt>
                <c:pt idx="20">
                  <c:v>-3.862766896341531E-2</c:v>
                </c:pt>
                <c:pt idx="21">
                  <c:v>-0.16329011082141937</c:v>
                </c:pt>
                <c:pt idx="22">
                  <c:v>0.28636005410831955</c:v>
                </c:pt>
                <c:pt idx="23">
                  <c:v>0.5378512624998707</c:v>
                </c:pt>
                <c:pt idx="24">
                  <c:v>0.26785128741619307</c:v>
                </c:pt>
                <c:pt idx="25">
                  <c:v>-0.16869018010788994</c:v>
                </c:pt>
                <c:pt idx="26">
                  <c:v>-0.14269704592047366</c:v>
                </c:pt>
                <c:pt idx="27">
                  <c:v>-0.11588999509703302</c:v>
                </c:pt>
                <c:pt idx="28">
                  <c:v>-0.47608502355800819</c:v>
                </c:pt>
                <c:pt idx="30">
                  <c:v>-0.17695473251028815</c:v>
                </c:pt>
                <c:pt idx="31">
                  <c:v>4.8995231350040705E-2</c:v>
                </c:pt>
                <c:pt idx="32">
                  <c:v>-1.9405788854149605E-2</c:v>
                </c:pt>
                <c:pt idx="33">
                  <c:v>2.0000131357617232E-2</c:v>
                </c:pt>
                <c:pt idx="34">
                  <c:v>1.9400658144767588E-2</c:v>
                </c:pt>
                <c:pt idx="35">
                  <c:v>8.1582410837095498E-3</c:v>
                </c:pt>
                <c:pt idx="36">
                  <c:v>2.2800401889216018E-2</c:v>
                </c:pt>
                <c:pt idx="37">
                  <c:v>-3.5238181122122042E-2</c:v>
                </c:pt>
                <c:pt idx="38">
                  <c:v>7.4263358789366712E-2</c:v>
                </c:pt>
                <c:pt idx="39">
                  <c:v>7.5187805442347558E-2</c:v>
                </c:pt>
                <c:pt idx="40">
                  <c:v>6.8749841250549615E-2</c:v>
                </c:pt>
                <c:pt idx="41">
                  <c:v>7.6723519983851657E-2</c:v>
                </c:pt>
                <c:pt idx="42">
                  <c:v>0.13071364795918367</c:v>
                </c:pt>
                <c:pt idx="43">
                  <c:v>1.020204081632653E-2</c:v>
                </c:pt>
                <c:pt idx="44">
                  <c:v>3.3156632653061222E-2</c:v>
                </c:pt>
                <c:pt idx="45">
                  <c:v>0.23974795918367345</c:v>
                </c:pt>
                <c:pt idx="46">
                  <c:v>0</c:v>
                </c:pt>
                <c:pt idx="47">
                  <c:v>4.5999999999999999E-2</c:v>
                </c:pt>
                <c:pt idx="48">
                  <c:v>0.15612949485277217</c:v>
                </c:pt>
                <c:pt idx="49">
                  <c:v>0.16218439239791313</c:v>
                </c:pt>
                <c:pt idx="50">
                  <c:v>-0.32151610007036957</c:v>
                </c:pt>
                <c:pt idx="51">
                  <c:v>-0.01</c:v>
                </c:pt>
                <c:pt idx="52">
                  <c:v>1.1261750695743089E-2</c:v>
                </c:pt>
                <c:pt idx="53">
                  <c:v>-0.35</c:v>
                </c:pt>
                <c:pt idx="54">
                  <c:v>-6.0069444444444453E-2</c:v>
                </c:pt>
                <c:pt idx="55">
                  <c:v>-8.1250000000000003E-2</c:v>
                </c:pt>
                <c:pt idx="56">
                  <c:v>-3.8888888888888896E-2</c:v>
                </c:pt>
                <c:pt idx="57">
                  <c:v>-0.40389417076968986</c:v>
                </c:pt>
                <c:pt idx="58">
                  <c:v>-0.50242053176795509</c:v>
                </c:pt>
                <c:pt idx="59">
                  <c:v>-0.36109531596808375</c:v>
                </c:pt>
                <c:pt idx="60">
                  <c:v>-0.38798592599865012</c:v>
                </c:pt>
                <c:pt idx="61">
                  <c:v>-0.39286250626121033</c:v>
                </c:pt>
                <c:pt idx="62">
                  <c:v>-0.37562242158858872</c:v>
                </c:pt>
              </c:numCache>
            </c:numRef>
          </c:xVal>
          <c:yVal>
            <c:numRef>
              <c:f>'Selective reporting'!$E$186:$E$248</c:f>
              <c:numCache>
                <c:formatCode>General</c:formatCode>
                <c:ptCount val="63"/>
                <c:pt idx="0">
                  <c:v>1</c:v>
                </c:pt>
                <c:pt idx="1">
                  <c:v>1</c:v>
                </c:pt>
                <c:pt idx="2">
                  <c:v>1</c:v>
                </c:pt>
                <c:pt idx="3">
                  <c:v>1</c:v>
                </c:pt>
                <c:pt idx="4">
                  <c:v>2</c:v>
                </c:pt>
                <c:pt idx="5">
                  <c:v>2</c:v>
                </c:pt>
                <c:pt idx="6">
                  <c:v>2</c:v>
                </c:pt>
                <c:pt idx="7">
                  <c:v>2</c:v>
                </c:pt>
                <c:pt idx="8">
                  <c:v>3</c:v>
                </c:pt>
                <c:pt idx="9">
                  <c:v>3</c:v>
                </c:pt>
                <c:pt idx="10">
                  <c:v>3</c:v>
                </c:pt>
                <c:pt idx="11">
                  <c:v>3</c:v>
                </c:pt>
                <c:pt idx="12">
                  <c:v>3</c:v>
                </c:pt>
                <c:pt idx="13">
                  <c:v>3</c:v>
                </c:pt>
                <c:pt idx="14">
                  <c:v>4</c:v>
                </c:pt>
                <c:pt idx="15">
                  <c:v>4</c:v>
                </c:pt>
                <c:pt idx="16">
                  <c:v>4</c:v>
                </c:pt>
                <c:pt idx="17">
                  <c:v>5</c:v>
                </c:pt>
                <c:pt idx="18">
                  <c:v>6</c:v>
                </c:pt>
                <c:pt idx="19">
                  <c:v>6</c:v>
                </c:pt>
                <c:pt idx="20">
                  <c:v>6</c:v>
                </c:pt>
                <c:pt idx="21">
                  <c:v>7</c:v>
                </c:pt>
                <c:pt idx="22">
                  <c:v>7</c:v>
                </c:pt>
                <c:pt idx="23">
                  <c:v>7</c:v>
                </c:pt>
                <c:pt idx="24">
                  <c:v>7</c:v>
                </c:pt>
                <c:pt idx="25">
                  <c:v>8</c:v>
                </c:pt>
                <c:pt idx="26">
                  <c:v>8</c:v>
                </c:pt>
                <c:pt idx="27">
                  <c:v>8</c:v>
                </c:pt>
                <c:pt idx="28">
                  <c:v>8</c:v>
                </c:pt>
                <c:pt idx="30">
                  <c:v>9</c:v>
                </c:pt>
                <c:pt idx="31">
                  <c:v>10</c:v>
                </c:pt>
                <c:pt idx="32">
                  <c:v>10</c:v>
                </c:pt>
                <c:pt idx="33">
                  <c:v>10</c:v>
                </c:pt>
                <c:pt idx="34">
                  <c:v>10</c:v>
                </c:pt>
                <c:pt idx="35">
                  <c:v>10</c:v>
                </c:pt>
                <c:pt idx="36">
                  <c:v>10</c:v>
                </c:pt>
                <c:pt idx="37">
                  <c:v>10</c:v>
                </c:pt>
                <c:pt idx="38">
                  <c:v>10</c:v>
                </c:pt>
                <c:pt idx="39">
                  <c:v>10</c:v>
                </c:pt>
                <c:pt idx="40">
                  <c:v>10</c:v>
                </c:pt>
                <c:pt idx="41">
                  <c:v>10</c:v>
                </c:pt>
                <c:pt idx="42">
                  <c:v>11</c:v>
                </c:pt>
                <c:pt idx="43">
                  <c:v>11</c:v>
                </c:pt>
                <c:pt idx="44">
                  <c:v>11</c:v>
                </c:pt>
                <c:pt idx="45">
                  <c:v>11</c:v>
                </c:pt>
                <c:pt idx="46">
                  <c:v>12</c:v>
                </c:pt>
                <c:pt idx="47">
                  <c:v>13</c:v>
                </c:pt>
                <c:pt idx="48">
                  <c:v>14</c:v>
                </c:pt>
                <c:pt idx="49">
                  <c:v>14</c:v>
                </c:pt>
                <c:pt idx="50">
                  <c:v>15</c:v>
                </c:pt>
                <c:pt idx="51">
                  <c:v>16</c:v>
                </c:pt>
                <c:pt idx="52">
                  <c:v>17</c:v>
                </c:pt>
                <c:pt idx="53">
                  <c:v>18</c:v>
                </c:pt>
                <c:pt idx="54">
                  <c:v>19</c:v>
                </c:pt>
                <c:pt idx="55">
                  <c:v>19</c:v>
                </c:pt>
                <c:pt idx="56">
                  <c:v>19</c:v>
                </c:pt>
                <c:pt idx="57">
                  <c:v>20</c:v>
                </c:pt>
                <c:pt idx="58">
                  <c:v>20</c:v>
                </c:pt>
                <c:pt idx="59">
                  <c:v>20</c:v>
                </c:pt>
                <c:pt idx="60">
                  <c:v>20</c:v>
                </c:pt>
                <c:pt idx="61">
                  <c:v>20</c:v>
                </c:pt>
                <c:pt idx="62">
                  <c:v>20</c:v>
                </c:pt>
              </c:numCache>
            </c:numRef>
          </c:yVal>
          <c:smooth val="0"/>
          <c:extLst>
            <c:ext xmlns:c15="http://schemas.microsoft.com/office/drawing/2012/chart" uri="{02D57815-91ED-43cb-92C2-25804820EDAC}">
              <c15:datalabelsRange>
                <c15:f>'Selective reporting'!$C$186:$C$248</c15:f>
                <c15:dlblRangeCache>
                  <c:ptCount val="63"/>
                  <c:pt idx="0">
                    <c:v>Bjørnskov (2021)</c:v>
                  </c:pt>
                  <c:pt idx="4">
                    <c:v>Shiva and Molana (2021)</c:v>
                  </c:pt>
                  <c:pt idx="8">
                    <c:v>Chisadza et al. (2021)</c:v>
                  </c:pt>
                  <c:pt idx="14">
                    <c:v>Goldstein et al. (2021)</c:v>
                  </c:pt>
                  <c:pt idx="17">
                    <c:v>Fuller et al. (2021)</c:v>
                  </c:pt>
                  <c:pt idx="18">
                    <c:v>Ashraf (2020)</c:v>
                  </c:pt>
                  <c:pt idx="21">
                    <c:v>Yang et al. (2021)</c:v>
                  </c:pt>
                  <c:pt idx="25">
                    <c:v>Hale et al. (2021)</c:v>
                  </c:pt>
                  <c:pt idx="29">
                    <c:v>SIPO studies</c:v>
                  </c:pt>
                  <c:pt idx="30">
                    <c:v>Chernozhukov et al. (2021)</c:v>
                  </c:pt>
                  <c:pt idx="31">
                    <c:v>Stokes et al. (2020)</c:v>
                  </c:pt>
                  <c:pt idx="42">
                    <c:v>Spiegel and Tookes (2021)</c:v>
                  </c:pt>
                  <c:pt idx="46">
                    <c:v>Bonardi et al. (2020)</c:v>
                  </c:pt>
                  <c:pt idx="47">
                    <c:v>Guo et al. (2021)</c:v>
                  </c:pt>
                  <c:pt idx="48">
                    <c:v>An et al. (2021)</c:v>
                  </c:pt>
                  <c:pt idx="50">
                    <c:v>Sears et al. (2020)</c:v>
                  </c:pt>
                  <c:pt idx="51">
                    <c:v>Alderman &amp; Harjoto (2020)</c:v>
                  </c:pt>
                  <c:pt idx="52">
                    <c:v>Berry et al. (2020)</c:v>
                  </c:pt>
                  <c:pt idx="53">
                    <c:v>Fowler et al. (2021)</c:v>
                  </c:pt>
                  <c:pt idx="54">
                    <c:v>Gibson (2020)</c:v>
                  </c:pt>
                  <c:pt idx="57">
                    <c:v>Dave et al. (2020)</c:v>
                  </c:pt>
                </c15:dlblRangeCache>
              </c15:datalabelsRange>
            </c:ext>
            <c:ext xmlns:c16="http://schemas.microsoft.com/office/drawing/2014/chart" uri="{C3380CC4-5D6E-409C-BE32-E72D297353CC}">
              <c16:uniqueId val="{00000036-2EA7-4A89-80B2-E58692C48250}"/>
            </c:ext>
          </c:extLst>
        </c:ser>
        <c:ser>
          <c:idx val="1"/>
          <c:order val="1"/>
          <c:tx>
            <c:strRef>
              <c:f>'Selective reporting'!$I$185</c:f>
              <c:strCache>
                <c:ptCount val="1"/>
                <c:pt idx="0">
                  <c:v>Main specification</c:v>
                </c:pt>
              </c:strCache>
            </c:strRef>
          </c:tx>
          <c:spPr>
            <a:ln w="25400" cap="rnd">
              <a:noFill/>
              <a:round/>
            </a:ln>
            <a:effectLst/>
          </c:spPr>
          <c:marker>
            <c:symbol val="circle"/>
            <c:size val="9"/>
            <c:spPr>
              <a:noFill/>
              <a:ln w="9525">
                <a:solidFill>
                  <a:schemeClr val="tx1"/>
                </a:solidFill>
              </a:ln>
              <a:effectLst/>
            </c:spPr>
          </c:marker>
          <c:xVal>
            <c:numRef>
              <c:f>'Selective reporting'!$I$186:$I$248</c:f>
              <c:numCache>
                <c:formatCode>0.0%</c:formatCode>
                <c:ptCount val="63"/>
                <c:pt idx="0">
                  <c:v>-3.0820447444083188E-3</c:v>
                </c:pt>
                <c:pt idx="4">
                  <c:v>-4.0159765066823672E-2</c:v>
                </c:pt>
                <c:pt idx="8">
                  <c:v>0.11715264654310653</c:v>
                </c:pt>
                <c:pt idx="14">
                  <c:v>-7.5420107976104989E-2</c:v>
                </c:pt>
                <c:pt idx="17">
                  <c:v>-0.3534582598710535</c:v>
                </c:pt>
                <c:pt idx="21">
                  <c:v>-0.16329011082141937</c:v>
                </c:pt>
                <c:pt idx="25">
                  <c:v>-0.16869018010788994</c:v>
                </c:pt>
                <c:pt idx="30">
                  <c:v>-0.17695473251028815</c:v>
                </c:pt>
                <c:pt idx="31">
                  <c:v>4.8995231350040705E-2</c:v>
                </c:pt>
                <c:pt idx="46">
                  <c:v>0</c:v>
                </c:pt>
                <c:pt idx="47">
                  <c:v>4.5999999999999999E-2</c:v>
                </c:pt>
                <c:pt idx="48">
                  <c:v>0.15612949485277217</c:v>
                </c:pt>
                <c:pt idx="50">
                  <c:v>-0.32151610007036957</c:v>
                </c:pt>
                <c:pt idx="51">
                  <c:v>-0.01</c:v>
                </c:pt>
                <c:pt idx="52">
                  <c:v>1.1261750695743089E-2</c:v>
                </c:pt>
                <c:pt idx="53">
                  <c:v>-0.35</c:v>
                </c:pt>
              </c:numCache>
            </c:numRef>
          </c:xVal>
          <c:yVal>
            <c:numRef>
              <c:f>'Selective reporting'!$E$186:$E$248</c:f>
              <c:numCache>
                <c:formatCode>General</c:formatCode>
                <c:ptCount val="63"/>
                <c:pt idx="0">
                  <c:v>1</c:v>
                </c:pt>
                <c:pt idx="1">
                  <c:v>1</c:v>
                </c:pt>
                <c:pt idx="2">
                  <c:v>1</c:v>
                </c:pt>
                <c:pt idx="3">
                  <c:v>1</c:v>
                </c:pt>
                <c:pt idx="4">
                  <c:v>2</c:v>
                </c:pt>
                <c:pt idx="5">
                  <c:v>2</c:v>
                </c:pt>
                <c:pt idx="6">
                  <c:v>2</c:v>
                </c:pt>
                <c:pt idx="7">
                  <c:v>2</c:v>
                </c:pt>
                <c:pt idx="8">
                  <c:v>3</c:v>
                </c:pt>
                <c:pt idx="9">
                  <c:v>3</c:v>
                </c:pt>
                <c:pt idx="10">
                  <c:v>3</c:v>
                </c:pt>
                <c:pt idx="11">
                  <c:v>3</c:v>
                </c:pt>
                <c:pt idx="12">
                  <c:v>3</c:v>
                </c:pt>
                <c:pt idx="13">
                  <c:v>3</c:v>
                </c:pt>
                <c:pt idx="14">
                  <c:v>4</c:v>
                </c:pt>
                <c:pt idx="15">
                  <c:v>4</c:v>
                </c:pt>
                <c:pt idx="16">
                  <c:v>4</c:v>
                </c:pt>
                <c:pt idx="17">
                  <c:v>5</c:v>
                </c:pt>
                <c:pt idx="18">
                  <c:v>6</c:v>
                </c:pt>
                <c:pt idx="19">
                  <c:v>6</c:v>
                </c:pt>
                <c:pt idx="20">
                  <c:v>6</c:v>
                </c:pt>
                <c:pt idx="21">
                  <c:v>7</c:v>
                </c:pt>
                <c:pt idx="22">
                  <c:v>7</c:v>
                </c:pt>
                <c:pt idx="23">
                  <c:v>7</c:v>
                </c:pt>
                <c:pt idx="24">
                  <c:v>7</c:v>
                </c:pt>
                <c:pt idx="25">
                  <c:v>8</c:v>
                </c:pt>
                <c:pt idx="26">
                  <c:v>8</c:v>
                </c:pt>
                <c:pt idx="27">
                  <c:v>8</c:v>
                </c:pt>
                <c:pt idx="28">
                  <c:v>8</c:v>
                </c:pt>
                <c:pt idx="30">
                  <c:v>9</c:v>
                </c:pt>
                <c:pt idx="31">
                  <c:v>10</c:v>
                </c:pt>
                <c:pt idx="32">
                  <c:v>10</c:v>
                </c:pt>
                <c:pt idx="33">
                  <c:v>10</c:v>
                </c:pt>
                <c:pt idx="34">
                  <c:v>10</c:v>
                </c:pt>
                <c:pt idx="35">
                  <c:v>10</c:v>
                </c:pt>
                <c:pt idx="36">
                  <c:v>10</c:v>
                </c:pt>
                <c:pt idx="37">
                  <c:v>10</c:v>
                </c:pt>
                <c:pt idx="38">
                  <c:v>10</c:v>
                </c:pt>
                <c:pt idx="39">
                  <c:v>10</c:v>
                </c:pt>
                <c:pt idx="40">
                  <c:v>10</c:v>
                </c:pt>
                <c:pt idx="41">
                  <c:v>10</c:v>
                </c:pt>
                <c:pt idx="42">
                  <c:v>11</c:v>
                </c:pt>
                <c:pt idx="43">
                  <c:v>11</c:v>
                </c:pt>
                <c:pt idx="44">
                  <c:v>11</c:v>
                </c:pt>
                <c:pt idx="45">
                  <c:v>11</c:v>
                </c:pt>
                <c:pt idx="46">
                  <c:v>12</c:v>
                </c:pt>
                <c:pt idx="47">
                  <c:v>13</c:v>
                </c:pt>
                <c:pt idx="48">
                  <c:v>14</c:v>
                </c:pt>
                <c:pt idx="49">
                  <c:v>14</c:v>
                </c:pt>
                <c:pt idx="50">
                  <c:v>15</c:v>
                </c:pt>
                <c:pt idx="51">
                  <c:v>16</c:v>
                </c:pt>
                <c:pt idx="52">
                  <c:v>17</c:v>
                </c:pt>
                <c:pt idx="53">
                  <c:v>18</c:v>
                </c:pt>
                <c:pt idx="54">
                  <c:v>19</c:v>
                </c:pt>
                <c:pt idx="55">
                  <c:v>19</c:v>
                </c:pt>
                <c:pt idx="56">
                  <c:v>19</c:v>
                </c:pt>
                <c:pt idx="57">
                  <c:v>20</c:v>
                </c:pt>
                <c:pt idx="58">
                  <c:v>20</c:v>
                </c:pt>
                <c:pt idx="59">
                  <c:v>20</c:v>
                </c:pt>
                <c:pt idx="60">
                  <c:v>20</c:v>
                </c:pt>
                <c:pt idx="61">
                  <c:v>20</c:v>
                </c:pt>
                <c:pt idx="62">
                  <c:v>20</c:v>
                </c:pt>
              </c:numCache>
            </c:numRef>
          </c:yVal>
          <c:smooth val="0"/>
          <c:extLst>
            <c:ext xmlns:c16="http://schemas.microsoft.com/office/drawing/2014/chart" uri="{C3380CC4-5D6E-409C-BE32-E72D297353CC}">
              <c16:uniqueId val="{00000037-2EA7-4A89-80B2-E58692C48250}"/>
            </c:ext>
          </c:extLst>
        </c:ser>
        <c:ser>
          <c:idx val="2"/>
          <c:order val="2"/>
          <c:tx>
            <c:strRef>
              <c:f>'Selective reporting'!$J$185</c:f>
              <c:strCache>
                <c:ptCount val="1"/>
                <c:pt idx="0">
                  <c:v>Average of specifications</c:v>
                </c:pt>
              </c:strCache>
            </c:strRef>
          </c:tx>
          <c:spPr>
            <a:ln w="25400" cap="rnd">
              <a:noFill/>
              <a:round/>
            </a:ln>
            <a:effectLst/>
          </c:spPr>
          <c:marker>
            <c:symbol val="x"/>
            <c:size val="8"/>
            <c:spPr>
              <a:noFill/>
              <a:ln w="9525">
                <a:solidFill>
                  <a:schemeClr val="tx1"/>
                </a:solidFill>
              </a:ln>
              <a:effectLst/>
            </c:spPr>
          </c:marker>
          <c:xVal>
            <c:numRef>
              <c:f>'Selective reporting'!$J$186:$J$248</c:f>
              <c:numCache>
                <c:formatCode>General</c:formatCode>
                <c:ptCount val="63"/>
                <c:pt idx="18" formatCode="0.0%">
                  <c:v>-2.4009081653636168E-2</c:v>
                </c:pt>
                <c:pt idx="42" formatCode="0.0%">
                  <c:v>0.13071364795918367</c:v>
                </c:pt>
                <c:pt idx="54" formatCode="0.0%">
                  <c:v>-6.0069444444444453E-2</c:v>
                </c:pt>
                <c:pt idx="57" formatCode="0.0%">
                  <c:v>-0.40389417076968986</c:v>
                </c:pt>
              </c:numCache>
            </c:numRef>
          </c:xVal>
          <c:yVal>
            <c:numRef>
              <c:f>'Selective reporting'!$E$186:$E$248</c:f>
              <c:numCache>
                <c:formatCode>General</c:formatCode>
                <c:ptCount val="63"/>
                <c:pt idx="0">
                  <c:v>1</c:v>
                </c:pt>
                <c:pt idx="1">
                  <c:v>1</c:v>
                </c:pt>
                <c:pt idx="2">
                  <c:v>1</c:v>
                </c:pt>
                <c:pt idx="3">
                  <c:v>1</c:v>
                </c:pt>
                <c:pt idx="4">
                  <c:v>2</c:v>
                </c:pt>
                <c:pt idx="5">
                  <c:v>2</c:v>
                </c:pt>
                <c:pt idx="6">
                  <c:v>2</c:v>
                </c:pt>
                <c:pt idx="7">
                  <c:v>2</c:v>
                </c:pt>
                <c:pt idx="8">
                  <c:v>3</c:v>
                </c:pt>
                <c:pt idx="9">
                  <c:v>3</c:v>
                </c:pt>
                <c:pt idx="10">
                  <c:v>3</c:v>
                </c:pt>
                <c:pt idx="11">
                  <c:v>3</c:v>
                </c:pt>
                <c:pt idx="12">
                  <c:v>3</c:v>
                </c:pt>
                <c:pt idx="13">
                  <c:v>3</c:v>
                </c:pt>
                <c:pt idx="14">
                  <c:v>4</c:v>
                </c:pt>
                <c:pt idx="15">
                  <c:v>4</c:v>
                </c:pt>
                <c:pt idx="16">
                  <c:v>4</c:v>
                </c:pt>
                <c:pt idx="17">
                  <c:v>5</c:v>
                </c:pt>
                <c:pt idx="18">
                  <c:v>6</c:v>
                </c:pt>
                <c:pt idx="19">
                  <c:v>6</c:v>
                </c:pt>
                <c:pt idx="20">
                  <c:v>6</c:v>
                </c:pt>
                <c:pt idx="21">
                  <c:v>7</c:v>
                </c:pt>
                <c:pt idx="22">
                  <c:v>7</c:v>
                </c:pt>
                <c:pt idx="23">
                  <c:v>7</c:v>
                </c:pt>
                <c:pt idx="24">
                  <c:v>7</c:v>
                </c:pt>
                <c:pt idx="25">
                  <c:v>8</c:v>
                </c:pt>
                <c:pt idx="26">
                  <c:v>8</c:v>
                </c:pt>
                <c:pt idx="27">
                  <c:v>8</c:v>
                </c:pt>
                <c:pt idx="28">
                  <c:v>8</c:v>
                </c:pt>
                <c:pt idx="30">
                  <c:v>9</c:v>
                </c:pt>
                <c:pt idx="31">
                  <c:v>10</c:v>
                </c:pt>
                <c:pt idx="32">
                  <c:v>10</c:v>
                </c:pt>
                <c:pt idx="33">
                  <c:v>10</c:v>
                </c:pt>
                <c:pt idx="34">
                  <c:v>10</c:v>
                </c:pt>
                <c:pt idx="35">
                  <c:v>10</c:v>
                </c:pt>
                <c:pt idx="36">
                  <c:v>10</c:v>
                </c:pt>
                <c:pt idx="37">
                  <c:v>10</c:v>
                </c:pt>
                <c:pt idx="38">
                  <c:v>10</c:v>
                </c:pt>
                <c:pt idx="39">
                  <c:v>10</c:v>
                </c:pt>
                <c:pt idx="40">
                  <c:v>10</c:v>
                </c:pt>
                <c:pt idx="41">
                  <c:v>10</c:v>
                </c:pt>
                <c:pt idx="42">
                  <c:v>11</c:v>
                </c:pt>
                <c:pt idx="43">
                  <c:v>11</c:v>
                </c:pt>
                <c:pt idx="44">
                  <c:v>11</c:v>
                </c:pt>
                <c:pt idx="45">
                  <c:v>11</c:v>
                </c:pt>
                <c:pt idx="46">
                  <c:v>12</c:v>
                </c:pt>
                <c:pt idx="47">
                  <c:v>13</c:v>
                </c:pt>
                <c:pt idx="48">
                  <c:v>14</c:v>
                </c:pt>
                <c:pt idx="49">
                  <c:v>14</c:v>
                </c:pt>
                <c:pt idx="50">
                  <c:v>15</c:v>
                </c:pt>
                <c:pt idx="51">
                  <c:v>16</c:v>
                </c:pt>
                <c:pt idx="52">
                  <c:v>17</c:v>
                </c:pt>
                <c:pt idx="53">
                  <c:v>18</c:v>
                </c:pt>
                <c:pt idx="54">
                  <c:v>19</c:v>
                </c:pt>
                <c:pt idx="55">
                  <c:v>19</c:v>
                </c:pt>
                <c:pt idx="56">
                  <c:v>19</c:v>
                </c:pt>
                <c:pt idx="57">
                  <c:v>20</c:v>
                </c:pt>
                <c:pt idx="58">
                  <c:v>20</c:v>
                </c:pt>
                <c:pt idx="59">
                  <c:v>20</c:v>
                </c:pt>
                <c:pt idx="60">
                  <c:v>20</c:v>
                </c:pt>
                <c:pt idx="61">
                  <c:v>20</c:v>
                </c:pt>
                <c:pt idx="62">
                  <c:v>20</c:v>
                </c:pt>
              </c:numCache>
            </c:numRef>
          </c:yVal>
          <c:smooth val="0"/>
          <c:extLst>
            <c:ext xmlns:c16="http://schemas.microsoft.com/office/drawing/2014/chart" uri="{C3380CC4-5D6E-409C-BE32-E72D297353CC}">
              <c16:uniqueId val="{00000038-2EA7-4A89-80B2-E58692C48250}"/>
            </c:ext>
          </c:extLst>
        </c:ser>
        <c:dLbls>
          <c:showLegendKey val="0"/>
          <c:showVal val="0"/>
          <c:showCatName val="0"/>
          <c:showSerName val="0"/>
          <c:showPercent val="0"/>
          <c:showBubbleSize val="0"/>
        </c:dLbls>
        <c:axId val="116390800"/>
        <c:axId val="116391280"/>
      </c:scatterChart>
      <c:valAx>
        <c:axId val="116390800"/>
        <c:scaling>
          <c:orientation val="minMax"/>
        </c:scaling>
        <c:delete val="0"/>
        <c:axPos val="b"/>
        <c:majorGridlines>
          <c:spPr>
            <a:ln w="9525" cap="flat" cmpd="sng" algn="ctr">
              <a:no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16391280"/>
        <c:crosses val="autoZero"/>
        <c:crossBetween val="midCat"/>
      </c:valAx>
      <c:valAx>
        <c:axId val="116391280"/>
        <c:scaling>
          <c:orientation val="minMax"/>
        </c:scaling>
        <c:delete val="0"/>
        <c:axPos val="l"/>
        <c:majorGridlines>
          <c:spPr>
            <a:ln w="9525" cap="flat" cmpd="sng" algn="ctr">
              <a:noFill/>
              <a:round/>
            </a:ln>
            <a:effectLst/>
          </c:spPr>
        </c:majorGridlines>
        <c:numFmt formatCode="General" sourceLinked="1"/>
        <c:majorTickMark val="none"/>
        <c:minorTickMark val="none"/>
        <c:tickLblPos val="none"/>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a-DK"/>
          </a:p>
        </c:txPr>
        <c:crossAx val="116390800"/>
        <c:crosses val="autoZero"/>
        <c:crossBetween val="midCat"/>
      </c:valAx>
      <c:spPr>
        <a:ln>
          <a:noFill/>
        </a:ln>
      </c:spPr>
    </c:plotArea>
    <c:legend>
      <c:legendPos val="t"/>
      <c:layout>
        <c:manualLayout>
          <c:xMode val="edge"/>
          <c:yMode val="edge"/>
          <c:x val="0.26875555911885279"/>
          <c:y val="0.12469233090735762"/>
          <c:w val="0.61081721343476081"/>
          <c:h val="5.3083306586275102E-2"/>
        </c:manualLayout>
      </c:layout>
      <c:overlay val="0"/>
    </c:legend>
    <c:plotVisOnly val="1"/>
    <c:dispBlanksAs val="gap"/>
    <c:showDLblsOverMax val="0"/>
    <c:extLst/>
  </c:chart>
  <c:spPr>
    <a:ln>
      <a:noFill/>
    </a:ln>
  </c:spPr>
  <c:txPr>
    <a:bodyPr/>
    <a:lstStyle/>
    <a:p>
      <a:pPr>
        <a:defRPr/>
      </a:pPr>
      <a:endParaRPr lang="da-DK"/>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'Selective reporting'!$C$366</c:f>
          <c:strCache>
            <c:ptCount val="1"/>
            <c:pt idx="0">
              <c:v>Stringency studies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scatterChart>
        <c:scatterStyle val="lineMarker"/>
        <c:varyColors val="0"/>
        <c:ser>
          <c:idx val="0"/>
          <c:order val="0"/>
          <c:tx>
            <c:strRef>
              <c:f>'Selective reporting'!$K$367</c:f>
              <c:strCache>
                <c:ptCount val="1"/>
                <c:pt idx="0">
                  <c:v>FAT-PET MRA (-2.2%)</c:v>
                </c:pt>
              </c:strCache>
            </c:strRef>
          </c:tx>
          <c:spPr>
            <a:ln w="9525" cap="rnd">
              <a:solidFill>
                <a:schemeClr val="tx1"/>
              </a:solidFill>
              <a:round/>
            </a:ln>
            <a:effectLst/>
          </c:spPr>
          <c:marker>
            <c:symbol val="none"/>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reporting'!$K$368:$K$430</c:f>
              <c:numCache>
                <c:formatCode>#,##0</c:formatCode>
                <c:ptCount val="63"/>
                <c:pt idx="0">
                  <c:v>1000000</c:v>
                </c:pt>
                <c:pt idx="1">
                  <c:v>100</c:v>
                </c:pt>
                <c:pt idx="2">
                  <c:v>50</c:v>
                </c:pt>
                <c:pt idx="3">
                  <c:v>33.333333333333336</c:v>
                </c:pt>
                <c:pt idx="4">
                  <c:v>25</c:v>
                </c:pt>
                <c:pt idx="5">
                  <c:v>20</c:v>
                </c:pt>
                <c:pt idx="6">
                  <c:v>16.666666666666664</c:v>
                </c:pt>
                <c:pt idx="7">
                  <c:v>14.285714285714285</c:v>
                </c:pt>
                <c:pt idx="8">
                  <c:v>12.5</c:v>
                </c:pt>
                <c:pt idx="9">
                  <c:v>11.111111111111111</c:v>
                </c:pt>
                <c:pt idx="10">
                  <c:v>10</c:v>
                </c:pt>
                <c:pt idx="11">
                  <c:v>9.0909090909090917</c:v>
                </c:pt>
                <c:pt idx="12">
                  <c:v>8.3333333333333339</c:v>
                </c:pt>
                <c:pt idx="13">
                  <c:v>7.6923076923076934</c:v>
                </c:pt>
                <c:pt idx="14">
                  <c:v>7.1428571428571432</c:v>
                </c:pt>
                <c:pt idx="15">
                  <c:v>6.666666666666667</c:v>
                </c:pt>
                <c:pt idx="16">
                  <c:v>6.25</c:v>
                </c:pt>
                <c:pt idx="17">
                  <c:v>5.8823529411764701</c:v>
                </c:pt>
                <c:pt idx="18">
                  <c:v>5.5555555555555545</c:v>
                </c:pt>
                <c:pt idx="19">
                  <c:v>5.2631578947368416</c:v>
                </c:pt>
                <c:pt idx="20">
                  <c:v>4.9999999999999991</c:v>
                </c:pt>
                <c:pt idx="21">
                  <c:v>4.761904761904761</c:v>
                </c:pt>
                <c:pt idx="22">
                  <c:v>4.5454545454545441</c:v>
                </c:pt>
                <c:pt idx="23">
                  <c:v>4.3478260869565206</c:v>
                </c:pt>
                <c:pt idx="24">
                  <c:v>4.1666666666666652</c:v>
                </c:pt>
                <c:pt idx="25">
                  <c:v>3.9999999999999991</c:v>
                </c:pt>
                <c:pt idx="26">
                  <c:v>3.8461538461538454</c:v>
                </c:pt>
                <c:pt idx="27">
                  <c:v>3.7037037037037028</c:v>
                </c:pt>
                <c:pt idx="28">
                  <c:v>3.5714285714285703</c:v>
                </c:pt>
                <c:pt idx="29">
                  <c:v>3.4482758620689644</c:v>
                </c:pt>
                <c:pt idx="30">
                  <c:v>3.3333333333333321</c:v>
                </c:pt>
                <c:pt idx="31">
                  <c:v>3.2258064516129021</c:v>
                </c:pt>
                <c:pt idx="32">
                  <c:v>3.1249999999999987</c:v>
                </c:pt>
                <c:pt idx="33">
                  <c:v>3.0303030303030289</c:v>
                </c:pt>
                <c:pt idx="34">
                  <c:v>2.9411764705882342</c:v>
                </c:pt>
                <c:pt idx="35">
                  <c:v>2.8571428571428559</c:v>
                </c:pt>
                <c:pt idx="36">
                  <c:v>2.7777777777777768</c:v>
                </c:pt>
                <c:pt idx="37">
                  <c:v>2.7027027027027013</c:v>
                </c:pt>
                <c:pt idx="38">
                  <c:v>2.6315789473684199</c:v>
                </c:pt>
                <c:pt idx="39">
                  <c:v>2.564102564102563</c:v>
                </c:pt>
                <c:pt idx="40">
                  <c:v>2.4999999999999987</c:v>
                </c:pt>
                <c:pt idx="41">
                  <c:v>2.4390243902439011</c:v>
                </c:pt>
                <c:pt idx="42">
                  <c:v>2.3809523809523796</c:v>
                </c:pt>
                <c:pt idx="43">
                  <c:v>2.325581395348836</c:v>
                </c:pt>
                <c:pt idx="44">
                  <c:v>2.2727272727272716</c:v>
                </c:pt>
                <c:pt idx="45">
                  <c:v>2.222222222222221</c:v>
                </c:pt>
                <c:pt idx="46">
                  <c:v>2.1739130434782599</c:v>
                </c:pt>
                <c:pt idx="47">
                  <c:v>2.1276595744680842</c:v>
                </c:pt>
                <c:pt idx="48">
                  <c:v>2.0833333333333321</c:v>
                </c:pt>
                <c:pt idx="49">
                  <c:v>2.040816326530611</c:v>
                </c:pt>
                <c:pt idx="50">
                  <c:v>1.9999999999999991</c:v>
                </c:pt>
              </c:numCache>
            </c:numRef>
          </c:yVal>
          <c:smooth val="0"/>
          <c:extLst>
            <c:ext xmlns:c16="http://schemas.microsoft.com/office/drawing/2014/chart" uri="{C3380CC4-5D6E-409C-BE32-E72D297353CC}">
              <c16:uniqueId val="{00000000-B643-4922-9B62-30FA1A38A1BA}"/>
            </c:ext>
          </c:extLst>
        </c:ser>
        <c:ser>
          <c:idx val="1"/>
          <c:order val="1"/>
          <c:tx>
            <c:strRef>
              <c:f>'Selective reporting'!$L$367</c:f>
              <c:strCache>
                <c:ptCount val="1"/>
                <c:pt idx="0">
                  <c:v>Study est.</c:v>
                </c:pt>
              </c:strCache>
            </c:strRef>
          </c:tx>
          <c:spPr>
            <a:ln w="19050" cap="rnd">
              <a:noFill/>
              <a:round/>
            </a:ln>
            <a:effectLst/>
          </c:spPr>
          <c:marker>
            <c:symbol val="circle"/>
            <c:size val="7"/>
            <c:spPr>
              <a:solidFill>
                <a:schemeClr val="accent6"/>
              </a:solidFill>
              <a:ln w="9525">
                <a:solidFill>
                  <a:schemeClr val="tx1"/>
                </a:solidFill>
              </a:ln>
              <a:effectLst/>
            </c:spPr>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reporting'!$L$368:$L$430</c:f>
              <c:numCache>
                <c:formatCode>General</c:formatCode>
                <c:ptCount val="63"/>
                <c:pt idx="51" formatCode="#,##0">
                  <c:v>121.67247106984857</c:v>
                </c:pt>
                <c:pt idx="52" formatCode="#,##0">
                  <c:v>253.19040611845321</c:v>
                </c:pt>
                <c:pt idx="53" formatCode="#,##0">
                  <c:v>69.353960322273991</c:v>
                </c:pt>
                <c:pt idx="54" formatCode="#,##0">
                  <c:v>50.698458391471817</c:v>
                </c:pt>
                <c:pt idx="55" formatCode="#,##0">
                  <c:v>11.006767002170761</c:v>
                </c:pt>
                <c:pt idx="56" formatCode="#,##0">
                  <c:v>180.78261028780804</c:v>
                </c:pt>
                <c:pt idx="57" formatCode="#,##0">
                  <c:v>22.107891175039015</c:v>
                </c:pt>
                <c:pt idx="58" formatCode="#,##0">
                  <c:v>35.568164051769656</c:v>
                </c:pt>
              </c:numCache>
            </c:numRef>
          </c:yVal>
          <c:smooth val="0"/>
          <c:extLst>
            <c:ext xmlns:c16="http://schemas.microsoft.com/office/drawing/2014/chart" uri="{C3380CC4-5D6E-409C-BE32-E72D297353CC}">
              <c16:uniqueId val="{00000001-B643-4922-9B62-30FA1A38A1BA}"/>
            </c:ext>
          </c:extLst>
        </c:ser>
        <c:ser>
          <c:idx val="2"/>
          <c:order val="2"/>
          <c:tx>
            <c:strRef>
              <c:f>'Selective reporting'!$M$367</c:f>
              <c:strCache>
                <c:ptCount val="1"/>
                <c:pt idx="0">
                  <c:v>PWA (-3.2%)</c:v>
                </c:pt>
              </c:strCache>
            </c:strRef>
          </c:tx>
          <c:spPr>
            <a:ln w="25400" cap="rnd">
              <a:solidFill>
                <a:schemeClr val="tx1"/>
              </a:solidFill>
              <a:prstDash val="sysDash"/>
              <a:round/>
            </a:ln>
            <a:effectLst/>
          </c:spPr>
          <c:marker>
            <c:symbol val="none"/>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reporting'!$M$368:$M$430</c:f>
              <c:numCache>
                <c:formatCode>General</c:formatCode>
                <c:ptCount val="63"/>
                <c:pt idx="0">
                  <c:v>0</c:v>
                </c:pt>
                <c:pt idx="59" formatCode="#,##0">
                  <c:v>0</c:v>
                </c:pt>
                <c:pt idx="60" formatCode="#,##0">
                  <c:v>1000000</c:v>
                </c:pt>
              </c:numCache>
            </c:numRef>
          </c:yVal>
          <c:smooth val="0"/>
          <c:extLst>
            <c:ext xmlns:c16="http://schemas.microsoft.com/office/drawing/2014/chart" uri="{C3380CC4-5D6E-409C-BE32-E72D297353CC}">
              <c16:uniqueId val="{00000002-B643-4922-9B62-30FA1A38A1BA}"/>
            </c:ext>
          </c:extLst>
        </c:ser>
        <c:ser>
          <c:idx val="3"/>
          <c:order val="3"/>
          <c:tx>
            <c:strRef>
              <c:f>'Selective reporting'!$N$367</c:f>
              <c:strCache>
                <c:ptCount val="1"/>
                <c:pt idx="0">
                  <c:v>FAT-PET MRA (-2.2%)</c:v>
                </c:pt>
              </c:strCache>
            </c:strRef>
          </c:tx>
          <c:spPr>
            <a:ln w="19050" cap="rnd">
              <a:solidFill>
                <a:schemeClr val="tx1"/>
              </a:solidFill>
              <a:prstDash val="sysDot"/>
              <a:round/>
            </a:ln>
            <a:effectLst/>
          </c:spPr>
          <c:marker>
            <c:symbol val="none"/>
          </c:marker>
          <c:dPt>
            <c:idx val="62"/>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4-B643-4922-9B62-30FA1A38A1BA}"/>
              </c:ext>
            </c:extLst>
          </c:dPt>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reporting'!$N$368:$N$430</c:f>
              <c:numCache>
                <c:formatCode>General</c:formatCode>
                <c:ptCount val="63"/>
                <c:pt idx="61">
                  <c:v>0</c:v>
                </c:pt>
                <c:pt idx="62" formatCode="#,##0">
                  <c:v>1000000</c:v>
                </c:pt>
              </c:numCache>
            </c:numRef>
          </c:yVal>
          <c:smooth val="0"/>
          <c:extLst>
            <c:ext xmlns:c16="http://schemas.microsoft.com/office/drawing/2014/chart" uri="{C3380CC4-5D6E-409C-BE32-E72D297353CC}">
              <c16:uniqueId val="{00000005-B643-4922-9B62-30FA1A38A1BA}"/>
            </c:ext>
          </c:extLst>
        </c:ser>
        <c:dLbls>
          <c:showLegendKey val="0"/>
          <c:showVal val="0"/>
          <c:showCatName val="0"/>
          <c:showSerName val="0"/>
          <c:showPercent val="0"/>
          <c:showBubbleSize val="0"/>
        </c:dLbls>
        <c:axId val="1868940431"/>
        <c:axId val="1868942831"/>
      </c:scatterChart>
      <c:valAx>
        <c:axId val="1868940431"/>
        <c:scaling>
          <c:orientation val="minMax"/>
          <c:max val="0.45"/>
          <c:min val="-0.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a-DK"/>
                  <a:t>Estimated effect</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868942831"/>
        <c:crosses val="autoZero"/>
        <c:crossBetween val="midCat"/>
        <c:majorUnit val="0.15000000000000002"/>
      </c:valAx>
      <c:valAx>
        <c:axId val="1868942831"/>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a-DK"/>
                  <a:t>1/SE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868940431"/>
        <c:crossesAt val="-0.45"/>
        <c:crossBetween val="midCat"/>
      </c:val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'Selective reporting'!$C$441</c:f>
          <c:strCache>
            <c:ptCount val="1"/>
            <c:pt idx="0">
              <c:v>SIPO studies</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mn-lt"/>
              <a:ea typeface="+mn-ea"/>
              <a:cs typeface="+mn-cs"/>
            </a:defRPr>
          </a:pPr>
          <a:endParaRPr lang="da-DK"/>
        </a:p>
      </c:txPr>
    </c:title>
    <c:autoTitleDeleted val="0"/>
    <c:plotArea>
      <c:layout/>
      <c:scatterChart>
        <c:scatterStyle val="lineMarker"/>
        <c:varyColors val="0"/>
        <c:ser>
          <c:idx val="0"/>
          <c:order val="0"/>
          <c:tx>
            <c:strRef>
              <c:f>'Selective reporting'!$K$442</c:f>
              <c:strCache>
                <c:ptCount val="1"/>
                <c:pt idx="0">
                  <c:v>FAT-PET MRA (-0.5%)</c:v>
                </c:pt>
              </c:strCache>
            </c:strRef>
          </c:tx>
          <c:spPr>
            <a:ln w="9525" cap="rnd">
              <a:solidFill>
                <a:schemeClr val="tx1"/>
              </a:solidFill>
              <a:prstDash val="solid"/>
              <a:round/>
            </a:ln>
            <a:effectLst/>
          </c:spPr>
          <c:marker>
            <c:symbol val="none"/>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reporting'!$K$443:$K$507</c:f>
              <c:numCache>
                <c:formatCode>#,##0</c:formatCode>
                <c:ptCount val="65"/>
                <c:pt idx="0">
                  <c:v>1000000</c:v>
                </c:pt>
                <c:pt idx="1">
                  <c:v>50</c:v>
                </c:pt>
                <c:pt idx="2">
                  <c:v>25</c:v>
                </c:pt>
                <c:pt idx="3">
                  <c:v>16.666666666666668</c:v>
                </c:pt>
                <c:pt idx="4">
                  <c:v>12.5</c:v>
                </c:pt>
                <c:pt idx="5">
                  <c:v>10</c:v>
                </c:pt>
                <c:pt idx="6">
                  <c:v>8.3333333333333321</c:v>
                </c:pt>
                <c:pt idx="7">
                  <c:v>7.1428571428571423</c:v>
                </c:pt>
                <c:pt idx="8">
                  <c:v>6.25</c:v>
                </c:pt>
                <c:pt idx="9">
                  <c:v>5.5555555555555554</c:v>
                </c:pt>
                <c:pt idx="10">
                  <c:v>5</c:v>
                </c:pt>
                <c:pt idx="11">
                  <c:v>4.5454545454545459</c:v>
                </c:pt>
                <c:pt idx="12">
                  <c:v>4.166666666666667</c:v>
                </c:pt>
                <c:pt idx="13">
                  <c:v>3.8461538461538467</c:v>
                </c:pt>
                <c:pt idx="14">
                  <c:v>3.5714285714285716</c:v>
                </c:pt>
                <c:pt idx="15">
                  <c:v>3.3333333333333335</c:v>
                </c:pt>
                <c:pt idx="16">
                  <c:v>3.125</c:v>
                </c:pt>
                <c:pt idx="17">
                  <c:v>2.9411764705882351</c:v>
                </c:pt>
                <c:pt idx="18">
                  <c:v>2.7777777777777772</c:v>
                </c:pt>
                <c:pt idx="19">
                  <c:v>2.6315789473684208</c:v>
                </c:pt>
                <c:pt idx="20">
                  <c:v>2.4999999999999996</c:v>
                </c:pt>
                <c:pt idx="21">
                  <c:v>2.3809523809523805</c:v>
                </c:pt>
                <c:pt idx="22">
                  <c:v>2.272727272727272</c:v>
                </c:pt>
                <c:pt idx="23">
                  <c:v>2.1739130434782603</c:v>
                </c:pt>
                <c:pt idx="24">
                  <c:v>2.0833333333333326</c:v>
                </c:pt>
                <c:pt idx="25">
                  <c:v>1.9999999999999996</c:v>
                </c:pt>
                <c:pt idx="26">
                  <c:v>1.9230769230769227</c:v>
                </c:pt>
                <c:pt idx="27">
                  <c:v>1.8518518518518514</c:v>
                </c:pt>
                <c:pt idx="28">
                  <c:v>1.7857142857142851</c:v>
                </c:pt>
                <c:pt idx="29">
                  <c:v>1.7241379310344822</c:v>
                </c:pt>
                <c:pt idx="30">
                  <c:v>1.6666666666666661</c:v>
                </c:pt>
                <c:pt idx="31">
                  <c:v>1.6129032258064511</c:v>
                </c:pt>
                <c:pt idx="32">
                  <c:v>1.5624999999999993</c:v>
                </c:pt>
                <c:pt idx="33">
                  <c:v>1.5151515151515145</c:v>
                </c:pt>
                <c:pt idx="34">
                  <c:v>1.4705882352941171</c:v>
                </c:pt>
                <c:pt idx="35">
                  <c:v>1.4285714285714279</c:v>
                </c:pt>
                <c:pt idx="36">
                  <c:v>1.3888888888888884</c:v>
                </c:pt>
                <c:pt idx="37">
                  <c:v>1.3513513513513506</c:v>
                </c:pt>
                <c:pt idx="38">
                  <c:v>1.31578947368421</c:v>
                </c:pt>
                <c:pt idx="39">
                  <c:v>1.2820512820512815</c:v>
                </c:pt>
                <c:pt idx="40">
                  <c:v>1.2499999999999993</c:v>
                </c:pt>
                <c:pt idx="41">
                  <c:v>1.2195121951219505</c:v>
                </c:pt>
                <c:pt idx="42">
                  <c:v>1.1904761904761898</c:v>
                </c:pt>
                <c:pt idx="43">
                  <c:v>1.162790697674418</c:v>
                </c:pt>
                <c:pt idx="44">
                  <c:v>1.1363636363636358</c:v>
                </c:pt>
                <c:pt idx="45">
                  <c:v>1.1111111111111105</c:v>
                </c:pt>
                <c:pt idx="46">
                  <c:v>1.0869565217391299</c:v>
                </c:pt>
                <c:pt idx="47">
                  <c:v>1.0638297872340421</c:v>
                </c:pt>
                <c:pt idx="48">
                  <c:v>1.0416666666666661</c:v>
                </c:pt>
                <c:pt idx="49">
                  <c:v>1.0204081632653055</c:v>
                </c:pt>
                <c:pt idx="50">
                  <c:v>0.99999999999999956</c:v>
                </c:pt>
              </c:numCache>
            </c:numRef>
          </c:yVal>
          <c:smooth val="0"/>
          <c:extLst>
            <c:ext xmlns:c16="http://schemas.microsoft.com/office/drawing/2014/chart" uri="{C3380CC4-5D6E-409C-BE32-E72D297353CC}">
              <c16:uniqueId val="{00000000-1876-4D38-BBB3-0D7C11DAF4D1}"/>
            </c:ext>
          </c:extLst>
        </c:ser>
        <c:ser>
          <c:idx val="1"/>
          <c:order val="1"/>
          <c:tx>
            <c:strRef>
              <c:f>'Selective reporting'!$L$442</c:f>
              <c:strCache>
                <c:ptCount val="1"/>
                <c:pt idx="0">
                  <c:v>Study est.</c:v>
                </c:pt>
              </c:strCache>
            </c:strRef>
          </c:tx>
          <c:spPr>
            <a:ln w="19050" cap="rnd">
              <a:noFill/>
              <a:round/>
            </a:ln>
            <a:effectLst/>
          </c:spPr>
          <c:marker>
            <c:symbol val="circle"/>
            <c:size val="7"/>
            <c:spPr>
              <a:solidFill>
                <a:schemeClr val="accent6"/>
              </a:solidFill>
              <a:ln w="9525">
                <a:solidFill>
                  <a:schemeClr val="tx1"/>
                </a:solidFill>
              </a:ln>
              <a:effectLst/>
            </c:spPr>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reporting'!$L$443:$L$507</c:f>
              <c:numCache>
                <c:formatCode>General</c:formatCode>
                <c:ptCount val="65"/>
                <c:pt idx="51" formatCode="#,##0">
                  <c:v>7.0128947368421013</c:v>
                </c:pt>
                <c:pt idx="52" formatCode="#,##0">
                  <c:v>35.671717494627096</c:v>
                </c:pt>
                <c:pt idx="53" formatCode="#,##0">
                  <c:v>15.226346240121817</c:v>
                </c:pt>
                <c:pt idx="54" formatCode="#,##0">
                  <c:v>6.756756756756757</c:v>
                </c:pt>
                <c:pt idx="55" formatCode="#,##0">
                  <c:v>11.466758683779625</c:v>
                </c:pt>
                <c:pt idx="56" formatCode="#,##0">
                  <c:v>5.6895075931891395</c:v>
                </c:pt>
                <c:pt idx="59" formatCode="#,##0">
                  <c:v>168.99999999999997</c:v>
                </c:pt>
                <c:pt idx="60" formatCode="#,##0">
                  <c:v>14.350000000000001</c:v>
                </c:pt>
              </c:numCache>
            </c:numRef>
          </c:yVal>
          <c:smooth val="0"/>
          <c:extLst>
            <c:ext xmlns:c16="http://schemas.microsoft.com/office/drawing/2014/chart" uri="{C3380CC4-5D6E-409C-BE32-E72D297353CC}">
              <c16:uniqueId val="{00000001-1876-4D38-BBB3-0D7C11DAF4D1}"/>
            </c:ext>
          </c:extLst>
        </c:ser>
        <c:ser>
          <c:idx val="2"/>
          <c:order val="2"/>
          <c:tx>
            <c:strRef>
              <c:f>'Selective reporting'!$M$442</c:f>
              <c:strCache>
                <c:ptCount val="1"/>
                <c:pt idx="0">
                  <c:v>PWA (-2.0%)</c:v>
                </c:pt>
              </c:strCache>
            </c:strRef>
          </c:tx>
          <c:spPr>
            <a:ln w="25400" cap="rnd">
              <a:solidFill>
                <a:schemeClr val="tx1"/>
              </a:solidFill>
              <a:prstDash val="sysDash"/>
              <a:round/>
            </a:ln>
            <a:effectLst/>
          </c:spPr>
          <c:marker>
            <c:symbol val="none"/>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reporting'!$M$443:$M$507</c:f>
              <c:numCache>
                <c:formatCode>General</c:formatCode>
                <c:ptCount val="65"/>
                <c:pt idx="0">
                  <c:v>0</c:v>
                </c:pt>
                <c:pt idx="61" formatCode="#,##0">
                  <c:v>0</c:v>
                </c:pt>
                <c:pt idx="62" formatCode="#,##0">
                  <c:v>1000000</c:v>
                </c:pt>
              </c:numCache>
            </c:numRef>
          </c:yVal>
          <c:smooth val="0"/>
          <c:extLst>
            <c:ext xmlns:c16="http://schemas.microsoft.com/office/drawing/2014/chart" uri="{C3380CC4-5D6E-409C-BE32-E72D297353CC}">
              <c16:uniqueId val="{00000002-1876-4D38-BBB3-0D7C11DAF4D1}"/>
            </c:ext>
          </c:extLst>
        </c:ser>
        <c:ser>
          <c:idx val="3"/>
          <c:order val="3"/>
          <c:tx>
            <c:strRef>
              <c:f>'Selective reporting'!$N$442</c:f>
              <c:strCache>
                <c:ptCount val="1"/>
                <c:pt idx="0">
                  <c:v>FAT-PET MRA (-0.5%)</c:v>
                </c:pt>
              </c:strCache>
            </c:strRef>
          </c:tx>
          <c:spPr>
            <a:ln w="19050" cap="rnd">
              <a:solidFill>
                <a:schemeClr val="tx1"/>
              </a:solidFill>
              <a:prstDash val="sysDot"/>
              <a:round/>
            </a:ln>
            <a:effectLst/>
          </c:spPr>
          <c:marker>
            <c:symbol val="none"/>
          </c:marker>
          <c:dPt>
            <c:idx val="62"/>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4-1876-4D38-BBB3-0D7C11DAF4D1}"/>
              </c:ext>
            </c:extLst>
          </c:dPt>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reporting'!$N$443:$N$507</c:f>
              <c:numCache>
                <c:formatCode>General</c:formatCode>
                <c:ptCount val="65"/>
                <c:pt idx="63">
                  <c:v>0</c:v>
                </c:pt>
                <c:pt idx="64" formatCode="#,##0">
                  <c:v>1000000</c:v>
                </c:pt>
              </c:numCache>
            </c:numRef>
          </c:yVal>
          <c:smooth val="0"/>
          <c:extLst>
            <c:ext xmlns:c16="http://schemas.microsoft.com/office/drawing/2014/chart" uri="{C3380CC4-5D6E-409C-BE32-E72D297353CC}">
              <c16:uniqueId val="{00000005-1876-4D38-BBB3-0D7C11DAF4D1}"/>
            </c:ext>
          </c:extLst>
        </c:ser>
        <c:dLbls>
          <c:showLegendKey val="0"/>
          <c:showVal val="0"/>
          <c:showCatName val="0"/>
          <c:showSerName val="0"/>
          <c:showPercent val="0"/>
          <c:showBubbleSize val="0"/>
        </c:dLbls>
        <c:axId val="1868940431"/>
        <c:axId val="1868942831"/>
      </c:scatterChart>
      <c:valAx>
        <c:axId val="1868940431"/>
        <c:scaling>
          <c:orientation val="minMax"/>
          <c:max val="0.45"/>
          <c:min val="-0.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a-DK"/>
                  <a:t>Estimated effect</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868942831"/>
        <c:crosses val="autoZero"/>
        <c:crossBetween val="midCat"/>
        <c:majorUnit val="0.15000000000000002"/>
      </c:valAx>
      <c:valAx>
        <c:axId val="1868942831"/>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da-DK"/>
                  <a:t>1/SE</a:t>
                </a: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da-DK"/>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crossAx val="1868940431"/>
        <c:crossesAt val="-0.45"/>
        <c:crossBetween val="midCat"/>
      </c:valAx>
      <c:spPr>
        <a:noFill/>
        <a:ln>
          <a:noFill/>
        </a:ln>
        <a:effectLst/>
      </c:spPr>
    </c:plotArea>
    <c:legend>
      <c:legendPos val="b"/>
      <c:legendEntry>
        <c:idx val="3"/>
        <c:delete val="1"/>
      </c:legendEntry>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ysClr val="windowText" lastClr="000000"/>
          </a:solidFill>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'Selective reporting'!$K$442</c:f>
              <c:strCache>
                <c:ptCount val="1"/>
                <c:pt idx="0">
                  <c:v>FAT-PET MRA (-0.5%)</c:v>
                </c:pt>
              </c:strCache>
            </c:strRef>
          </c:tx>
          <c:spPr>
            <a:ln w="9525" cap="rnd">
              <a:solidFill>
                <a:schemeClr val="tx1"/>
              </a:solidFill>
              <a:prstDash val="solid"/>
              <a:round/>
            </a:ln>
            <a:effectLst/>
          </c:spPr>
          <c:marker>
            <c:symbol val="none"/>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reporting'!$K$443:$K$507</c:f>
              <c:numCache>
                <c:formatCode>#,##0</c:formatCode>
                <c:ptCount val="65"/>
                <c:pt idx="0">
                  <c:v>1000000</c:v>
                </c:pt>
                <c:pt idx="1">
                  <c:v>50</c:v>
                </c:pt>
                <c:pt idx="2">
                  <c:v>25</c:v>
                </c:pt>
                <c:pt idx="3">
                  <c:v>16.666666666666668</c:v>
                </c:pt>
                <c:pt idx="4">
                  <c:v>12.5</c:v>
                </c:pt>
                <c:pt idx="5">
                  <c:v>10</c:v>
                </c:pt>
                <c:pt idx="6">
                  <c:v>8.3333333333333321</c:v>
                </c:pt>
                <c:pt idx="7">
                  <c:v>7.1428571428571423</c:v>
                </c:pt>
                <c:pt idx="8">
                  <c:v>6.25</c:v>
                </c:pt>
                <c:pt idx="9">
                  <c:v>5.5555555555555554</c:v>
                </c:pt>
                <c:pt idx="10">
                  <c:v>5</c:v>
                </c:pt>
                <c:pt idx="11">
                  <c:v>4.5454545454545459</c:v>
                </c:pt>
                <c:pt idx="12">
                  <c:v>4.166666666666667</c:v>
                </c:pt>
                <c:pt idx="13">
                  <c:v>3.8461538461538467</c:v>
                </c:pt>
                <c:pt idx="14">
                  <c:v>3.5714285714285716</c:v>
                </c:pt>
                <c:pt idx="15">
                  <c:v>3.3333333333333335</c:v>
                </c:pt>
                <c:pt idx="16">
                  <c:v>3.125</c:v>
                </c:pt>
                <c:pt idx="17">
                  <c:v>2.9411764705882351</c:v>
                </c:pt>
                <c:pt idx="18">
                  <c:v>2.7777777777777772</c:v>
                </c:pt>
                <c:pt idx="19">
                  <c:v>2.6315789473684208</c:v>
                </c:pt>
                <c:pt idx="20">
                  <c:v>2.4999999999999996</c:v>
                </c:pt>
                <c:pt idx="21">
                  <c:v>2.3809523809523805</c:v>
                </c:pt>
                <c:pt idx="22">
                  <c:v>2.272727272727272</c:v>
                </c:pt>
                <c:pt idx="23">
                  <c:v>2.1739130434782603</c:v>
                </c:pt>
                <c:pt idx="24">
                  <c:v>2.0833333333333326</c:v>
                </c:pt>
                <c:pt idx="25">
                  <c:v>1.9999999999999996</c:v>
                </c:pt>
                <c:pt idx="26">
                  <c:v>1.9230769230769227</c:v>
                </c:pt>
                <c:pt idx="27">
                  <c:v>1.8518518518518514</c:v>
                </c:pt>
                <c:pt idx="28">
                  <c:v>1.7857142857142851</c:v>
                </c:pt>
                <c:pt idx="29">
                  <c:v>1.7241379310344822</c:v>
                </c:pt>
                <c:pt idx="30">
                  <c:v>1.6666666666666661</c:v>
                </c:pt>
                <c:pt idx="31">
                  <c:v>1.6129032258064511</c:v>
                </c:pt>
                <c:pt idx="32">
                  <c:v>1.5624999999999993</c:v>
                </c:pt>
                <c:pt idx="33">
                  <c:v>1.5151515151515145</c:v>
                </c:pt>
                <c:pt idx="34">
                  <c:v>1.4705882352941171</c:v>
                </c:pt>
                <c:pt idx="35">
                  <c:v>1.4285714285714279</c:v>
                </c:pt>
                <c:pt idx="36">
                  <c:v>1.3888888888888884</c:v>
                </c:pt>
                <c:pt idx="37">
                  <c:v>1.3513513513513506</c:v>
                </c:pt>
                <c:pt idx="38">
                  <c:v>1.31578947368421</c:v>
                </c:pt>
                <c:pt idx="39">
                  <c:v>1.2820512820512815</c:v>
                </c:pt>
                <c:pt idx="40">
                  <c:v>1.2499999999999993</c:v>
                </c:pt>
                <c:pt idx="41">
                  <c:v>1.2195121951219505</c:v>
                </c:pt>
                <c:pt idx="42">
                  <c:v>1.1904761904761898</c:v>
                </c:pt>
                <c:pt idx="43">
                  <c:v>1.162790697674418</c:v>
                </c:pt>
                <c:pt idx="44">
                  <c:v>1.1363636363636358</c:v>
                </c:pt>
                <c:pt idx="45">
                  <c:v>1.1111111111111105</c:v>
                </c:pt>
                <c:pt idx="46">
                  <c:v>1.0869565217391299</c:v>
                </c:pt>
                <c:pt idx="47">
                  <c:v>1.0638297872340421</c:v>
                </c:pt>
                <c:pt idx="48">
                  <c:v>1.0416666666666661</c:v>
                </c:pt>
                <c:pt idx="49">
                  <c:v>1.0204081632653055</c:v>
                </c:pt>
                <c:pt idx="50">
                  <c:v>0.99999999999999956</c:v>
                </c:pt>
              </c:numCache>
            </c:numRef>
          </c:yVal>
          <c:smooth val="0"/>
          <c:extLst>
            <c:ext xmlns:c16="http://schemas.microsoft.com/office/drawing/2014/chart" uri="{C3380CC4-5D6E-409C-BE32-E72D297353CC}">
              <c16:uniqueId val="{00000000-1B95-494A-BF25-0426770CB4EF}"/>
            </c:ext>
          </c:extLst>
        </c:ser>
        <c:ser>
          <c:idx val="1"/>
          <c:order val="1"/>
          <c:tx>
            <c:strRef>
              <c:f>'Selective reporting'!$L$442</c:f>
              <c:strCache>
                <c:ptCount val="1"/>
                <c:pt idx="0">
                  <c:v>Study est.</c:v>
                </c:pt>
              </c:strCache>
            </c:strRef>
          </c:tx>
          <c:spPr>
            <a:ln w="19050" cap="rnd">
              <a:noFill/>
              <a:round/>
            </a:ln>
            <a:effectLst/>
          </c:spPr>
          <c:marker>
            <c:symbol val="circle"/>
            <c:size val="7"/>
            <c:spPr>
              <a:solidFill>
                <a:schemeClr val="accent6"/>
              </a:solidFill>
              <a:ln w="9525">
                <a:solidFill>
                  <a:schemeClr val="tx1"/>
                </a:solidFill>
              </a:ln>
              <a:effectLst/>
            </c:spPr>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reporting'!$L$443:$L$507</c:f>
              <c:numCache>
                <c:formatCode>General</c:formatCode>
                <c:ptCount val="65"/>
                <c:pt idx="51" formatCode="#,##0">
                  <c:v>7.0128947368421013</c:v>
                </c:pt>
                <c:pt idx="52" formatCode="#,##0">
                  <c:v>35.671717494627096</c:v>
                </c:pt>
                <c:pt idx="53" formatCode="#,##0">
                  <c:v>15.226346240121817</c:v>
                </c:pt>
                <c:pt idx="54" formatCode="#,##0">
                  <c:v>6.756756756756757</c:v>
                </c:pt>
                <c:pt idx="55" formatCode="#,##0">
                  <c:v>11.466758683779625</c:v>
                </c:pt>
                <c:pt idx="56" formatCode="#,##0">
                  <c:v>5.6895075931891395</c:v>
                </c:pt>
                <c:pt idx="59" formatCode="#,##0">
                  <c:v>168.99999999999997</c:v>
                </c:pt>
                <c:pt idx="60" formatCode="#,##0">
                  <c:v>14.350000000000001</c:v>
                </c:pt>
              </c:numCache>
            </c:numRef>
          </c:yVal>
          <c:smooth val="0"/>
          <c:extLst>
            <c:ext xmlns:c16="http://schemas.microsoft.com/office/drawing/2014/chart" uri="{C3380CC4-5D6E-409C-BE32-E72D297353CC}">
              <c16:uniqueId val="{00000001-1B95-494A-BF25-0426770CB4EF}"/>
            </c:ext>
          </c:extLst>
        </c:ser>
        <c:ser>
          <c:idx val="2"/>
          <c:order val="2"/>
          <c:tx>
            <c:strRef>
              <c:f>'Selective reporting'!$M$442</c:f>
              <c:strCache>
                <c:ptCount val="1"/>
                <c:pt idx="0">
                  <c:v>PWA (-2.0%)</c:v>
                </c:pt>
              </c:strCache>
            </c:strRef>
          </c:tx>
          <c:spPr>
            <a:ln w="25400" cap="rnd">
              <a:solidFill>
                <a:schemeClr val="tx1"/>
              </a:solidFill>
              <a:prstDash val="sysDash"/>
              <a:round/>
            </a:ln>
            <a:effectLst/>
          </c:spPr>
          <c:marker>
            <c:symbol val="none"/>
          </c:marker>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reporting'!$M$443:$M$507</c:f>
              <c:numCache>
                <c:formatCode>General</c:formatCode>
                <c:ptCount val="65"/>
                <c:pt idx="0">
                  <c:v>0</c:v>
                </c:pt>
                <c:pt idx="61" formatCode="#,##0">
                  <c:v>0</c:v>
                </c:pt>
                <c:pt idx="62" formatCode="#,##0">
                  <c:v>1000000</c:v>
                </c:pt>
              </c:numCache>
            </c:numRef>
          </c:yVal>
          <c:smooth val="0"/>
          <c:extLst>
            <c:ext xmlns:c16="http://schemas.microsoft.com/office/drawing/2014/chart" uri="{C3380CC4-5D6E-409C-BE32-E72D297353CC}">
              <c16:uniqueId val="{00000002-1B95-494A-BF25-0426770CB4EF}"/>
            </c:ext>
          </c:extLst>
        </c:ser>
        <c:ser>
          <c:idx val="3"/>
          <c:order val="3"/>
          <c:tx>
            <c:strRef>
              <c:f>'Selective reporting'!$N$442</c:f>
              <c:strCache>
                <c:ptCount val="1"/>
                <c:pt idx="0">
                  <c:v>FAT-PET MRA (-0.5%)</c:v>
                </c:pt>
              </c:strCache>
            </c:strRef>
          </c:tx>
          <c:spPr>
            <a:ln w="19050" cap="rnd">
              <a:solidFill>
                <a:schemeClr val="tx1"/>
              </a:solidFill>
              <a:prstDash val="sysDot"/>
              <a:round/>
            </a:ln>
            <a:effectLst/>
          </c:spPr>
          <c:marker>
            <c:symbol val="none"/>
          </c:marker>
          <c:dPt>
            <c:idx val="62"/>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4-1B95-494A-BF25-0426770CB4EF}"/>
              </c:ext>
            </c:extLst>
          </c:dPt>
          <c:xVal>
            <c:numRef>
              <c:f>'Selective reporting'!$I$443:$I$507</c:f>
              <c:numCache>
                <c:formatCode>0.0%</c:formatCode>
                <c:ptCount val="65"/>
                <c:pt idx="0">
                  <c:v>-5.236928355620148E-3</c:v>
                </c:pt>
                <c:pt idx="1">
                  <c:v>-1.3000869951469391E-2</c:v>
                </c:pt>
                <c:pt idx="2">
                  <c:v>-2.0764811547318632E-2</c:v>
                </c:pt>
                <c:pt idx="3">
                  <c:v>-2.852875314316787E-2</c:v>
                </c:pt>
                <c:pt idx="4">
                  <c:v>-3.6292694739017119E-2</c:v>
                </c:pt>
                <c:pt idx="5">
                  <c:v>-4.405663633486636E-2</c:v>
                </c:pt>
                <c:pt idx="6">
                  <c:v>-5.1820577930715601E-2</c:v>
                </c:pt>
                <c:pt idx="7">
                  <c:v>-5.9584519526564843E-2</c:v>
                </c:pt>
                <c:pt idx="8">
                  <c:v>-6.7348461122414091E-2</c:v>
                </c:pt>
                <c:pt idx="9">
                  <c:v>-7.5112402718263319E-2</c:v>
                </c:pt>
                <c:pt idx="10">
                  <c:v>-8.287634431411256E-2</c:v>
                </c:pt>
                <c:pt idx="11">
                  <c:v>-9.0640285909961801E-2</c:v>
                </c:pt>
                <c:pt idx="12">
                  <c:v>-9.8404227505811029E-2</c:v>
                </c:pt>
                <c:pt idx="13">
                  <c:v>-0.10616816910166027</c:v>
                </c:pt>
                <c:pt idx="14">
                  <c:v>-0.11393211069750953</c:v>
                </c:pt>
                <c:pt idx="15">
                  <c:v>-0.12169605229335877</c:v>
                </c:pt>
                <c:pt idx="16">
                  <c:v>-0.12945999388920804</c:v>
                </c:pt>
                <c:pt idx="17">
                  <c:v>-0.13722393548505726</c:v>
                </c:pt>
                <c:pt idx="18">
                  <c:v>-0.14498787708090652</c:v>
                </c:pt>
                <c:pt idx="19">
                  <c:v>-0.15275181867675577</c:v>
                </c:pt>
                <c:pt idx="20">
                  <c:v>-0.160515760272605</c:v>
                </c:pt>
                <c:pt idx="21">
                  <c:v>-0.16827970186845426</c:v>
                </c:pt>
                <c:pt idx="22">
                  <c:v>-0.17604364346430351</c:v>
                </c:pt>
                <c:pt idx="23">
                  <c:v>-0.18380758506015277</c:v>
                </c:pt>
                <c:pt idx="24">
                  <c:v>-0.19157152665600202</c:v>
                </c:pt>
                <c:pt idx="25">
                  <c:v>-0.19933546825185125</c:v>
                </c:pt>
                <c:pt idx="26">
                  <c:v>-0.20709940984770048</c:v>
                </c:pt>
                <c:pt idx="27">
                  <c:v>-0.21486335144354973</c:v>
                </c:pt>
                <c:pt idx="28">
                  <c:v>-0.22262729303939899</c:v>
                </c:pt>
                <c:pt idx="29">
                  <c:v>-0.23039123463524824</c:v>
                </c:pt>
                <c:pt idx="30">
                  <c:v>-0.23815517623109747</c:v>
                </c:pt>
                <c:pt idx="31">
                  <c:v>-0.24591911782694673</c:v>
                </c:pt>
                <c:pt idx="32">
                  <c:v>-0.25368305942279601</c:v>
                </c:pt>
                <c:pt idx="33">
                  <c:v>-0.26144700101864526</c:v>
                </c:pt>
                <c:pt idx="34">
                  <c:v>-0.26921094261449452</c:v>
                </c:pt>
                <c:pt idx="35">
                  <c:v>-0.27697488421034377</c:v>
                </c:pt>
                <c:pt idx="36">
                  <c:v>-0.28473882580619303</c:v>
                </c:pt>
                <c:pt idx="37">
                  <c:v>-0.29250276740204223</c:v>
                </c:pt>
                <c:pt idx="38">
                  <c:v>-0.30026670899789148</c:v>
                </c:pt>
                <c:pt idx="39">
                  <c:v>-0.30803065059374074</c:v>
                </c:pt>
                <c:pt idx="40">
                  <c:v>-0.31579459218959</c:v>
                </c:pt>
                <c:pt idx="41">
                  <c:v>-0.32355853378543925</c:v>
                </c:pt>
                <c:pt idx="42">
                  <c:v>-0.33132247538128851</c:v>
                </c:pt>
                <c:pt idx="43">
                  <c:v>-0.33908641697713776</c:v>
                </c:pt>
                <c:pt idx="44">
                  <c:v>-0.34685035857298702</c:v>
                </c:pt>
                <c:pt idx="45">
                  <c:v>-0.35461430016883622</c:v>
                </c:pt>
                <c:pt idx="46">
                  <c:v>-0.36237824176468547</c:v>
                </c:pt>
                <c:pt idx="47">
                  <c:v>-0.37014218336053473</c:v>
                </c:pt>
                <c:pt idx="48">
                  <c:v>-0.37790612495638398</c:v>
                </c:pt>
                <c:pt idx="49">
                  <c:v>-0.38567006655223324</c:v>
                </c:pt>
                <c:pt idx="50">
                  <c:v>-0.39343400814808244</c:v>
                </c:pt>
                <c:pt idx="51">
                  <c:v>-0.17695473251028815</c:v>
                </c:pt>
                <c:pt idx="52">
                  <c:v>4.8995231350040705E-2</c:v>
                </c:pt>
                <c:pt idx="53">
                  <c:v>0.13071364795918367</c:v>
                </c:pt>
                <c:pt idx="54">
                  <c:v>4.5999999999999999E-2</c:v>
                </c:pt>
                <c:pt idx="55">
                  <c:v>0.15612949485277217</c:v>
                </c:pt>
                <c:pt idx="56">
                  <c:v>-0.32151610007036957</c:v>
                </c:pt>
                <c:pt idx="57">
                  <c:v>-0.01</c:v>
                </c:pt>
                <c:pt idx="58">
                  <c:v>-0.35</c:v>
                </c:pt>
                <c:pt idx="59">
                  <c:v>-6.0069444444444453E-2</c:v>
                </c:pt>
                <c:pt idx="60" formatCode="0.000%">
                  <c:v>-0.40389417076968986</c:v>
                </c:pt>
                <c:pt idx="61">
                  <c:v>-1.9507778246493915E-2</c:v>
                </c:pt>
                <c:pt idx="62">
                  <c:v>-1.9507778246493915E-2</c:v>
                </c:pt>
                <c:pt idx="63">
                  <c:v>-5.236928355620148E-3</c:v>
                </c:pt>
                <c:pt idx="64">
                  <c:v>-5.236928355620148E-3</c:v>
                </c:pt>
              </c:numCache>
            </c:numRef>
          </c:xVal>
          <c:yVal>
            <c:numRef>
              <c:f>'Selective reporting'!$N$443:$N$507</c:f>
              <c:numCache>
                <c:formatCode>General</c:formatCode>
                <c:ptCount val="65"/>
                <c:pt idx="63">
                  <c:v>0</c:v>
                </c:pt>
                <c:pt idx="64" formatCode="#,##0">
                  <c:v>1000000</c:v>
                </c:pt>
              </c:numCache>
            </c:numRef>
          </c:yVal>
          <c:smooth val="0"/>
          <c:extLst>
            <c:ext xmlns:c16="http://schemas.microsoft.com/office/drawing/2014/chart" uri="{C3380CC4-5D6E-409C-BE32-E72D297353CC}">
              <c16:uniqueId val="{00000005-1B95-494A-BF25-0426770CB4EF}"/>
            </c:ext>
          </c:extLst>
        </c:ser>
        <c:dLbls>
          <c:showLegendKey val="0"/>
          <c:showVal val="0"/>
          <c:showCatName val="0"/>
          <c:showSerName val="0"/>
          <c:showPercent val="0"/>
          <c:showBubbleSize val="0"/>
        </c:dLbls>
        <c:axId val="1868940431"/>
        <c:axId val="1868942831"/>
      </c:scatterChart>
      <c:valAx>
        <c:axId val="1868940431"/>
        <c:scaling>
          <c:orientation val="minMax"/>
          <c:max val="0.45"/>
          <c:min val="-0.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r>
                  <a:rPr lang="da-DK" sz="900" b="0" i="0" u="none" strike="noStrike" kern="1200" baseline="0">
                    <a:solidFill>
                      <a:sysClr val="windowText" lastClr="000000"/>
                    </a:solidFill>
                  </a:rPr>
                  <a:t>Estimated effect</a:t>
                </a:r>
              </a:p>
            </c:rich>
          </c:tx>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68942831"/>
        <c:crosses val="autoZero"/>
        <c:crossBetween val="midCat"/>
        <c:majorUnit val="0.15000000000000002"/>
      </c:valAx>
      <c:valAx>
        <c:axId val="1868942831"/>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r>
                  <a:rPr lang="da-DK"/>
                  <a:t>1/SE</a:t>
                </a:r>
              </a:p>
            </c:rich>
          </c:tx>
          <c:overlay val="0"/>
          <c:spPr>
            <a:noFill/>
            <a:ln>
              <a:noFill/>
            </a:ln>
            <a:effectLst/>
          </c:spPr>
          <c:txPr>
            <a:bodyPr rot="-54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da-DK"/>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68940431"/>
        <c:crossesAt val="-0.45"/>
        <c:crossBetween val="midCat"/>
      </c:valAx>
      <c:spPr>
        <a:noFill/>
        <a:ln>
          <a:noFill/>
        </a:ln>
        <a:effectLst/>
      </c:spPr>
    </c:plotArea>
    <c:legend>
      <c:legendPos val="b"/>
      <c:legendEntry>
        <c:idx val="1"/>
        <c:delete val="1"/>
      </c:legendEntry>
      <c:legendEntry>
        <c:idx val="3"/>
        <c:delete val="1"/>
      </c:legendEntry>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900">
          <a:solidFill>
            <a:sysClr val="windowText" lastClr="000000"/>
          </a:solidFill>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'Selective reporting'!$K$367</c:f>
              <c:strCache>
                <c:ptCount val="1"/>
                <c:pt idx="0">
                  <c:v>FAT-PET MRA (-2.2%)</c:v>
                </c:pt>
              </c:strCache>
            </c:strRef>
          </c:tx>
          <c:spPr>
            <a:ln w="9525" cap="rnd">
              <a:solidFill>
                <a:schemeClr val="tx1"/>
              </a:solidFill>
              <a:round/>
            </a:ln>
            <a:effectLst/>
          </c:spPr>
          <c:marker>
            <c:symbol val="none"/>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reporting'!$K$368:$K$430</c:f>
              <c:numCache>
                <c:formatCode>#,##0</c:formatCode>
                <c:ptCount val="63"/>
                <c:pt idx="0">
                  <c:v>1000000</c:v>
                </c:pt>
                <c:pt idx="1">
                  <c:v>100</c:v>
                </c:pt>
                <c:pt idx="2">
                  <c:v>50</c:v>
                </c:pt>
                <c:pt idx="3">
                  <c:v>33.333333333333336</c:v>
                </c:pt>
                <c:pt idx="4">
                  <c:v>25</c:v>
                </c:pt>
                <c:pt idx="5">
                  <c:v>20</c:v>
                </c:pt>
                <c:pt idx="6">
                  <c:v>16.666666666666664</c:v>
                </c:pt>
                <c:pt idx="7">
                  <c:v>14.285714285714285</c:v>
                </c:pt>
                <c:pt idx="8">
                  <c:v>12.5</c:v>
                </c:pt>
                <c:pt idx="9">
                  <c:v>11.111111111111111</c:v>
                </c:pt>
                <c:pt idx="10">
                  <c:v>10</c:v>
                </c:pt>
                <c:pt idx="11">
                  <c:v>9.0909090909090917</c:v>
                </c:pt>
                <c:pt idx="12">
                  <c:v>8.3333333333333339</c:v>
                </c:pt>
                <c:pt idx="13">
                  <c:v>7.6923076923076934</c:v>
                </c:pt>
                <c:pt idx="14">
                  <c:v>7.1428571428571432</c:v>
                </c:pt>
                <c:pt idx="15">
                  <c:v>6.666666666666667</c:v>
                </c:pt>
                <c:pt idx="16">
                  <c:v>6.25</c:v>
                </c:pt>
                <c:pt idx="17">
                  <c:v>5.8823529411764701</c:v>
                </c:pt>
                <c:pt idx="18">
                  <c:v>5.5555555555555545</c:v>
                </c:pt>
                <c:pt idx="19">
                  <c:v>5.2631578947368416</c:v>
                </c:pt>
                <c:pt idx="20">
                  <c:v>4.9999999999999991</c:v>
                </c:pt>
                <c:pt idx="21">
                  <c:v>4.761904761904761</c:v>
                </c:pt>
                <c:pt idx="22">
                  <c:v>4.5454545454545441</c:v>
                </c:pt>
                <c:pt idx="23">
                  <c:v>4.3478260869565206</c:v>
                </c:pt>
                <c:pt idx="24">
                  <c:v>4.1666666666666652</c:v>
                </c:pt>
                <c:pt idx="25">
                  <c:v>3.9999999999999991</c:v>
                </c:pt>
                <c:pt idx="26">
                  <c:v>3.8461538461538454</c:v>
                </c:pt>
                <c:pt idx="27">
                  <c:v>3.7037037037037028</c:v>
                </c:pt>
                <c:pt idx="28">
                  <c:v>3.5714285714285703</c:v>
                </c:pt>
                <c:pt idx="29">
                  <c:v>3.4482758620689644</c:v>
                </c:pt>
                <c:pt idx="30">
                  <c:v>3.3333333333333321</c:v>
                </c:pt>
                <c:pt idx="31">
                  <c:v>3.2258064516129021</c:v>
                </c:pt>
                <c:pt idx="32">
                  <c:v>3.1249999999999987</c:v>
                </c:pt>
                <c:pt idx="33">
                  <c:v>3.0303030303030289</c:v>
                </c:pt>
                <c:pt idx="34">
                  <c:v>2.9411764705882342</c:v>
                </c:pt>
                <c:pt idx="35">
                  <c:v>2.8571428571428559</c:v>
                </c:pt>
                <c:pt idx="36">
                  <c:v>2.7777777777777768</c:v>
                </c:pt>
                <c:pt idx="37">
                  <c:v>2.7027027027027013</c:v>
                </c:pt>
                <c:pt idx="38">
                  <c:v>2.6315789473684199</c:v>
                </c:pt>
                <c:pt idx="39">
                  <c:v>2.564102564102563</c:v>
                </c:pt>
                <c:pt idx="40">
                  <c:v>2.4999999999999987</c:v>
                </c:pt>
                <c:pt idx="41">
                  <c:v>2.4390243902439011</c:v>
                </c:pt>
                <c:pt idx="42">
                  <c:v>2.3809523809523796</c:v>
                </c:pt>
                <c:pt idx="43">
                  <c:v>2.325581395348836</c:v>
                </c:pt>
                <c:pt idx="44">
                  <c:v>2.2727272727272716</c:v>
                </c:pt>
                <c:pt idx="45">
                  <c:v>2.222222222222221</c:v>
                </c:pt>
                <c:pt idx="46">
                  <c:v>2.1739130434782599</c:v>
                </c:pt>
                <c:pt idx="47">
                  <c:v>2.1276595744680842</c:v>
                </c:pt>
                <c:pt idx="48">
                  <c:v>2.0833333333333321</c:v>
                </c:pt>
                <c:pt idx="49">
                  <c:v>2.040816326530611</c:v>
                </c:pt>
                <c:pt idx="50">
                  <c:v>1.9999999999999991</c:v>
                </c:pt>
              </c:numCache>
            </c:numRef>
          </c:yVal>
          <c:smooth val="0"/>
          <c:extLst>
            <c:ext xmlns:c16="http://schemas.microsoft.com/office/drawing/2014/chart" uri="{C3380CC4-5D6E-409C-BE32-E72D297353CC}">
              <c16:uniqueId val="{00000000-FD53-4112-8F9C-72E410C42CF4}"/>
            </c:ext>
          </c:extLst>
        </c:ser>
        <c:ser>
          <c:idx val="1"/>
          <c:order val="1"/>
          <c:tx>
            <c:strRef>
              <c:f>'Selective reporting'!$L$367</c:f>
              <c:strCache>
                <c:ptCount val="1"/>
                <c:pt idx="0">
                  <c:v>Study est.</c:v>
                </c:pt>
              </c:strCache>
            </c:strRef>
          </c:tx>
          <c:spPr>
            <a:ln w="19050" cap="rnd">
              <a:noFill/>
              <a:round/>
            </a:ln>
            <a:effectLst/>
          </c:spPr>
          <c:marker>
            <c:symbol val="circle"/>
            <c:size val="7"/>
            <c:spPr>
              <a:solidFill>
                <a:schemeClr val="accent6"/>
              </a:solidFill>
              <a:ln w="9525">
                <a:solidFill>
                  <a:schemeClr val="tx1"/>
                </a:solidFill>
              </a:ln>
              <a:effectLst/>
            </c:spPr>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reporting'!$L$368:$L$430</c:f>
              <c:numCache>
                <c:formatCode>General</c:formatCode>
                <c:ptCount val="63"/>
                <c:pt idx="51" formatCode="#,##0">
                  <c:v>121.67247106984857</c:v>
                </c:pt>
                <c:pt idx="52" formatCode="#,##0">
                  <c:v>253.19040611845321</c:v>
                </c:pt>
                <c:pt idx="53" formatCode="#,##0">
                  <c:v>69.353960322273991</c:v>
                </c:pt>
                <c:pt idx="54" formatCode="#,##0">
                  <c:v>50.698458391471817</c:v>
                </c:pt>
                <c:pt idx="55" formatCode="#,##0">
                  <c:v>11.006767002170761</c:v>
                </c:pt>
                <c:pt idx="56" formatCode="#,##0">
                  <c:v>180.78261028780804</c:v>
                </c:pt>
                <c:pt idx="57" formatCode="#,##0">
                  <c:v>22.107891175039015</c:v>
                </c:pt>
                <c:pt idx="58" formatCode="#,##0">
                  <c:v>35.568164051769656</c:v>
                </c:pt>
              </c:numCache>
            </c:numRef>
          </c:yVal>
          <c:smooth val="0"/>
          <c:extLst>
            <c:ext xmlns:c16="http://schemas.microsoft.com/office/drawing/2014/chart" uri="{C3380CC4-5D6E-409C-BE32-E72D297353CC}">
              <c16:uniqueId val="{00000001-FD53-4112-8F9C-72E410C42CF4}"/>
            </c:ext>
          </c:extLst>
        </c:ser>
        <c:ser>
          <c:idx val="2"/>
          <c:order val="2"/>
          <c:tx>
            <c:strRef>
              <c:f>'Selective reporting'!$M$367</c:f>
              <c:strCache>
                <c:ptCount val="1"/>
                <c:pt idx="0">
                  <c:v>PWA (-3.2%)</c:v>
                </c:pt>
              </c:strCache>
            </c:strRef>
          </c:tx>
          <c:spPr>
            <a:ln w="25400" cap="rnd">
              <a:solidFill>
                <a:schemeClr val="tx1"/>
              </a:solidFill>
              <a:prstDash val="sysDash"/>
              <a:round/>
            </a:ln>
            <a:effectLst/>
          </c:spPr>
          <c:marker>
            <c:symbol val="none"/>
          </c:marker>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reporting'!$M$368:$M$430</c:f>
              <c:numCache>
                <c:formatCode>General</c:formatCode>
                <c:ptCount val="63"/>
                <c:pt idx="0">
                  <c:v>0</c:v>
                </c:pt>
                <c:pt idx="59" formatCode="#,##0">
                  <c:v>0</c:v>
                </c:pt>
                <c:pt idx="60" formatCode="#,##0">
                  <c:v>1000000</c:v>
                </c:pt>
              </c:numCache>
            </c:numRef>
          </c:yVal>
          <c:smooth val="0"/>
          <c:extLst>
            <c:ext xmlns:c16="http://schemas.microsoft.com/office/drawing/2014/chart" uri="{C3380CC4-5D6E-409C-BE32-E72D297353CC}">
              <c16:uniqueId val="{00000002-FD53-4112-8F9C-72E410C42CF4}"/>
            </c:ext>
          </c:extLst>
        </c:ser>
        <c:ser>
          <c:idx val="3"/>
          <c:order val="3"/>
          <c:tx>
            <c:strRef>
              <c:f>'Selective reporting'!$N$367</c:f>
              <c:strCache>
                <c:ptCount val="1"/>
                <c:pt idx="0">
                  <c:v>FAT-PET MRA (-2.2%)</c:v>
                </c:pt>
              </c:strCache>
            </c:strRef>
          </c:tx>
          <c:spPr>
            <a:ln w="19050" cap="rnd">
              <a:solidFill>
                <a:schemeClr val="tx1"/>
              </a:solidFill>
              <a:prstDash val="sysDot"/>
              <a:round/>
            </a:ln>
            <a:effectLst/>
          </c:spPr>
          <c:marker>
            <c:symbol val="none"/>
          </c:marker>
          <c:dPt>
            <c:idx val="62"/>
            <c:marker>
              <c:symbol val="none"/>
            </c:marker>
            <c:bubble3D val="0"/>
            <c:spPr>
              <a:ln w="19050" cap="rnd">
                <a:solidFill>
                  <a:schemeClr val="tx1"/>
                </a:solidFill>
                <a:prstDash val="sysDot"/>
                <a:round/>
              </a:ln>
              <a:effectLst/>
            </c:spPr>
            <c:extLst>
              <c:ext xmlns:c16="http://schemas.microsoft.com/office/drawing/2014/chart" uri="{C3380CC4-5D6E-409C-BE32-E72D297353CC}">
                <c16:uniqueId val="{00000004-FD53-4112-8F9C-72E410C42CF4}"/>
              </c:ext>
            </c:extLst>
          </c:dPt>
          <c:xVal>
            <c:numRef>
              <c:f>'Selective reporting'!$I$368:$I$430</c:f>
              <c:numCache>
                <c:formatCode>0.0%</c:formatCode>
                <c:ptCount val="63"/>
                <c:pt idx="0">
                  <c:v>-2.1912097494807888E-2</c:v>
                </c:pt>
                <c:pt idx="1">
                  <c:v>-3.1626678122281489E-2</c:v>
                </c:pt>
                <c:pt idx="2">
                  <c:v>-4.1341258749755083E-2</c:v>
                </c:pt>
                <c:pt idx="3">
                  <c:v>-5.1055839377228684E-2</c:v>
                </c:pt>
                <c:pt idx="4">
                  <c:v>-6.0770420004702286E-2</c:v>
                </c:pt>
                <c:pt idx="5">
                  <c:v>-7.0485000632175887E-2</c:v>
                </c:pt>
                <c:pt idx="6">
                  <c:v>-8.0199581259649488E-2</c:v>
                </c:pt>
                <c:pt idx="7">
                  <c:v>-8.991416188712309E-2</c:v>
                </c:pt>
                <c:pt idx="8">
                  <c:v>-9.9628742514596691E-2</c:v>
                </c:pt>
                <c:pt idx="9">
                  <c:v>-0.10934332314207026</c:v>
                </c:pt>
                <c:pt idx="10">
                  <c:v>-0.11905790376954387</c:v>
                </c:pt>
                <c:pt idx="11">
                  <c:v>-0.12877248439701747</c:v>
                </c:pt>
                <c:pt idx="12">
                  <c:v>-0.13848706502449107</c:v>
                </c:pt>
                <c:pt idx="13">
                  <c:v>-0.14820164565196464</c:v>
                </c:pt>
                <c:pt idx="14">
                  <c:v>-0.15791622627943824</c:v>
                </c:pt>
                <c:pt idx="15">
                  <c:v>-0.16763080690691187</c:v>
                </c:pt>
                <c:pt idx="16">
                  <c:v>-0.17734538753438547</c:v>
                </c:pt>
                <c:pt idx="17">
                  <c:v>-0.18705996816185907</c:v>
                </c:pt>
                <c:pt idx="18">
                  <c:v>-0.19677454878933268</c:v>
                </c:pt>
                <c:pt idx="19">
                  <c:v>-0.20648912941680631</c:v>
                </c:pt>
                <c:pt idx="20">
                  <c:v>-0.21620371004427991</c:v>
                </c:pt>
                <c:pt idx="21">
                  <c:v>-0.22591829067175351</c:v>
                </c:pt>
                <c:pt idx="22">
                  <c:v>-0.23563287129922711</c:v>
                </c:pt>
                <c:pt idx="23">
                  <c:v>-0.24534745192670071</c:v>
                </c:pt>
                <c:pt idx="24">
                  <c:v>-0.25506203255417437</c:v>
                </c:pt>
                <c:pt idx="25">
                  <c:v>-0.26477661318164791</c:v>
                </c:pt>
                <c:pt idx="26">
                  <c:v>-0.27449119380912151</c:v>
                </c:pt>
                <c:pt idx="27">
                  <c:v>-0.28420577443659512</c:v>
                </c:pt>
                <c:pt idx="28">
                  <c:v>-0.29392035506406872</c:v>
                </c:pt>
                <c:pt idx="29">
                  <c:v>-0.30363493569154232</c:v>
                </c:pt>
                <c:pt idx="30">
                  <c:v>-0.31334951631901597</c:v>
                </c:pt>
                <c:pt idx="31">
                  <c:v>-0.32306409694648958</c:v>
                </c:pt>
                <c:pt idx="32">
                  <c:v>-0.33277867757396318</c:v>
                </c:pt>
                <c:pt idx="33">
                  <c:v>-0.34249325820143678</c:v>
                </c:pt>
                <c:pt idx="34">
                  <c:v>-0.35220783882891038</c:v>
                </c:pt>
                <c:pt idx="35">
                  <c:v>-0.36192241945638398</c:v>
                </c:pt>
                <c:pt idx="36">
                  <c:v>-0.37163700008385758</c:v>
                </c:pt>
                <c:pt idx="37">
                  <c:v>-0.38135158071133118</c:v>
                </c:pt>
                <c:pt idx="38">
                  <c:v>-0.39106616133880479</c:v>
                </c:pt>
                <c:pt idx="39">
                  <c:v>-0.40078074196627844</c:v>
                </c:pt>
                <c:pt idx="40">
                  <c:v>-0.41049532259375204</c:v>
                </c:pt>
                <c:pt idx="41">
                  <c:v>-0.42020990322122564</c:v>
                </c:pt>
                <c:pt idx="42">
                  <c:v>-0.42992448384869925</c:v>
                </c:pt>
                <c:pt idx="43">
                  <c:v>-0.43963906447617285</c:v>
                </c:pt>
                <c:pt idx="44">
                  <c:v>-0.44935364510364645</c:v>
                </c:pt>
                <c:pt idx="45">
                  <c:v>-0.45906822573112005</c:v>
                </c:pt>
                <c:pt idx="46">
                  <c:v>-0.46878280635859365</c:v>
                </c:pt>
                <c:pt idx="47">
                  <c:v>-0.47849738698606731</c:v>
                </c:pt>
                <c:pt idx="48">
                  <c:v>-0.48821196761354091</c:v>
                </c:pt>
                <c:pt idx="49">
                  <c:v>-0.49792654824101451</c:v>
                </c:pt>
                <c:pt idx="50">
                  <c:v>-0.50764112886848811</c:v>
                </c:pt>
                <c:pt idx="51" formatCode="0.000%">
                  <c:v>-3.0820447444083188E-3</c:v>
                </c:pt>
                <c:pt idx="52" formatCode="0.000%">
                  <c:v>-4.0159765066823672E-2</c:v>
                </c:pt>
                <c:pt idx="53" formatCode="0.000%">
                  <c:v>0.11715264654310653</c:v>
                </c:pt>
                <c:pt idx="54" formatCode="0.000%">
                  <c:v>-7.5420107976104989E-2</c:v>
                </c:pt>
                <c:pt idx="55" formatCode="0.000%">
                  <c:v>-0.3534582598710535</c:v>
                </c:pt>
                <c:pt idx="56" formatCode="0.000%">
                  <c:v>-2.4009081653636168E-2</c:v>
                </c:pt>
                <c:pt idx="57" formatCode="0.000%">
                  <c:v>-0.16329011082141937</c:v>
                </c:pt>
                <c:pt idx="58" formatCode="0.000%">
                  <c:v>-0.16869018010788994</c:v>
                </c:pt>
                <c:pt idx="59">
                  <c:v>-3.2352540409668055E-2</c:v>
                </c:pt>
                <c:pt idx="60">
                  <c:v>-3.2352540409668055E-2</c:v>
                </c:pt>
                <c:pt idx="61">
                  <c:v>-2.1912097494807888E-2</c:v>
                </c:pt>
                <c:pt idx="62">
                  <c:v>-2.1912097494807888E-2</c:v>
                </c:pt>
              </c:numCache>
            </c:numRef>
          </c:xVal>
          <c:yVal>
            <c:numRef>
              <c:f>'Selective reporting'!$N$368:$N$430</c:f>
              <c:numCache>
                <c:formatCode>General</c:formatCode>
                <c:ptCount val="63"/>
                <c:pt idx="61">
                  <c:v>0</c:v>
                </c:pt>
                <c:pt idx="62" formatCode="#,##0">
                  <c:v>1000000</c:v>
                </c:pt>
              </c:numCache>
            </c:numRef>
          </c:yVal>
          <c:smooth val="0"/>
          <c:extLst>
            <c:ext xmlns:c16="http://schemas.microsoft.com/office/drawing/2014/chart" uri="{C3380CC4-5D6E-409C-BE32-E72D297353CC}">
              <c16:uniqueId val="{00000005-FD53-4112-8F9C-72E410C42CF4}"/>
            </c:ext>
          </c:extLst>
        </c:ser>
        <c:dLbls>
          <c:showLegendKey val="0"/>
          <c:showVal val="0"/>
          <c:showCatName val="0"/>
          <c:showSerName val="0"/>
          <c:showPercent val="0"/>
          <c:showBubbleSize val="0"/>
        </c:dLbls>
        <c:axId val="1868940431"/>
        <c:axId val="1868942831"/>
      </c:scatterChart>
      <c:valAx>
        <c:axId val="1868940431"/>
        <c:scaling>
          <c:orientation val="minMax"/>
          <c:max val="0.45"/>
          <c:min val="-0.4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r>
                  <a:rPr lang="da-DK"/>
                  <a:t>Estimated</a:t>
                </a:r>
                <a:r>
                  <a:rPr lang="da-DK" baseline="0"/>
                  <a:t> effect</a:t>
                </a:r>
                <a:endParaRPr lang="da-DK"/>
              </a:p>
            </c:rich>
          </c:tx>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68942831"/>
        <c:crosses val="autoZero"/>
        <c:crossBetween val="midCat"/>
        <c:majorUnit val="0.15000000000000002"/>
      </c:valAx>
      <c:valAx>
        <c:axId val="1868942831"/>
        <c:scaling>
          <c:orientation val="minMax"/>
          <c:max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r>
                  <a:rPr lang="da-DK"/>
                  <a:t>1/SE</a:t>
                </a:r>
              </a:p>
            </c:rich>
          </c:tx>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title>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crossAx val="1868940431"/>
        <c:crossesAt val="-0.45"/>
        <c:crossBetween val="midCat"/>
      </c:valAx>
      <c:spPr>
        <a:noFill/>
        <a:ln>
          <a:noFill/>
        </a:ln>
        <a:effectLst/>
      </c:spPr>
    </c:plotArea>
    <c:legend>
      <c:legendPos val="b"/>
      <c:legendEntry>
        <c:idx val="1"/>
        <c:delete val="1"/>
      </c:legendEntry>
      <c:legendEntry>
        <c:idx val="3"/>
        <c:delete val="1"/>
      </c:legendEntry>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mn-lt"/>
              <a:ea typeface="+mn-ea"/>
              <a:cs typeface="+mn-cs"/>
            </a:defRPr>
          </a:pPr>
          <a:endParaRPr lang="da-DK"/>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sz="800">
          <a:solidFill>
            <a:sysClr val="windowText" lastClr="000000"/>
          </a:solidFill>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4.png"/><Relationship Id="rId7" Type="http://schemas.openxmlformats.org/officeDocument/2006/relationships/image" Target="../media/image7.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6.jpe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chart" Target="../charts/chart1.xml"/><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7.xml"/><Relationship Id="rId5" Type="http://schemas.openxmlformats.org/officeDocument/2006/relationships/chart" Target="../charts/chart6.xml"/><Relationship Id="rId4" Type="http://schemas.openxmlformats.org/officeDocument/2006/relationships/chart" Target="../charts/chart5.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1.jpeg"/></Relationships>
</file>

<file path=xl/drawings/drawing1.xml><?xml version="1.0" encoding="utf-8"?>
<xdr:wsDr xmlns:xdr="http://schemas.openxmlformats.org/drawingml/2006/spreadsheetDrawing" xmlns:a="http://schemas.openxmlformats.org/drawingml/2006/main">
  <xdr:twoCellAnchor>
    <xdr:from>
      <xdr:col>5</xdr:col>
      <xdr:colOff>485775</xdr:colOff>
      <xdr:row>1077</xdr:row>
      <xdr:rowOff>148590</xdr:rowOff>
    </xdr:from>
    <xdr:to>
      <xdr:col>12</xdr:col>
      <xdr:colOff>129540</xdr:colOff>
      <xdr:row>1083</xdr:row>
      <xdr:rowOff>70261</xdr:rowOff>
    </xdr:to>
    <xdr:sp macro="" textlink="">
      <xdr:nvSpPr>
        <xdr:cNvPr id="2" name="Rectangle 1">
          <a:extLst>
            <a:ext uri="{FF2B5EF4-FFF2-40B4-BE49-F238E27FC236}">
              <a16:creationId xmlns:a16="http://schemas.microsoft.com/office/drawing/2014/main" id="{05ED9490-8C30-4667-A2CE-9BAEE18D3303}"/>
            </a:ext>
          </a:extLst>
        </xdr:cNvPr>
        <xdr:cNvSpPr/>
      </xdr:nvSpPr>
      <xdr:spPr>
        <a:xfrm>
          <a:off x="9305925" y="112191165"/>
          <a:ext cx="9616440" cy="10075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da-DK" sz="1100"/>
            <a:t>"the column 4 estimated coefficients of -0.049 and -0.060 on mandatory masks and employee masks, respectively, are significant, both statistically and in magnitude (they imply reductions in new deaths that are approximately 12.5% and 15.3% of the sample mean weekly new deaths of .393 per 10,000 population)."</a:t>
          </a:r>
        </a:p>
      </xdr:txBody>
    </xdr:sp>
    <xdr:clientData/>
  </xdr:twoCellAnchor>
  <xdr:twoCellAnchor editAs="oneCell">
    <xdr:from>
      <xdr:col>21</xdr:col>
      <xdr:colOff>62417</xdr:colOff>
      <xdr:row>1027</xdr:row>
      <xdr:rowOff>66675</xdr:rowOff>
    </xdr:from>
    <xdr:to>
      <xdr:col>31</xdr:col>
      <xdr:colOff>533251</xdr:colOff>
      <xdr:row>1045</xdr:row>
      <xdr:rowOff>19806</xdr:rowOff>
    </xdr:to>
    <xdr:pic>
      <xdr:nvPicPr>
        <xdr:cNvPr id="3" name="Picture 2">
          <a:extLst>
            <a:ext uri="{FF2B5EF4-FFF2-40B4-BE49-F238E27FC236}">
              <a16:creationId xmlns:a16="http://schemas.microsoft.com/office/drawing/2014/main" id="{3855ECC6-DC36-43F0-89A1-9C728A54DF28}"/>
            </a:ext>
          </a:extLst>
        </xdr:cNvPr>
        <xdr:cNvPicPr>
          <a:picLocks noChangeAspect="1"/>
        </xdr:cNvPicPr>
      </xdr:nvPicPr>
      <xdr:blipFill>
        <a:blip xmlns:r="http://schemas.openxmlformats.org/officeDocument/2006/relationships" r:embed="rId1"/>
        <a:stretch>
          <a:fillRect/>
        </a:stretch>
      </xdr:blipFill>
      <xdr:spPr>
        <a:xfrm>
          <a:off x="25827542" y="151933275"/>
          <a:ext cx="5852459" cy="3197347"/>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8</xdr:col>
      <xdr:colOff>146573</xdr:colOff>
      <xdr:row>1093</xdr:row>
      <xdr:rowOff>88414</xdr:rowOff>
    </xdr:from>
    <xdr:to>
      <xdr:col>11</xdr:col>
      <xdr:colOff>1275077</xdr:colOff>
      <xdr:row>1122</xdr:row>
      <xdr:rowOff>94861</xdr:rowOff>
    </xdr:to>
    <xdr:pic>
      <xdr:nvPicPr>
        <xdr:cNvPr id="5" name="Picture 4">
          <a:extLst>
            <a:ext uri="{FF2B5EF4-FFF2-40B4-BE49-F238E27FC236}">
              <a16:creationId xmlns:a16="http://schemas.microsoft.com/office/drawing/2014/main" id="{56A88F1A-BF20-4081-81EF-086AF088464E}"/>
            </a:ext>
          </a:extLst>
        </xdr:cNvPr>
        <xdr:cNvPicPr>
          <a:picLocks noChangeAspect="1"/>
        </xdr:cNvPicPr>
      </xdr:nvPicPr>
      <xdr:blipFill>
        <a:blip xmlns:r="http://schemas.openxmlformats.org/officeDocument/2006/relationships" r:embed="rId2"/>
        <a:stretch>
          <a:fillRect/>
        </a:stretch>
      </xdr:blipFill>
      <xdr:spPr>
        <a:xfrm>
          <a:off x="13186298" y="161441914"/>
          <a:ext cx="5586204" cy="5254722"/>
        </a:xfrm>
        <a:prstGeom prst="rect">
          <a:avLst/>
        </a:prstGeom>
      </xdr:spPr>
    </xdr:pic>
    <xdr:clientData/>
  </xdr:twoCellAnchor>
  <xdr:twoCellAnchor editAs="oneCell">
    <xdr:from>
      <xdr:col>8</xdr:col>
      <xdr:colOff>1724025</xdr:colOff>
      <xdr:row>1161</xdr:row>
      <xdr:rowOff>54685</xdr:rowOff>
    </xdr:from>
    <xdr:to>
      <xdr:col>11</xdr:col>
      <xdr:colOff>1451276</xdr:colOff>
      <xdr:row>1175</xdr:row>
      <xdr:rowOff>135222</xdr:rowOff>
    </xdr:to>
    <xdr:pic>
      <xdr:nvPicPr>
        <xdr:cNvPr id="13" name="Picture 12">
          <a:extLst>
            <a:ext uri="{FF2B5EF4-FFF2-40B4-BE49-F238E27FC236}">
              <a16:creationId xmlns:a16="http://schemas.microsoft.com/office/drawing/2014/main" id="{70C1B1CC-11A0-47A9-9AF7-88DCBE2FA454}"/>
            </a:ext>
          </a:extLst>
        </xdr:cNvPr>
        <xdr:cNvPicPr>
          <a:picLocks noChangeAspect="1"/>
        </xdr:cNvPicPr>
      </xdr:nvPicPr>
      <xdr:blipFill>
        <a:blip xmlns:r="http://schemas.openxmlformats.org/officeDocument/2006/relationships" r:embed="rId3"/>
        <a:stretch>
          <a:fillRect/>
        </a:stretch>
      </xdr:blipFill>
      <xdr:spPr>
        <a:xfrm>
          <a:off x="14706600" y="158541160"/>
          <a:ext cx="4318301" cy="2619903"/>
        </a:xfrm>
        <a:prstGeom prst="rect">
          <a:avLst/>
        </a:prstGeom>
      </xdr:spPr>
    </xdr:pic>
    <xdr:clientData/>
  </xdr:twoCellAnchor>
  <xdr:twoCellAnchor>
    <xdr:from>
      <xdr:col>14</xdr:col>
      <xdr:colOff>582706</xdr:colOff>
      <xdr:row>1173</xdr:row>
      <xdr:rowOff>134470</xdr:rowOff>
    </xdr:from>
    <xdr:to>
      <xdr:col>14</xdr:col>
      <xdr:colOff>582706</xdr:colOff>
      <xdr:row>1176</xdr:row>
      <xdr:rowOff>0</xdr:rowOff>
    </xdr:to>
    <xdr:cxnSp macro="">
      <xdr:nvCxnSpPr>
        <xdr:cNvPr id="16" name="Straight Connector 15">
          <a:extLst>
            <a:ext uri="{FF2B5EF4-FFF2-40B4-BE49-F238E27FC236}">
              <a16:creationId xmlns:a16="http://schemas.microsoft.com/office/drawing/2014/main" id="{E187CD86-4F8F-4F82-8281-3F5869810FBD}"/>
            </a:ext>
          </a:extLst>
        </xdr:cNvPr>
        <xdr:cNvCxnSpPr/>
      </xdr:nvCxnSpPr>
      <xdr:spPr bwMode="auto">
        <a:xfrm>
          <a:off x="18848294" y="92000294"/>
          <a:ext cx="0" cy="459441"/>
        </a:xfrm>
        <a:prstGeom prst="line">
          <a:avLst/>
        </a:prstGeom>
        <a:solidFill>
          <a:schemeClr val="accent1"/>
        </a:solidFill>
        <a:ln w="9525" cap="flat" cmpd="sng" algn="ctr">
          <a:solidFill>
            <a:schemeClr val="tx1"/>
          </a:solidFill>
          <a:prstDash val="solid"/>
          <a:round/>
          <a:headEnd type="none" w="med" len="med"/>
          <a:tailEnd type="none" w="med" len="med"/>
        </a:ln>
        <a:effectLst/>
      </xdr:spPr>
    </xdr:cxnSp>
    <xdr:clientData/>
  </xdr:twoCellAnchor>
  <xdr:twoCellAnchor>
    <xdr:from>
      <xdr:col>15</xdr:col>
      <xdr:colOff>11205</xdr:colOff>
      <xdr:row>1173</xdr:row>
      <xdr:rowOff>134470</xdr:rowOff>
    </xdr:from>
    <xdr:to>
      <xdr:col>15</xdr:col>
      <xdr:colOff>11205</xdr:colOff>
      <xdr:row>1176</xdr:row>
      <xdr:rowOff>0</xdr:rowOff>
    </xdr:to>
    <xdr:cxnSp macro="">
      <xdr:nvCxnSpPr>
        <xdr:cNvPr id="18" name="Straight Connector 17">
          <a:extLst>
            <a:ext uri="{FF2B5EF4-FFF2-40B4-BE49-F238E27FC236}">
              <a16:creationId xmlns:a16="http://schemas.microsoft.com/office/drawing/2014/main" id="{6864C4C3-AE48-4BF9-BC61-5993D3307628}"/>
            </a:ext>
          </a:extLst>
        </xdr:cNvPr>
        <xdr:cNvCxnSpPr/>
      </xdr:nvCxnSpPr>
      <xdr:spPr bwMode="auto">
        <a:xfrm>
          <a:off x="18893117" y="92000294"/>
          <a:ext cx="0" cy="968400"/>
        </a:xfrm>
        <a:prstGeom prst="line">
          <a:avLst/>
        </a:prstGeom>
        <a:solidFill>
          <a:schemeClr val="accent1"/>
        </a:solidFill>
        <a:ln w="9525" cap="flat" cmpd="sng" algn="ctr">
          <a:solidFill>
            <a:schemeClr val="tx1"/>
          </a:solidFill>
          <a:prstDash val="solid"/>
          <a:round/>
          <a:headEnd type="none" w="med" len="med"/>
          <a:tailEnd type="none" w="med" len="med"/>
        </a:ln>
        <a:effectLst/>
      </xdr:spPr>
    </xdr:cxnSp>
    <xdr:clientData/>
  </xdr:twoCellAnchor>
  <xdr:twoCellAnchor>
    <xdr:from>
      <xdr:col>20</xdr:col>
      <xdr:colOff>179294</xdr:colOff>
      <xdr:row>701</xdr:row>
      <xdr:rowOff>89649</xdr:rowOff>
    </xdr:from>
    <xdr:to>
      <xdr:col>26</xdr:col>
      <xdr:colOff>358588</xdr:colOff>
      <xdr:row>724</xdr:row>
      <xdr:rowOff>112059</xdr:rowOff>
    </xdr:to>
    <xdr:graphicFrame macro="">
      <xdr:nvGraphicFramePr>
        <xdr:cNvPr id="27" name="Chart 7">
          <a:extLst>
            <a:ext uri="{FF2B5EF4-FFF2-40B4-BE49-F238E27FC236}">
              <a16:creationId xmlns:a16="http://schemas.microsoft.com/office/drawing/2014/main" id="{BB1BF322-655D-4FCD-A188-23A2C78F40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12</xdr:col>
      <xdr:colOff>381000</xdr:colOff>
      <xdr:row>1230</xdr:row>
      <xdr:rowOff>0</xdr:rowOff>
    </xdr:from>
    <xdr:to>
      <xdr:col>19</xdr:col>
      <xdr:colOff>57517</xdr:colOff>
      <xdr:row>1251</xdr:row>
      <xdr:rowOff>117975</xdr:rowOff>
    </xdr:to>
    <xdr:pic>
      <xdr:nvPicPr>
        <xdr:cNvPr id="8" name="Picture 7">
          <a:extLst>
            <a:ext uri="{FF2B5EF4-FFF2-40B4-BE49-F238E27FC236}">
              <a16:creationId xmlns:a16="http://schemas.microsoft.com/office/drawing/2014/main" id="{AC923456-FC94-4B87-BEA7-3AF4FE8D2360}"/>
            </a:ext>
          </a:extLst>
        </xdr:cNvPr>
        <xdr:cNvPicPr>
          <a:picLocks noChangeAspect="1"/>
        </xdr:cNvPicPr>
      </xdr:nvPicPr>
      <xdr:blipFill>
        <a:blip xmlns:r="http://schemas.openxmlformats.org/officeDocument/2006/relationships" r:embed="rId5"/>
        <a:stretch>
          <a:fillRect/>
        </a:stretch>
      </xdr:blipFill>
      <xdr:spPr>
        <a:xfrm>
          <a:off x="18915529" y="175907936"/>
          <a:ext cx="5649364" cy="3942768"/>
        </a:xfrm>
        <a:prstGeom prst="rect">
          <a:avLst/>
        </a:prstGeom>
      </xdr:spPr>
    </xdr:pic>
    <xdr:clientData/>
  </xdr:twoCellAnchor>
  <xdr:twoCellAnchor editAs="oneCell">
    <xdr:from>
      <xdr:col>23</xdr:col>
      <xdr:colOff>217716</xdr:colOff>
      <xdr:row>1336</xdr:row>
      <xdr:rowOff>69446</xdr:rowOff>
    </xdr:from>
    <xdr:to>
      <xdr:col>42</xdr:col>
      <xdr:colOff>552429</xdr:colOff>
      <xdr:row>1360</xdr:row>
      <xdr:rowOff>148979</xdr:rowOff>
    </xdr:to>
    <xdr:pic>
      <xdr:nvPicPr>
        <xdr:cNvPr id="19" name="Picture 18" descr="Extended Data Fig. 1">
          <a:extLst>
            <a:ext uri="{FF2B5EF4-FFF2-40B4-BE49-F238E27FC236}">
              <a16:creationId xmlns:a16="http://schemas.microsoft.com/office/drawing/2014/main" id="{1F38EDCB-956F-49A9-B716-86C632D2CB8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6411466" y="201332696"/>
          <a:ext cx="11540739" cy="4459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1447800</xdr:colOff>
      <xdr:row>1093</xdr:row>
      <xdr:rowOff>104775</xdr:rowOff>
    </xdr:from>
    <xdr:to>
      <xdr:col>22</xdr:col>
      <xdr:colOff>276747</xdr:colOff>
      <xdr:row>1114</xdr:row>
      <xdr:rowOff>111355</xdr:rowOff>
    </xdr:to>
    <xdr:pic>
      <xdr:nvPicPr>
        <xdr:cNvPr id="4" name="Picture 3">
          <a:extLst>
            <a:ext uri="{FF2B5EF4-FFF2-40B4-BE49-F238E27FC236}">
              <a16:creationId xmlns:a16="http://schemas.microsoft.com/office/drawing/2014/main" id="{B58EB3D6-F938-4E06-ACA5-498C0F03A6BC}"/>
            </a:ext>
          </a:extLst>
        </xdr:cNvPr>
        <xdr:cNvPicPr>
          <a:picLocks noChangeAspect="1"/>
        </xdr:cNvPicPr>
      </xdr:nvPicPr>
      <xdr:blipFill>
        <a:blip xmlns:r="http://schemas.openxmlformats.org/officeDocument/2006/relationships" r:embed="rId7"/>
        <a:stretch>
          <a:fillRect/>
        </a:stretch>
      </xdr:blipFill>
      <xdr:spPr>
        <a:xfrm>
          <a:off x="18526125" y="140684250"/>
          <a:ext cx="7891257" cy="3807055"/>
        </a:xfrm>
        <a:prstGeom prst="rect">
          <a:avLst/>
        </a:prstGeom>
      </xdr:spPr>
    </xdr:pic>
    <xdr:clientData/>
  </xdr:twoCellAnchor>
  <xdr:twoCellAnchor editAs="oneCell">
    <xdr:from>
      <xdr:col>23</xdr:col>
      <xdr:colOff>323850</xdr:colOff>
      <xdr:row>1093</xdr:row>
      <xdr:rowOff>142875</xdr:rowOff>
    </xdr:from>
    <xdr:to>
      <xdr:col>33</xdr:col>
      <xdr:colOff>282731</xdr:colOff>
      <xdr:row>1113</xdr:row>
      <xdr:rowOff>171960</xdr:rowOff>
    </xdr:to>
    <xdr:pic>
      <xdr:nvPicPr>
        <xdr:cNvPr id="6" name="Picture 5">
          <a:extLst>
            <a:ext uri="{FF2B5EF4-FFF2-40B4-BE49-F238E27FC236}">
              <a16:creationId xmlns:a16="http://schemas.microsoft.com/office/drawing/2014/main" id="{6137BE03-390D-4F62-AA58-6403168722D5}"/>
            </a:ext>
          </a:extLst>
        </xdr:cNvPr>
        <xdr:cNvPicPr>
          <a:picLocks noChangeAspect="1"/>
        </xdr:cNvPicPr>
      </xdr:nvPicPr>
      <xdr:blipFill>
        <a:blip xmlns:r="http://schemas.openxmlformats.org/officeDocument/2006/relationships" r:embed="rId8"/>
        <a:stretch>
          <a:fillRect/>
        </a:stretch>
      </xdr:blipFill>
      <xdr:spPr>
        <a:xfrm>
          <a:off x="26517600" y="140722350"/>
          <a:ext cx="5658640" cy="3648584"/>
        </a:xfrm>
        <a:prstGeom prst="rect">
          <a:avLst/>
        </a:prstGeom>
      </xdr:spPr>
    </xdr:pic>
    <xdr:clientData/>
  </xdr:twoCellAnchor>
  <xdr:twoCellAnchor editAs="oneCell">
    <xdr:from>
      <xdr:col>8</xdr:col>
      <xdr:colOff>41462</xdr:colOff>
      <xdr:row>1131</xdr:row>
      <xdr:rowOff>42582</xdr:rowOff>
    </xdr:from>
    <xdr:to>
      <xdr:col>11</xdr:col>
      <xdr:colOff>42084</xdr:colOff>
      <xdr:row>1155</xdr:row>
      <xdr:rowOff>72326</xdr:rowOff>
    </xdr:to>
    <xdr:pic>
      <xdr:nvPicPr>
        <xdr:cNvPr id="7" name="Picture 6">
          <a:extLst>
            <a:ext uri="{FF2B5EF4-FFF2-40B4-BE49-F238E27FC236}">
              <a16:creationId xmlns:a16="http://schemas.microsoft.com/office/drawing/2014/main" id="{B144DFB7-8A95-BB1D-742F-7506C37C14DD}"/>
            </a:ext>
          </a:extLst>
        </xdr:cNvPr>
        <xdr:cNvPicPr>
          <a:picLocks noChangeAspect="1"/>
        </xdr:cNvPicPr>
      </xdr:nvPicPr>
      <xdr:blipFill>
        <a:blip xmlns:r="http://schemas.openxmlformats.org/officeDocument/2006/relationships" r:embed="rId9"/>
        <a:stretch>
          <a:fillRect/>
        </a:stretch>
      </xdr:blipFill>
      <xdr:spPr>
        <a:xfrm>
          <a:off x="13073903" y="165699141"/>
          <a:ext cx="4460563" cy="4332804"/>
        </a:xfrm>
        <a:prstGeom prst="rect">
          <a:avLst/>
        </a:prstGeom>
      </xdr:spPr>
    </xdr:pic>
    <xdr:clientData/>
  </xdr:twoCellAnchor>
  <xdr:twoCellAnchor editAs="oneCell">
    <xdr:from>
      <xdr:col>11</xdr:col>
      <xdr:colOff>1400736</xdr:colOff>
      <xdr:row>1131</xdr:row>
      <xdr:rowOff>22411</xdr:rowOff>
    </xdr:from>
    <xdr:to>
      <xdr:col>16</xdr:col>
      <xdr:colOff>388908</xdr:colOff>
      <xdr:row>1155</xdr:row>
      <xdr:rowOff>53831</xdr:rowOff>
    </xdr:to>
    <xdr:pic>
      <xdr:nvPicPr>
        <xdr:cNvPr id="9" name="Picture 8">
          <a:extLst>
            <a:ext uri="{FF2B5EF4-FFF2-40B4-BE49-F238E27FC236}">
              <a16:creationId xmlns:a16="http://schemas.microsoft.com/office/drawing/2014/main" id="{FCFFB009-59FE-E17B-4051-F20AF1C61509}"/>
            </a:ext>
          </a:extLst>
        </xdr:cNvPr>
        <xdr:cNvPicPr>
          <a:picLocks noChangeAspect="1"/>
        </xdr:cNvPicPr>
      </xdr:nvPicPr>
      <xdr:blipFill>
        <a:blip xmlns:r="http://schemas.openxmlformats.org/officeDocument/2006/relationships" r:embed="rId10"/>
        <a:stretch>
          <a:fillRect/>
        </a:stretch>
      </xdr:blipFill>
      <xdr:spPr>
        <a:xfrm>
          <a:off x="18901888" y="168275324"/>
          <a:ext cx="4462977" cy="4404638"/>
        </a:xfrm>
        <a:prstGeom prst="rect">
          <a:avLst/>
        </a:prstGeom>
      </xdr:spPr>
    </xdr:pic>
    <xdr:clientData/>
  </xdr:twoCellAnchor>
  <xdr:twoCellAnchor>
    <xdr:from>
      <xdr:col>15</xdr:col>
      <xdr:colOff>1209262</xdr:colOff>
      <xdr:row>1138</xdr:row>
      <xdr:rowOff>16566</xdr:rowOff>
    </xdr:from>
    <xdr:to>
      <xdr:col>15</xdr:col>
      <xdr:colOff>1209262</xdr:colOff>
      <xdr:row>1145</xdr:row>
      <xdr:rowOff>99391</xdr:rowOff>
    </xdr:to>
    <xdr:cxnSp macro="">
      <xdr:nvCxnSpPr>
        <xdr:cNvPr id="11" name="Straight Connector 10">
          <a:extLst>
            <a:ext uri="{FF2B5EF4-FFF2-40B4-BE49-F238E27FC236}">
              <a16:creationId xmlns:a16="http://schemas.microsoft.com/office/drawing/2014/main" id="{5B1579C3-8D4E-A110-AC42-B31225C71CE8}"/>
            </a:ext>
          </a:extLst>
        </xdr:cNvPr>
        <xdr:cNvCxnSpPr/>
      </xdr:nvCxnSpPr>
      <xdr:spPr bwMode="auto">
        <a:xfrm>
          <a:off x="22768892" y="168816131"/>
          <a:ext cx="0" cy="1358347"/>
        </a:xfrm>
        <a:prstGeom prst="line">
          <a:avLst/>
        </a:prstGeom>
        <a:solidFill>
          <a:schemeClr val="accent1"/>
        </a:solidFill>
        <a:ln w="9525" cap="flat" cmpd="sng" algn="ctr">
          <a:solidFill>
            <a:schemeClr val="tx1"/>
          </a:solidFill>
          <a:prstDash val="solid"/>
          <a:round/>
          <a:headEnd type="none" w="med" len="med"/>
          <a:tailEnd type="none" w="med" len="med"/>
        </a:ln>
        <a:effectLst/>
      </xdr:spPr>
    </xdr:cxnSp>
    <xdr:clientData/>
  </xdr:twoCellAnchor>
  <xdr:oneCellAnchor>
    <xdr:from>
      <xdr:col>5</xdr:col>
      <xdr:colOff>66261</xdr:colOff>
      <xdr:row>1022</xdr:row>
      <xdr:rowOff>8283</xdr:rowOff>
    </xdr:from>
    <xdr:ext cx="3992218" cy="276935"/>
    <xdr:sp macro="" textlink="">
      <xdr:nvSpPr>
        <xdr:cNvPr id="10" name="TextBox 9">
          <a:extLst>
            <a:ext uri="{FF2B5EF4-FFF2-40B4-BE49-F238E27FC236}">
              <a16:creationId xmlns:a16="http://schemas.microsoft.com/office/drawing/2014/main" id="{5E04F374-81EA-2936-B1B0-8FB4A4DCC7EE}"/>
            </a:ext>
          </a:extLst>
        </xdr:cNvPr>
        <xdr:cNvSpPr txBox="1"/>
      </xdr:nvSpPr>
      <xdr:spPr>
        <a:xfrm>
          <a:off x="9052891" y="171176674"/>
          <a:ext cx="3992218" cy="276935"/>
        </a:xfrm>
        <a:prstGeom prst="rect">
          <a:avLst/>
        </a:prstGeom>
        <a:solidFill>
          <a:srgbClr val="FFFF00"/>
        </a:solidFill>
      </xdr:spPr>
      <xdr:txBody>
        <a:bodyPr vertOverflow="clip" horzOverflow="clip" wrap="square" rtlCol="0" anchor="t">
          <a:spAutoFit/>
        </a:bodyPr>
        <a:lstStyle/>
        <a:p>
          <a:r>
            <a:rPr lang="en-US" sz="1200" baseline="0" dirty="0">
              <a:latin typeface="+mn-lt"/>
            </a:rPr>
            <a:t>These three have been updated.</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69525</xdr:colOff>
      <xdr:row>252</xdr:row>
      <xdr:rowOff>83079</xdr:rowOff>
    </xdr:from>
    <xdr:to>
      <xdr:col>10</xdr:col>
      <xdr:colOff>395977</xdr:colOff>
      <xdr:row>275</xdr:row>
      <xdr:rowOff>139396</xdr:rowOff>
    </xdr:to>
    <xdr:graphicFrame macro="">
      <xdr:nvGraphicFramePr>
        <xdr:cNvPr id="2" name="Chart 1">
          <a:extLst>
            <a:ext uri="{FF2B5EF4-FFF2-40B4-BE49-F238E27FC236}">
              <a16:creationId xmlns:a16="http://schemas.microsoft.com/office/drawing/2014/main" id="{C763A344-B349-48B4-A9EA-59CB893C28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93593</xdr:colOff>
      <xdr:row>154</xdr:row>
      <xdr:rowOff>57150</xdr:rowOff>
    </xdr:from>
    <xdr:to>
      <xdr:col>13</xdr:col>
      <xdr:colOff>492670</xdr:colOff>
      <xdr:row>182</xdr:row>
      <xdr:rowOff>123826</xdr:rowOff>
    </xdr:to>
    <xdr:graphicFrame macro="">
      <xdr:nvGraphicFramePr>
        <xdr:cNvPr id="3" name="Chart 2">
          <a:extLst>
            <a:ext uri="{FF2B5EF4-FFF2-40B4-BE49-F238E27FC236}">
              <a16:creationId xmlns:a16="http://schemas.microsoft.com/office/drawing/2014/main" id="{CB0DF21D-343D-4704-95D1-BB40EC7A8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58319</xdr:colOff>
      <xdr:row>387</xdr:row>
      <xdr:rowOff>123823</xdr:rowOff>
    </xdr:from>
    <xdr:to>
      <xdr:col>6</xdr:col>
      <xdr:colOff>515278</xdr:colOff>
      <xdr:row>411</xdr:row>
      <xdr:rowOff>66224</xdr:rowOff>
    </xdr:to>
    <xdr:graphicFrame macro="">
      <xdr:nvGraphicFramePr>
        <xdr:cNvPr id="4" name="Chart 3">
          <a:extLst>
            <a:ext uri="{FF2B5EF4-FFF2-40B4-BE49-F238E27FC236}">
              <a16:creationId xmlns:a16="http://schemas.microsoft.com/office/drawing/2014/main" id="{5F0D95A6-80BD-4E8D-A078-24FC7348C5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114300</xdr:colOff>
      <xdr:row>464</xdr:row>
      <xdr:rowOff>57150</xdr:rowOff>
    </xdr:from>
    <xdr:to>
      <xdr:col>6</xdr:col>
      <xdr:colOff>572094</xdr:colOff>
      <xdr:row>488</xdr:row>
      <xdr:rowOff>2862</xdr:rowOff>
    </xdr:to>
    <xdr:graphicFrame macro="">
      <xdr:nvGraphicFramePr>
        <xdr:cNvPr id="5" name="Chart 4">
          <a:extLst>
            <a:ext uri="{FF2B5EF4-FFF2-40B4-BE49-F238E27FC236}">
              <a16:creationId xmlns:a16="http://schemas.microsoft.com/office/drawing/2014/main" id="{0C690CAA-C3AB-4286-9762-C5E6050240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oneCellAnchor>
    <xdr:from>
      <xdr:col>6</xdr:col>
      <xdr:colOff>24949</xdr:colOff>
      <xdr:row>329</xdr:row>
      <xdr:rowOff>47625</xdr:rowOff>
    </xdr:from>
    <xdr:ext cx="2772000" cy="2880000"/>
    <xdr:graphicFrame macro="">
      <xdr:nvGraphicFramePr>
        <xdr:cNvPr id="6" name="Chart 5">
          <a:extLst>
            <a:ext uri="{FF2B5EF4-FFF2-40B4-BE49-F238E27FC236}">
              <a16:creationId xmlns:a16="http://schemas.microsoft.com/office/drawing/2014/main" id="{EB227A0E-37B9-4745-A83D-280097DEBF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oneCellAnchor>
  <xdr:oneCellAnchor>
    <xdr:from>
      <xdr:col>2</xdr:col>
      <xdr:colOff>24731</xdr:colOff>
      <xdr:row>329</xdr:row>
      <xdr:rowOff>47623</xdr:rowOff>
    </xdr:from>
    <xdr:ext cx="2772000" cy="2880000"/>
    <xdr:graphicFrame macro="">
      <xdr:nvGraphicFramePr>
        <xdr:cNvPr id="7" name="Chart 6">
          <a:extLst>
            <a:ext uri="{FF2B5EF4-FFF2-40B4-BE49-F238E27FC236}">
              <a16:creationId xmlns:a16="http://schemas.microsoft.com/office/drawing/2014/main" id="{874E9352-F149-4873-8D13-01156A4325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oneCellAnchor>
</xdr:wsDr>
</file>

<file path=xl/drawings/drawing3.xml><?xml version="1.0" encoding="utf-8"?>
<c:userShapes xmlns:c="http://schemas.openxmlformats.org/drawingml/2006/chart">
  <cdr:relSizeAnchor xmlns:cdr="http://schemas.openxmlformats.org/drawingml/2006/chartDrawing">
    <cdr:from>
      <cdr:x>0.00397</cdr:x>
      <cdr:y>0.62612</cdr:y>
    </cdr:from>
    <cdr:to>
      <cdr:x>0.99735</cdr:x>
      <cdr:y>0.62612</cdr:y>
    </cdr:to>
    <cdr:cxnSp macro="">
      <cdr:nvCxnSpPr>
        <cdr:cNvPr id="3" name="Straight Connector 2">
          <a:extLst xmlns:a="http://schemas.openxmlformats.org/drawingml/2006/main">
            <a:ext uri="{FF2B5EF4-FFF2-40B4-BE49-F238E27FC236}">
              <a16:creationId xmlns:a16="http://schemas.microsoft.com/office/drawing/2014/main" id="{257C5880-DEDF-D54E-86BD-82AF7D20E3FC}"/>
            </a:ext>
          </a:extLst>
        </cdr:cNvPr>
        <cdr:cNvCxnSpPr/>
      </cdr:nvCxnSpPr>
      <cdr:spPr bwMode="auto">
        <a:xfrm xmlns:a="http://schemas.openxmlformats.org/drawingml/2006/main">
          <a:off x="32632" y="2678365"/>
          <a:ext cx="8165189" cy="0"/>
        </a:xfrm>
        <a:prstGeom xmlns:a="http://schemas.openxmlformats.org/drawingml/2006/main" prst="line">
          <a:avLst/>
        </a:prstGeom>
        <a:solidFill xmlns:a="http://schemas.openxmlformats.org/drawingml/2006/main">
          <a:schemeClr val="accent1"/>
        </a:solidFill>
        <a:ln xmlns:a="http://schemas.openxmlformats.org/drawingml/2006/main" w="9525" cap="flat" cmpd="sng" algn="ctr">
          <a:solidFill>
            <a:schemeClr val="tx1"/>
          </a:solidFill>
          <a:prstDash val="solid"/>
          <a:round/>
          <a:headEnd type="none" w="med" len="med"/>
          <a:tailEnd type="none" w="med" len="med"/>
        </a:ln>
        <a:effectLst xmlns:a="http://schemas.openxmlformats.org/drawingml/2006/main"/>
      </cdr:spPr>
    </cdr:cxnSp>
  </cdr:relSizeAnchor>
  <cdr:relSizeAnchor xmlns:cdr="http://schemas.openxmlformats.org/drawingml/2006/chartDrawing">
    <cdr:from>
      <cdr:x>0.96109</cdr:x>
      <cdr:y>0.31835</cdr:y>
    </cdr:from>
    <cdr:to>
      <cdr:x>1</cdr:x>
      <cdr:y>0.53893</cdr:y>
    </cdr:to>
    <cdr:sp macro="" textlink="">
      <cdr:nvSpPr>
        <cdr:cNvPr id="4" name="TextBox 3">
          <a:extLst xmlns:a="http://schemas.openxmlformats.org/drawingml/2006/main">
            <a:ext uri="{FF2B5EF4-FFF2-40B4-BE49-F238E27FC236}">
              <a16:creationId xmlns:a16="http://schemas.microsoft.com/office/drawing/2014/main" id="{DD5BE3EC-F658-F4FC-8E2A-3B9A124AEB24}"/>
            </a:ext>
          </a:extLst>
        </cdr:cNvPr>
        <cdr:cNvSpPr txBox="1"/>
      </cdr:nvSpPr>
      <cdr:spPr>
        <a:xfrm xmlns:a="http://schemas.openxmlformats.org/drawingml/2006/main" rot="16200000">
          <a:off x="7587899" y="1673696"/>
          <a:ext cx="943582" cy="319825"/>
        </a:xfrm>
        <a:prstGeom xmlns:a="http://schemas.openxmlformats.org/drawingml/2006/main" prst="rect">
          <a:avLst/>
        </a:prstGeom>
        <a:noFill xmlns:a="http://schemas.openxmlformats.org/drawingml/2006/main"/>
      </cdr:spPr>
      <cdr:txBody>
        <a:bodyPr xmlns:a="http://schemas.openxmlformats.org/drawingml/2006/main" vertOverflow="clip" wrap="none" rtlCol="0">
          <a:spAutoFit/>
        </a:bodyPr>
        <a:lstStyle xmlns:a="http://schemas.openxmlformats.org/drawingml/2006/main"/>
        <a:p xmlns:a="http://schemas.openxmlformats.org/drawingml/2006/main">
          <a:r>
            <a:rPr lang="en-US" sz="1200" baseline="0" dirty="0">
              <a:latin typeface="+mn-lt"/>
            </a:rPr>
            <a:t>SIPO studies</a:t>
          </a:r>
        </a:p>
      </cdr:txBody>
    </cdr:sp>
  </cdr:relSizeAnchor>
  <cdr:relSizeAnchor xmlns:cdr="http://schemas.openxmlformats.org/drawingml/2006/chartDrawing">
    <cdr:from>
      <cdr:x>0.96007</cdr:x>
      <cdr:y>0.63977</cdr:y>
    </cdr:from>
    <cdr:to>
      <cdr:x>0.99898</cdr:x>
      <cdr:y>0.94476</cdr:y>
    </cdr:to>
    <cdr:sp macro="" textlink="">
      <cdr:nvSpPr>
        <cdr:cNvPr id="5" name="TextBox 4">
          <a:extLst xmlns:a="http://schemas.openxmlformats.org/drawingml/2006/main">
            <a:ext uri="{FF2B5EF4-FFF2-40B4-BE49-F238E27FC236}">
              <a16:creationId xmlns:a16="http://schemas.microsoft.com/office/drawing/2014/main" id="{FC49A108-76E1-4FB7-ECCA-47810DC02B7C}"/>
            </a:ext>
          </a:extLst>
        </cdr:cNvPr>
        <cdr:cNvSpPr txBox="1"/>
      </cdr:nvSpPr>
      <cdr:spPr>
        <a:xfrm xmlns:a="http://schemas.openxmlformats.org/drawingml/2006/main" rot="16200000">
          <a:off x="7399004" y="3229199"/>
          <a:ext cx="1304664" cy="319825"/>
        </a:xfrm>
        <a:prstGeom xmlns:a="http://schemas.openxmlformats.org/drawingml/2006/main" prst="rect">
          <a:avLst/>
        </a:prstGeom>
        <a:noFill xmlns:a="http://schemas.openxmlformats.org/drawingml/2006/main"/>
      </cdr:spPr>
      <cdr:txBody>
        <a:bodyPr xmlns:a="http://schemas.openxmlformats.org/drawingml/2006/main" vertOverflow="clip" wrap="none" rtlCol="0">
          <a:spAutoFit/>
        </a:bodyPr>
        <a:lstStyle xmlns:a="http://schemas.openxmlformats.org/drawingml/2006/main"/>
        <a:p xmlns:a="http://schemas.openxmlformats.org/drawingml/2006/main">
          <a:r>
            <a:rPr lang="en-US" sz="1200" baseline="0" dirty="0">
              <a:latin typeface="+mn-lt"/>
            </a:rPr>
            <a:t>Stringency studies</a:t>
          </a:r>
        </a:p>
      </cdr:txBody>
    </cdr:sp>
  </cdr:relSizeAnchor>
</c:userShapes>
</file>

<file path=xl/theme/theme1.xml><?xml version="1.0" encoding="utf-8"?>
<a:theme xmlns:a="http://schemas.openxmlformats.org/drawingml/2006/main" name="CEPOS Theme">
  <a:themeElements>
    <a:clrScheme name="CEPOS2">
      <a:dk1>
        <a:srgbClr val="323435"/>
      </a:dk1>
      <a:lt1>
        <a:sysClr val="window" lastClr="FFFFFF"/>
      </a:lt1>
      <a:dk2>
        <a:srgbClr val="003865"/>
      </a:dk2>
      <a:lt2>
        <a:srgbClr val="FFFFFF"/>
      </a:lt2>
      <a:accent1>
        <a:srgbClr val="003865"/>
      </a:accent1>
      <a:accent2>
        <a:srgbClr val="BCA9A0"/>
      </a:accent2>
      <a:accent3>
        <a:srgbClr val="006341"/>
      </a:accent3>
      <a:accent4>
        <a:srgbClr val="B9B9B3"/>
      </a:accent4>
      <a:accent5>
        <a:srgbClr val="8B8B81"/>
      </a:accent5>
      <a:accent6>
        <a:srgbClr val="D9D9D6"/>
      </a:accent6>
      <a:hlink>
        <a:srgbClr val="BCA9A0"/>
      </a:hlink>
      <a:folHlink>
        <a:srgbClr val="003865"/>
      </a:folHlink>
    </a:clrScheme>
    <a:fontScheme name="CEPOS-theme">
      <a:majorFont>
        <a:latin typeface="Lato"/>
        <a:ea typeface=""/>
        <a:cs typeface=""/>
      </a:majorFont>
      <a:minorFont>
        <a:latin typeface="Lato"/>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rtlCol="0"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sz="2400" b="0" i="0" u="none" strike="noStrike" cap="none" normalizeH="0" baseline="0" dirty="0" smtClean="0">
            <a:ln>
              <a:noFill/>
            </a:ln>
            <a:solidFill>
              <a:schemeClr val="tx1"/>
            </a:solidFill>
            <a:effectLst/>
            <a:latin typeface="Arial" charset="0"/>
            <a:ea typeface="ＭＳ Ｐゴシック" pitchFamily="-128" charset="-128"/>
          </a:defRPr>
        </a:defPPr>
      </a:lstStyle>
    </a:spDef>
    <a:lnDef>
      <a:spPr bwMode="auto">
        <a:xfrm>
          <a:off x="0" y="0"/>
          <a:ext cx="1" cy="1"/>
        </a:xfrm>
        <a:custGeom>
          <a:avLst/>
          <a:gdLst/>
          <a:ahLst/>
          <a:cxnLst/>
          <a:rect l="0" t="0" r="0" b="0"/>
          <a:pathLst/>
        </a:custGeom>
        <a:solidFill>
          <a:schemeClr val="accent1"/>
        </a:solidFill>
        <a:ln w="9525" cap="flat" cmpd="sng" algn="ctr">
          <a:solidFill>
            <a:schemeClr val="tx1"/>
          </a:solidFill>
          <a:prstDash val="solid"/>
          <a:round/>
          <a:headEnd type="none" w="med" len="med"/>
          <a:tailEnd type="none" w="med" len="med"/>
        </a:ln>
        <a:effectLst/>
      </a:spPr>
      <a:bodyPr vert="horz" wrap="square" lIns="91440" tIns="45720" rIns="91440" bIns="45720" numCol="1" anchor="t" anchorCtr="0" compatLnSpc="1">
        <a:prstTxWarp prst="textNoShape">
          <a:avLst/>
        </a:prstTxWarp>
      </a:bodyPr>
      <a:lstStyle>
        <a:defPPr marL="0" marR="0" indent="0" algn="l" defTabSz="914400" rtl="0" eaLnBrk="0" fontAlgn="base" latinLnBrk="0" hangingPunct="0">
          <a:lnSpc>
            <a:spcPct val="100000"/>
          </a:lnSpc>
          <a:spcBef>
            <a:spcPct val="0"/>
          </a:spcBef>
          <a:spcAft>
            <a:spcPct val="0"/>
          </a:spcAft>
          <a:buClrTx/>
          <a:buSzTx/>
          <a:buFontTx/>
          <a:buNone/>
          <a:tabLst/>
          <a:defRPr kumimoji="0" lang="en-US" sz="2400" b="0" i="0" u="none" strike="noStrike" cap="none" normalizeH="0" baseline="30000" smtClean="0">
            <a:ln>
              <a:noFill/>
            </a:ln>
            <a:solidFill>
              <a:schemeClr val="tx1"/>
            </a:solidFill>
            <a:effectLst/>
            <a:latin typeface="Arial" charset="0"/>
            <a:ea typeface="ＭＳ Ｐゴシック" pitchFamily="-128" charset="-128"/>
          </a:defRPr>
        </a:defPPr>
      </a:lstStyle>
    </a:lnDef>
    <a:txDef>
      <a:spPr>
        <a:noFill/>
      </a:spPr>
      <a:bodyPr wrap="square" rtlCol="0">
        <a:spAutoFit/>
      </a:bodyPr>
      <a:lstStyle>
        <a:defPPr>
          <a:defRPr sz="1200" baseline="0" dirty="0">
            <a:latin typeface="+mn-lt"/>
          </a:defRPr>
        </a:defPPr>
      </a:lstStyle>
    </a:txDef>
  </a:objectDefaults>
  <a:extraClrSchemeLst>
    <a:extraClrScheme>
      <a:clrScheme name="Blank Presentation 1">
        <a:dk1>
          <a:srgbClr val="000000"/>
        </a:dk1>
        <a:lt1>
          <a:srgbClr val="FFFFFF"/>
        </a:lt1>
        <a:dk2>
          <a:srgbClr val="000000"/>
        </a:dk2>
        <a:lt2>
          <a:srgbClr val="808080"/>
        </a:lt2>
        <a:accent1>
          <a:srgbClr val="BBE0E3"/>
        </a:accent1>
        <a:accent2>
          <a:srgbClr val="333399"/>
        </a:accent2>
        <a:accent3>
          <a:srgbClr val="FFFFFF"/>
        </a:accent3>
        <a:accent4>
          <a:srgbClr val="000000"/>
        </a:accent4>
        <a:accent5>
          <a:srgbClr val="DAEDEF"/>
        </a:accent5>
        <a:accent6>
          <a:srgbClr val="2D2D8A"/>
        </a:accent6>
        <a:hlink>
          <a:srgbClr val="009999"/>
        </a:hlink>
        <a:folHlink>
          <a:srgbClr val="99CC00"/>
        </a:folHlink>
      </a:clrScheme>
      <a:clrMap bg1="lt1" tx1="dk1" bg2="lt2" tx2="dk2" accent1="accent1" accent2="accent2" accent3="accent3" accent4="accent4" accent5="accent5" accent6="accent6" hlink="hlink" folHlink="folHlink"/>
    </a:extraClrScheme>
    <a:extraClrScheme>
      <a:clrScheme name="Blank Presentation 2">
        <a:dk1>
          <a:srgbClr val="000000"/>
        </a:dk1>
        <a:lt1>
          <a:srgbClr val="FFFFFF"/>
        </a:lt1>
        <a:dk2>
          <a:srgbClr val="000000"/>
        </a:dk2>
        <a:lt2>
          <a:srgbClr val="969696"/>
        </a:lt2>
        <a:accent1>
          <a:srgbClr val="FBDF53"/>
        </a:accent1>
        <a:accent2>
          <a:srgbClr val="FF9966"/>
        </a:accent2>
        <a:accent3>
          <a:srgbClr val="FFFFFF"/>
        </a:accent3>
        <a:accent4>
          <a:srgbClr val="000000"/>
        </a:accent4>
        <a:accent5>
          <a:srgbClr val="FDECB3"/>
        </a:accent5>
        <a:accent6>
          <a:srgbClr val="E78A5C"/>
        </a:accent6>
        <a:hlink>
          <a:srgbClr val="CC3300"/>
        </a:hlink>
        <a:folHlink>
          <a:srgbClr val="996600"/>
        </a:folHlink>
      </a:clrScheme>
      <a:clrMap bg1="lt1" tx1="dk1" bg2="lt2" tx2="dk2" accent1="accent1" accent2="accent2" accent3="accent3" accent4="accent4" accent5="accent5" accent6="accent6" hlink="hlink" folHlink="folHlink"/>
    </a:extraClrScheme>
    <a:extraClrScheme>
      <a:clrScheme name="Blank Presentation 3">
        <a:dk1>
          <a:srgbClr val="000000"/>
        </a:dk1>
        <a:lt1>
          <a:srgbClr val="FFFFFF"/>
        </a:lt1>
        <a:dk2>
          <a:srgbClr val="000000"/>
        </a:dk2>
        <a:lt2>
          <a:srgbClr val="808080"/>
        </a:lt2>
        <a:accent1>
          <a:srgbClr val="99CCFF"/>
        </a:accent1>
        <a:accent2>
          <a:srgbClr val="CCCCFF"/>
        </a:accent2>
        <a:accent3>
          <a:srgbClr val="FFFFFF"/>
        </a:accent3>
        <a:accent4>
          <a:srgbClr val="000000"/>
        </a:accent4>
        <a:accent5>
          <a:srgbClr val="CAE2FF"/>
        </a:accent5>
        <a:accent6>
          <a:srgbClr val="B9B9E7"/>
        </a:accent6>
        <a:hlink>
          <a:srgbClr val="3333CC"/>
        </a:hlink>
        <a:folHlink>
          <a:srgbClr val="AF67FF"/>
        </a:folHlink>
      </a:clrScheme>
      <a:clrMap bg1="lt1" tx1="dk1" bg2="lt2" tx2="dk2" accent1="accent1" accent2="accent2" accent3="accent3" accent4="accent4" accent5="accent5" accent6="accent6" hlink="hlink" folHlink="folHlink"/>
    </a:extraClrScheme>
    <a:extraClrScheme>
      <a:clrScheme name="Blank Presentation 4">
        <a:dk1>
          <a:srgbClr val="000000"/>
        </a:dk1>
        <a:lt1>
          <a:srgbClr val="DEF6F1"/>
        </a:lt1>
        <a:dk2>
          <a:srgbClr val="000000"/>
        </a:dk2>
        <a:lt2>
          <a:srgbClr val="969696"/>
        </a:lt2>
        <a:accent1>
          <a:srgbClr val="FFFFFF"/>
        </a:accent1>
        <a:accent2>
          <a:srgbClr val="8DC6FF"/>
        </a:accent2>
        <a:accent3>
          <a:srgbClr val="ECFAF7"/>
        </a:accent3>
        <a:accent4>
          <a:srgbClr val="000000"/>
        </a:accent4>
        <a:accent5>
          <a:srgbClr val="FFFFFF"/>
        </a:accent5>
        <a:accent6>
          <a:srgbClr val="7FB3E7"/>
        </a:accent6>
        <a:hlink>
          <a:srgbClr val="0066CC"/>
        </a:hlink>
        <a:folHlink>
          <a:srgbClr val="00A800"/>
        </a:folHlink>
      </a:clrScheme>
      <a:clrMap bg1="lt1" tx1="dk1" bg2="lt2" tx2="dk2" accent1="accent1" accent2="accent2" accent3="accent3" accent4="accent4" accent5="accent5" accent6="accent6" hlink="hlink" folHlink="folHlink"/>
    </a:extraClrScheme>
    <a:extraClrScheme>
      <a:clrScheme name="Blank Presentation 5">
        <a:dk1>
          <a:srgbClr val="000000"/>
        </a:dk1>
        <a:lt1>
          <a:srgbClr val="FFFFD9"/>
        </a:lt1>
        <a:dk2>
          <a:srgbClr val="000000"/>
        </a:dk2>
        <a:lt2>
          <a:srgbClr val="777777"/>
        </a:lt2>
        <a:accent1>
          <a:srgbClr val="FFFFF7"/>
        </a:accent1>
        <a:accent2>
          <a:srgbClr val="33CCCC"/>
        </a:accent2>
        <a:accent3>
          <a:srgbClr val="FFFFE9"/>
        </a:accent3>
        <a:accent4>
          <a:srgbClr val="000000"/>
        </a:accent4>
        <a:accent5>
          <a:srgbClr val="FFFFFA"/>
        </a:accent5>
        <a:accent6>
          <a:srgbClr val="2DB9B9"/>
        </a:accent6>
        <a:hlink>
          <a:srgbClr val="FF5050"/>
        </a:hlink>
        <a:folHlink>
          <a:srgbClr val="FF9900"/>
        </a:folHlink>
      </a:clrScheme>
      <a:clrMap bg1="lt1" tx1="dk1" bg2="lt2" tx2="dk2" accent1="accent1" accent2="accent2" accent3="accent3" accent4="accent4" accent5="accent5" accent6="accent6" hlink="hlink" folHlink="folHlink"/>
    </a:extraClrScheme>
    <a:extraClrScheme>
      <a:clrScheme name="Blank Presentation 6">
        <a:dk1>
          <a:srgbClr val="005A58"/>
        </a:dk1>
        <a:lt1>
          <a:srgbClr val="FFFFFF"/>
        </a:lt1>
        <a:dk2>
          <a:srgbClr val="008080"/>
        </a:dk2>
        <a:lt2>
          <a:srgbClr val="FFFF99"/>
        </a:lt2>
        <a:accent1>
          <a:srgbClr val="006462"/>
        </a:accent1>
        <a:accent2>
          <a:srgbClr val="6D6FC7"/>
        </a:accent2>
        <a:accent3>
          <a:srgbClr val="AAC0C0"/>
        </a:accent3>
        <a:accent4>
          <a:srgbClr val="DADADA"/>
        </a:accent4>
        <a:accent5>
          <a:srgbClr val="AAB8B7"/>
        </a:accent5>
        <a:accent6>
          <a:srgbClr val="6264B4"/>
        </a:accent6>
        <a:hlink>
          <a:srgbClr val="00FFFF"/>
        </a:hlink>
        <a:folHlink>
          <a:srgbClr val="00FF00"/>
        </a:folHlink>
      </a:clrScheme>
      <a:clrMap bg1="dk2" tx1="lt1" bg2="dk1" tx2="lt2" accent1="accent1" accent2="accent2" accent3="accent3" accent4="accent4" accent5="accent5" accent6="accent6" hlink="hlink" folHlink="folHlink"/>
    </a:extraClrScheme>
    <a:extraClrScheme>
      <a:clrScheme name="Blank Presentation 7">
        <a:dk1>
          <a:srgbClr val="5C1F00"/>
        </a:dk1>
        <a:lt1>
          <a:srgbClr val="FFFFFF"/>
        </a:lt1>
        <a:dk2>
          <a:srgbClr val="800000"/>
        </a:dk2>
        <a:lt2>
          <a:srgbClr val="DFD293"/>
        </a:lt2>
        <a:accent1>
          <a:srgbClr val="713E39"/>
        </a:accent1>
        <a:accent2>
          <a:srgbClr val="BE7960"/>
        </a:accent2>
        <a:accent3>
          <a:srgbClr val="C0AAAA"/>
        </a:accent3>
        <a:accent4>
          <a:srgbClr val="DADADA"/>
        </a:accent4>
        <a:accent5>
          <a:srgbClr val="BBAFAE"/>
        </a:accent5>
        <a:accent6>
          <a:srgbClr val="AC6D56"/>
        </a:accent6>
        <a:hlink>
          <a:srgbClr val="FFFF99"/>
        </a:hlink>
        <a:folHlink>
          <a:srgbClr val="D3A219"/>
        </a:folHlink>
      </a:clrScheme>
      <a:clrMap bg1="dk2" tx1="lt1" bg2="dk1" tx2="lt2" accent1="accent1" accent2="accent2" accent3="accent3" accent4="accent4" accent5="accent5" accent6="accent6" hlink="hlink" folHlink="folHlink"/>
    </a:extraClrScheme>
    <a:extraClrScheme>
      <a:clrScheme name="Blank Presentation 8">
        <a:dk1>
          <a:srgbClr val="003366"/>
        </a:dk1>
        <a:lt1>
          <a:srgbClr val="FFFFFF"/>
        </a:lt1>
        <a:dk2>
          <a:srgbClr val="000099"/>
        </a:dk2>
        <a:lt2>
          <a:srgbClr val="CCFFFF"/>
        </a:lt2>
        <a:accent1>
          <a:srgbClr val="3366CC"/>
        </a:accent1>
        <a:accent2>
          <a:srgbClr val="00B000"/>
        </a:accent2>
        <a:accent3>
          <a:srgbClr val="AAAACA"/>
        </a:accent3>
        <a:accent4>
          <a:srgbClr val="DADADA"/>
        </a:accent4>
        <a:accent5>
          <a:srgbClr val="ADB8E2"/>
        </a:accent5>
        <a:accent6>
          <a:srgbClr val="009F00"/>
        </a:accent6>
        <a:hlink>
          <a:srgbClr val="66CCFF"/>
        </a:hlink>
        <a:folHlink>
          <a:srgbClr val="FFE701"/>
        </a:folHlink>
      </a:clrScheme>
      <a:clrMap bg1="dk2" tx1="lt1" bg2="dk1" tx2="lt2" accent1="accent1" accent2="accent2" accent3="accent3" accent4="accent4" accent5="accent5" accent6="accent6" hlink="hlink" folHlink="folHlink"/>
    </a:extraClrScheme>
    <a:extraClrScheme>
      <a:clrScheme name="Blank Presentation 9">
        <a:dk1>
          <a:srgbClr val="336699"/>
        </a:dk1>
        <a:lt1>
          <a:srgbClr val="FFFFFF"/>
        </a:lt1>
        <a:dk2>
          <a:srgbClr val="000000"/>
        </a:dk2>
        <a:lt2>
          <a:srgbClr val="E3EBF1"/>
        </a:lt2>
        <a:accent1>
          <a:srgbClr val="003399"/>
        </a:accent1>
        <a:accent2>
          <a:srgbClr val="468A4B"/>
        </a:accent2>
        <a:accent3>
          <a:srgbClr val="AAAAAA"/>
        </a:accent3>
        <a:accent4>
          <a:srgbClr val="DADADA"/>
        </a:accent4>
        <a:accent5>
          <a:srgbClr val="AAADCA"/>
        </a:accent5>
        <a:accent6>
          <a:srgbClr val="3F7D43"/>
        </a:accent6>
        <a:hlink>
          <a:srgbClr val="66CCFF"/>
        </a:hlink>
        <a:folHlink>
          <a:srgbClr val="F0E500"/>
        </a:folHlink>
      </a:clrScheme>
      <a:clrMap bg1="dk2" tx1="lt1" bg2="dk1" tx2="lt2" accent1="accent1" accent2="accent2" accent3="accent3" accent4="accent4" accent5="accent5" accent6="accent6" hlink="hlink" folHlink="folHlink"/>
    </a:extraClrScheme>
    <a:extraClrScheme>
      <a:clrScheme name="Blank Presentation 10">
        <a:dk1>
          <a:srgbClr val="777777"/>
        </a:dk1>
        <a:lt1>
          <a:srgbClr val="FFFFFF"/>
        </a:lt1>
        <a:dk2>
          <a:srgbClr val="686B5D"/>
        </a:dk2>
        <a:lt2>
          <a:srgbClr val="D1D1CB"/>
        </a:lt2>
        <a:accent1>
          <a:srgbClr val="909082"/>
        </a:accent1>
        <a:accent2>
          <a:srgbClr val="809EA8"/>
        </a:accent2>
        <a:accent3>
          <a:srgbClr val="B9BAB6"/>
        </a:accent3>
        <a:accent4>
          <a:srgbClr val="DADADA"/>
        </a:accent4>
        <a:accent5>
          <a:srgbClr val="C6C6C1"/>
        </a:accent5>
        <a:accent6>
          <a:srgbClr val="738F98"/>
        </a:accent6>
        <a:hlink>
          <a:srgbClr val="FFCC66"/>
        </a:hlink>
        <a:folHlink>
          <a:srgbClr val="E9DCB9"/>
        </a:folHlink>
      </a:clrScheme>
      <a:clrMap bg1="dk2" tx1="lt1" bg2="dk1" tx2="lt2" accent1="accent1" accent2="accent2" accent3="accent3" accent4="accent4" accent5="accent5" accent6="accent6" hlink="hlink" folHlink="folHlink"/>
    </a:extraClrScheme>
    <a:extraClrScheme>
      <a:clrScheme name="Blank Presentation 11">
        <a:dk1>
          <a:srgbClr val="3E3E5C"/>
        </a:dk1>
        <a:lt1>
          <a:srgbClr val="FFFFFF"/>
        </a:lt1>
        <a:dk2>
          <a:srgbClr val="666699"/>
        </a:dk2>
        <a:lt2>
          <a:srgbClr val="FFFFFF"/>
        </a:lt2>
        <a:accent1>
          <a:srgbClr val="60597B"/>
        </a:accent1>
        <a:accent2>
          <a:srgbClr val="6666FF"/>
        </a:accent2>
        <a:accent3>
          <a:srgbClr val="B8B8CA"/>
        </a:accent3>
        <a:accent4>
          <a:srgbClr val="DADADA"/>
        </a:accent4>
        <a:accent5>
          <a:srgbClr val="B6B5BF"/>
        </a:accent5>
        <a:accent6>
          <a:srgbClr val="5C5CE7"/>
        </a:accent6>
        <a:hlink>
          <a:srgbClr val="99CCFF"/>
        </a:hlink>
        <a:folHlink>
          <a:srgbClr val="FFFF99"/>
        </a:folHlink>
      </a:clrScheme>
      <a:clrMap bg1="dk2" tx1="lt1" bg2="dk1" tx2="lt2" accent1="accent1" accent2="accent2" accent3="accent3" accent4="accent4" accent5="accent5" accent6="accent6" hlink="hlink" folHlink="folHlink"/>
    </a:extraClrScheme>
    <a:extraClrScheme>
      <a:clrScheme name="Blank Presentation 12">
        <a:dk1>
          <a:srgbClr val="2D2015"/>
        </a:dk1>
        <a:lt1>
          <a:srgbClr val="FFFFFF"/>
        </a:lt1>
        <a:dk2>
          <a:srgbClr val="523E26"/>
        </a:dk2>
        <a:lt2>
          <a:srgbClr val="DFC08D"/>
        </a:lt2>
        <a:accent1>
          <a:srgbClr val="8C7B70"/>
        </a:accent1>
        <a:accent2>
          <a:srgbClr val="8F5F2F"/>
        </a:accent2>
        <a:accent3>
          <a:srgbClr val="B3AFAC"/>
        </a:accent3>
        <a:accent4>
          <a:srgbClr val="DADADA"/>
        </a:accent4>
        <a:accent5>
          <a:srgbClr val="C5BFBB"/>
        </a:accent5>
        <a:accent6>
          <a:srgbClr val="81552A"/>
        </a:accent6>
        <a:hlink>
          <a:srgbClr val="CCB400"/>
        </a:hlink>
        <a:folHlink>
          <a:srgbClr val="8C9EA0"/>
        </a:folHlink>
      </a:clrScheme>
      <a:clrMap bg1="dk2" tx1="lt1" bg2="dk1" tx2="lt2" accent1="accent1" accent2="accent2" accent3="accent3" accent4="accent4" accent5="accent5" accent6="accent6" hlink="hlink" folHlink="folHlink"/>
    </a:extraClrScheme>
  </a:extraClrSchemeLst>
  <a:custClrLst>
    <a:custClr name="Purple">
      <a:srgbClr val="502D59"/>
    </a:custClr>
    <a:custClr name="Mauve">
      <a:srgbClr val="8C3052"/>
    </a:custClr>
    <a:custClr name="Pink">
      <a:srgbClr val="BF2C47"/>
    </a:custClr>
    <a:custClr name="Orange">
      <a:srgbClr val="F2522E"/>
    </a:custClr>
    <a:custClr name="Yellow">
      <a:srgbClr val="F2913D"/>
    </a:custClr>
  </a:custClrLst>
</a:theme>
</file>

<file path=xl/worksheets/_rels/sheet1.xml.rels><?xml version="1.0" encoding="UTF-8" standalone="yes"?>
<Relationships xmlns="http://schemas.openxmlformats.org/package/2006/relationships"><Relationship Id="rId3" Type="http://schemas.openxmlformats.org/officeDocument/2006/relationships/hyperlink" Target="https://www.bsg.ox.ac.uk/sites/default/files/2021-06/BSG-WP-2020-032-v12_0.pdf" TargetMode="External"/><Relationship Id="rId7" Type="http://schemas.openxmlformats.org/officeDocument/2006/relationships/image" Target="../media/image1.png"/><Relationship Id="rId2" Type="http://schemas.openxmlformats.org/officeDocument/2006/relationships/hyperlink" Target="https://www.bsg.ox.ac.uk/sites/default/files/2021-06/BSG-WP-2020-032-v12_0.pdf" TargetMode="External"/><Relationship Id="rId1" Type="http://schemas.openxmlformats.org/officeDocument/2006/relationships/hyperlink" Target="https://www.statology.org/averaging-standard-deviations/"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image" Target="../media/image1.png"/></Relationships>
</file>

<file path=xl/worksheets/_rels/sheet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95D12-E5AF-4619-9449-DA78ACF1BA41}">
  <sheetPr codeName="Sheet4">
    <outlinePr showOutlineSymbols="0"/>
  </sheetPr>
  <dimension ref="A1:BX1438"/>
  <sheetViews>
    <sheetView showGridLines="0" tabSelected="1" showOutlineSymbols="0" topLeftCell="A164" zoomScaleNormal="100" workbookViewId="0">
      <selection activeCell="F314" sqref="F314"/>
    </sheetView>
  </sheetViews>
  <sheetFormatPr defaultColWidth="9.140625" defaultRowHeight="14.25" outlineLevelRow="2" x14ac:dyDescent="0.3"/>
  <cols>
    <col min="1" max="1" width="1.5703125" style="3" customWidth="1"/>
    <col min="2" max="2" width="7.5703125" style="3" customWidth="1"/>
    <col min="3" max="3" width="72.28515625" style="3" customWidth="1"/>
    <col min="4" max="4" width="22.7109375" style="3" customWidth="1"/>
    <col min="5" max="5" width="30.5703125" style="3" customWidth="1"/>
    <col min="6" max="6" width="19.28515625" style="3" customWidth="1"/>
    <col min="7" max="7" width="15.85546875" style="3" customWidth="1"/>
    <col min="8" max="9" width="25.7109375" style="3" customWidth="1"/>
    <col min="10" max="10" width="18.28515625" style="3" customWidth="1"/>
    <col min="11" max="11" width="22.85546875" style="3" bestFit="1" customWidth="1"/>
    <col min="12" max="12" width="21.85546875" style="3" bestFit="1" customWidth="1"/>
    <col min="13" max="13" width="10.85546875" style="3" bestFit="1" customWidth="1"/>
    <col min="14" max="14" width="18.85546875" style="3" customWidth="1"/>
    <col min="15" max="15" width="9.28515625" style="3" bestFit="1" customWidth="1"/>
    <col min="16" max="16" width="21.28515625" style="3" bestFit="1" customWidth="1"/>
    <col min="17" max="17" width="11.28515625" style="3" bestFit="1" customWidth="1"/>
    <col min="18" max="18" width="9.28515625" style="3" bestFit="1" customWidth="1"/>
    <col min="19" max="19" width="9.140625" style="3"/>
    <col min="20" max="20" width="7.28515625" style="3" customWidth="1"/>
    <col min="21" max="21" width="9" style="3" customWidth="1"/>
    <col min="22" max="27" width="7.28515625" style="3" customWidth="1"/>
    <col min="28" max="29" width="9.28515625" style="3" bestFit="1" customWidth="1"/>
    <col min="30" max="30" width="9.140625" style="3"/>
    <col min="31" max="31" width="9.28515625" style="3" bestFit="1" customWidth="1"/>
    <col min="32" max="32" width="10" style="3" bestFit="1" customWidth="1"/>
    <col min="33" max="35" width="9.28515625" style="3" bestFit="1" customWidth="1"/>
    <col min="36" max="16384" width="9.140625" style="3"/>
  </cols>
  <sheetData>
    <row r="1" spans="1:13" s="431" customFormat="1" ht="18.75" x14ac:dyDescent="0.3">
      <c r="C1" s="431" t="str">
        <f ca="1">IFERROR(MID(CELL("filename",A1),FIND("]",CELL("filename",A1))+1,256),"Gem projektmappen og navngiv dit ark")</f>
        <v>Standardizing estimates</v>
      </c>
    </row>
    <row r="3" spans="1:13" s="8" customFormat="1" ht="19.5" x14ac:dyDescent="0.4">
      <c r="A3" s="8" t="s">
        <v>0</v>
      </c>
    </row>
    <row r="5" spans="1:13" x14ac:dyDescent="0.3">
      <c r="G5" s="58"/>
    </row>
    <row r="6" spans="1:13" x14ac:dyDescent="0.3">
      <c r="C6" s="261" t="s">
        <v>1</v>
      </c>
      <c r="D6" s="262" t="s">
        <v>2</v>
      </c>
      <c r="E6" s="262" t="s">
        <v>3</v>
      </c>
      <c r="F6" s="262" t="s">
        <v>4</v>
      </c>
      <c r="G6" s="262" t="s">
        <v>5</v>
      </c>
      <c r="H6" s="127" t="str">
        <f>I377</f>
        <v>Largest weight equal to 2nd largest</v>
      </c>
      <c r="I6" s="127" t="str">
        <f>J377</f>
        <v>Lowest weight equal to 2nd lowest</v>
      </c>
      <c r="J6" s="127" t="str">
        <f>L377</f>
        <v>Highest (least negative) estimate equal to 2nd highest</v>
      </c>
      <c r="K6" s="127" t="str">
        <f>K377</f>
        <v>Smallest (most negative) estimate equal to 2nd smallest</v>
      </c>
      <c r="L6" s="127" t="s">
        <v>978</v>
      </c>
    </row>
    <row r="7" spans="1:13" outlineLevel="1" x14ac:dyDescent="0.3">
      <c r="C7" s="263" t="str">
        <f t="shared" ref="C7:C14" si="0">C25</f>
        <v>Bjørnskov (2021)</v>
      </c>
      <c r="D7" s="271">
        <f t="shared" ref="D7:D14" si="1">AVERAGE(G25:H25)</f>
        <v>-3.0820447444083188E-3</v>
      </c>
      <c r="E7" s="272">
        <f t="shared" ref="E7:E14" si="2">E25/D25*D7</f>
        <v>8.2187859850888501E-3</v>
      </c>
      <c r="F7" s="273">
        <f t="shared" ref="F7:F14" si="3">1/E7</f>
        <v>121.67247106984857</v>
      </c>
      <c r="G7" s="264">
        <f t="shared" ref="G7:G14" si="4">SUM(T25:AA25)</f>
        <v>7</v>
      </c>
      <c r="L7" s="26">
        <f>1/E7^2</f>
        <v>14804.190216243138</v>
      </c>
      <c r="M7" s="58"/>
    </row>
    <row r="8" spans="1:13" outlineLevel="1" x14ac:dyDescent="0.3">
      <c r="C8" s="263" t="str">
        <f t="shared" si="0"/>
        <v>Shiva and Molana (2021)</v>
      </c>
      <c r="D8" s="271">
        <f t="shared" si="1"/>
        <v>-4.0159765066823672E-2</v>
      </c>
      <c r="E8" s="272">
        <f t="shared" si="2"/>
        <v>3.9495967297124108E-3</v>
      </c>
      <c r="F8" s="273">
        <f t="shared" si="3"/>
        <v>253.19040611845321</v>
      </c>
      <c r="G8" s="264">
        <f t="shared" si="4"/>
        <v>7</v>
      </c>
      <c r="H8" s="322">
        <f>(SUMPRODUCT(F7:F14,D7:D14)-F8*D8+LARGE(F7:F14,2)*D8)/(SUM(F7:F14)-F8+LARGE(F7:F14,2))</f>
        <v>-3.1511280439862482E-2</v>
      </c>
      <c r="L8" s="26">
        <f t="shared" ref="L8:L14" si="5">1/E8^2</f>
        <v>64105.381750427267</v>
      </c>
      <c r="M8" s="58"/>
    </row>
    <row r="9" spans="1:13" outlineLevel="1" x14ac:dyDescent="0.3">
      <c r="C9" s="263" t="str">
        <f t="shared" si="0"/>
        <v>Chisadza et al. (2021)</v>
      </c>
      <c r="D9" s="271">
        <f t="shared" si="1"/>
        <v>0.11715264654310653</v>
      </c>
      <c r="E9" s="272">
        <f t="shared" si="2"/>
        <v>1.4418787266843881E-2</v>
      </c>
      <c r="F9" s="273">
        <f t="shared" si="3"/>
        <v>69.353960322273991</v>
      </c>
      <c r="G9" s="264">
        <f t="shared" si="4"/>
        <v>4</v>
      </c>
      <c r="J9" s="58">
        <f>(SUMPRODUCT(F7:F14,D7:D14)-F9*D9+F9*LARGE(D7:D14,2))/SUM(F7:F14)</f>
        <v>-4.3554807865769186E-2</v>
      </c>
      <c r="L9" s="26">
        <f t="shared" si="5"/>
        <v>4809.9718123835555</v>
      </c>
      <c r="M9" s="58"/>
    </row>
    <row r="10" spans="1:13" outlineLevel="1" x14ac:dyDescent="0.3">
      <c r="C10" s="263" t="str">
        <f t="shared" si="0"/>
        <v>Goldstein et al. (2021)</v>
      </c>
      <c r="D10" s="271">
        <f t="shared" si="1"/>
        <v>-7.5420107976104989E-2</v>
      </c>
      <c r="E10" s="272">
        <f t="shared" si="2"/>
        <v>1.9724465629278657E-2</v>
      </c>
      <c r="F10" s="273">
        <f t="shared" si="3"/>
        <v>50.698458391471817</v>
      </c>
      <c r="G10" s="264">
        <f t="shared" si="4"/>
        <v>6</v>
      </c>
      <c r="L10" s="26">
        <f t="shared" si="5"/>
        <v>2570.3336832717996</v>
      </c>
      <c r="M10" s="58"/>
    </row>
    <row r="11" spans="1:13" outlineLevel="1" x14ac:dyDescent="0.3">
      <c r="C11" s="263" t="str">
        <f t="shared" si="0"/>
        <v>Fuller et al. (2021)</v>
      </c>
      <c r="D11" s="271">
        <f t="shared" si="1"/>
        <v>-0.3534582598710535</v>
      </c>
      <c r="E11" s="272">
        <f t="shared" si="2"/>
        <v>9.0853199654610597E-2</v>
      </c>
      <c r="F11" s="273">
        <f t="shared" si="3"/>
        <v>11.006767002170761</v>
      </c>
      <c r="G11" s="264">
        <f t="shared" si="4"/>
        <v>3</v>
      </c>
      <c r="I11" s="58">
        <f>(SUMPRODUCT(F7:F14,D7:D14)-F11*D11+SMALL(F7:F14,2)*D11)/(SUM(F7:F14)-F11+SMALL(F7:F14,2))</f>
        <v>-3.7070899232094376E-2</v>
      </c>
      <c r="K11" s="58">
        <f>(SUMPRODUCT(F7:F14,D7:D14)-F11*D11+F11*SMALL(D7:D14,2))/SUM(F7:F14)</f>
        <v>-2.9620471824669231E-2</v>
      </c>
      <c r="L11" s="26">
        <f t="shared" si="5"/>
        <v>121.14891984007515</v>
      </c>
      <c r="M11" s="58"/>
    </row>
    <row r="12" spans="1:13" outlineLevel="1" x14ac:dyDescent="0.3">
      <c r="C12" s="263" t="str">
        <f t="shared" si="0"/>
        <v>Ashraf (2020)</v>
      </c>
      <c r="D12" s="271">
        <f t="shared" si="1"/>
        <v>-2.4009081653636168E-2</v>
      </c>
      <c r="E12" s="272">
        <f t="shared" si="2"/>
        <v>5.5315054827894576E-3</v>
      </c>
      <c r="F12" s="273">
        <f t="shared" si="3"/>
        <v>180.78261028780804</v>
      </c>
      <c r="G12" s="264">
        <f t="shared" si="4"/>
        <v>4</v>
      </c>
      <c r="H12" s="58"/>
      <c r="I12" s="58"/>
      <c r="K12" s="58"/>
      <c r="L12" s="26">
        <f t="shared" si="5"/>
        <v>32682.352182473482</v>
      </c>
      <c r="M12" s="58"/>
    </row>
    <row r="13" spans="1:13" outlineLevel="1" x14ac:dyDescent="0.3">
      <c r="C13" s="263" t="str">
        <f t="shared" si="0"/>
        <v>Yang et al. (2021)</v>
      </c>
      <c r="D13" s="271">
        <f t="shared" si="1"/>
        <v>-0.16329011082141937</v>
      </c>
      <c r="E13" s="272">
        <f t="shared" si="2"/>
        <v>4.523271767906354E-2</v>
      </c>
      <c r="F13" s="273">
        <f t="shared" si="3"/>
        <v>22.107891175039015</v>
      </c>
      <c r="G13" s="264">
        <f t="shared" si="4"/>
        <v>5</v>
      </c>
      <c r="I13" s="58"/>
      <c r="K13" s="58"/>
      <c r="L13" s="26">
        <f t="shared" si="5"/>
        <v>488.75885220736785</v>
      </c>
      <c r="M13" s="58"/>
    </row>
    <row r="14" spans="1:13" outlineLevel="1" x14ac:dyDescent="0.3">
      <c r="C14" s="263" t="str">
        <f t="shared" si="0"/>
        <v>Hale et al. (2021)</v>
      </c>
      <c r="D14" s="271">
        <f t="shared" si="1"/>
        <v>-0.16869018010788994</v>
      </c>
      <c r="E14" s="272">
        <f t="shared" si="2"/>
        <v>2.8115030017981657E-2</v>
      </c>
      <c r="F14" s="273">
        <f t="shared" si="3"/>
        <v>35.568164051769656</v>
      </c>
      <c r="G14" s="264">
        <f t="shared" si="4"/>
        <v>7</v>
      </c>
      <c r="L14" s="26">
        <f t="shared" si="5"/>
        <v>1265.0942940135992</v>
      </c>
      <c r="M14" s="58"/>
    </row>
    <row r="15" spans="1:13" x14ac:dyDescent="0.3">
      <c r="C15" s="265" t="str">
        <f>$C$33</f>
        <v>Precision-weighted average (arithmetic average / median)</v>
      </c>
      <c r="D15" s="266" t="str">
        <f>TEXT(SUMPRODUCT(F7:F14,D7:D14)/SUM(F7:F14),"0.0%") &amp; " (" &amp; TEXT(AVERAGE(D7:D14),"0.0%") &amp; "/"&amp;TEXT(MEDIAN(D7:D14),"0.0%") &amp; "/" &amp; TEXT(SUMPRODUCT(L7:L14,D7:D14)/SUM(L7:L14),"0.0%")&amp;")"</f>
        <v>-3.2% (-8.9%/-5.8%/-2.8%)</v>
      </c>
      <c r="E15" s="265"/>
      <c r="F15" s="267"/>
      <c r="G15" s="267"/>
      <c r="H15" s="178">
        <f>SUM(H7:H14)</f>
        <v>-3.1511280439862482E-2</v>
      </c>
      <c r="I15" s="178">
        <f>SUM(I7:I14)</f>
        <v>-3.7070899232094376E-2</v>
      </c>
      <c r="J15" s="178">
        <f>SUM(J7:J14)</f>
        <v>-4.3554807865769186E-2</v>
      </c>
      <c r="K15" s="178">
        <f>SUM(K7:K14)</f>
        <v>-2.9620471824669231E-2</v>
      </c>
      <c r="L15" s="178"/>
    </row>
    <row r="16" spans="1:13" x14ac:dyDescent="0.3">
      <c r="C16" s="268" t="s">
        <v>6</v>
      </c>
      <c r="D16" s="269" t="str">
        <f>TEXT(MIN(H15:K15),"0.0%") &amp;" to "&amp;TEXT(MAX(H15:K15),"0.0%")&amp;" ("&amp;TEXT(D64,"0.0%")&amp;")"</f>
        <v>-4.4% to -3.0% (-3.8%)</v>
      </c>
      <c r="E16" s="268"/>
      <c r="F16" s="270"/>
      <c r="G16" s="270"/>
      <c r="H16" s="167"/>
      <c r="I16" s="167"/>
      <c r="J16" s="167"/>
      <c r="K16" s="167"/>
      <c r="L16" s="167"/>
    </row>
    <row r="17" spans="2:30" x14ac:dyDescent="0.3">
      <c r="C17" s="179" t="s">
        <v>7</v>
      </c>
      <c r="D17" s="211">
        <f>SUMPRODUCT(F7:F14,$D7:$D14)/SUM(F7:F14)</f>
        <v>-3.2352540409668055E-2</v>
      </c>
      <c r="E17" s="211">
        <f>AVERAGE(D7:D14)</f>
        <v>-8.8869612962278688E-2</v>
      </c>
      <c r="F17" s="211">
        <f>MEDIAN(D7:D14)</f>
        <v>-5.778993652146433E-2</v>
      </c>
      <c r="G17" s="58"/>
      <c r="H17" s="26"/>
      <c r="I17" s="26"/>
      <c r="K17" s="58"/>
      <c r="L17" s="211">
        <f>SUMPRODUCT(L7:L14,$D7:$D14)/SUM(L7:L14)</f>
        <v>-2.7895971929816927E-2</v>
      </c>
      <c r="M17" s="26"/>
      <c r="N17" s="58"/>
    </row>
    <row r="18" spans="2:30" x14ac:dyDescent="0.3">
      <c r="C18" s="212"/>
      <c r="D18" s="213">
        <f>MAX(H15:K15)</f>
        <v>-2.9620471824669231E-2</v>
      </c>
      <c r="E18" s="213">
        <f>MIN(I15:L15)</f>
        <v>-4.3554807865769186E-2</v>
      </c>
      <c r="F18" s="215"/>
      <c r="G18" s="10"/>
    </row>
    <row r="19" spans="2:30" x14ac:dyDescent="0.3">
      <c r="B19" s="26"/>
      <c r="D19" s="26"/>
      <c r="E19" s="26"/>
      <c r="F19" s="26"/>
      <c r="G19" s="26"/>
      <c r="H19" s="10"/>
      <c r="I19" s="10"/>
      <c r="J19" s="10"/>
      <c r="K19" s="10"/>
      <c r="L19" s="10"/>
    </row>
    <row r="20" spans="2:30" x14ac:dyDescent="0.3">
      <c r="B20" s="26"/>
      <c r="D20" s="26"/>
      <c r="E20" s="26"/>
      <c r="F20" s="26"/>
      <c r="G20" s="26"/>
    </row>
    <row r="21" spans="2:30" x14ac:dyDescent="0.3">
      <c r="D21" s="26"/>
      <c r="F21" s="28"/>
    </row>
    <row r="22" spans="2:30" x14ac:dyDescent="0.3">
      <c r="B22" s="4" t="s">
        <v>8</v>
      </c>
      <c r="D22" s="19"/>
    </row>
    <row r="23" spans="2:30" ht="28.5" x14ac:dyDescent="0.3">
      <c r="B23" s="73" t="s">
        <v>9</v>
      </c>
      <c r="C23" s="48" t="s">
        <v>10</v>
      </c>
      <c r="D23" s="50" t="s">
        <v>11</v>
      </c>
      <c r="E23" s="50"/>
      <c r="F23" s="49"/>
      <c r="G23" s="50" t="s">
        <v>12</v>
      </c>
      <c r="H23" s="50"/>
      <c r="L23" s="4" t="s">
        <v>13</v>
      </c>
      <c r="T23" s="4" t="s">
        <v>14</v>
      </c>
    </row>
    <row r="24" spans="2:30" x14ac:dyDescent="0.3">
      <c r="B24" s="74"/>
      <c r="C24" s="42"/>
      <c r="D24" s="43" t="s">
        <v>2</v>
      </c>
      <c r="E24" s="69" t="s">
        <v>15</v>
      </c>
      <c r="F24" s="65" t="s">
        <v>16</v>
      </c>
      <c r="G24" s="43" t="s">
        <v>17</v>
      </c>
      <c r="H24" s="43" t="s">
        <v>18</v>
      </c>
      <c r="K24" s="5"/>
      <c r="L24" s="5" t="s">
        <v>19</v>
      </c>
      <c r="M24" s="5" t="s">
        <v>20</v>
      </c>
      <c r="N24" s="5" t="s">
        <v>21</v>
      </c>
      <c r="O24" s="5" t="s">
        <v>22</v>
      </c>
      <c r="P24" s="5" t="s">
        <v>23</v>
      </c>
      <c r="Q24" s="5" t="s">
        <v>24</v>
      </c>
      <c r="R24" s="5" t="s">
        <v>25</v>
      </c>
      <c r="S24" s="5" t="s">
        <v>26</v>
      </c>
      <c r="T24" s="5" t="s">
        <v>27</v>
      </c>
      <c r="U24" s="5" t="s">
        <v>28</v>
      </c>
      <c r="V24" s="5" t="s">
        <v>29</v>
      </c>
      <c r="W24" s="5" t="s">
        <v>30</v>
      </c>
      <c r="X24" s="5" t="s">
        <v>31</v>
      </c>
      <c r="Y24" s="5" t="s">
        <v>32</v>
      </c>
      <c r="Z24" s="5" t="s">
        <v>33</v>
      </c>
      <c r="AA24" s="136" t="s">
        <v>34</v>
      </c>
      <c r="AB24" s="5" t="s">
        <v>35</v>
      </c>
      <c r="AC24" s="5" t="s">
        <v>36</v>
      </c>
      <c r="AD24" s="5" t="s">
        <v>37</v>
      </c>
    </row>
    <row r="25" spans="2:30" x14ac:dyDescent="0.3">
      <c r="B25" s="76">
        <f>B537</f>
        <v>1</v>
      </c>
      <c r="C25" s="44" t="str">
        <f>D537</f>
        <v>Bjørnskov (2021)</v>
      </c>
      <c r="D25" s="125">
        <f>F540</f>
        <v>-6.0000000000000001E-3</v>
      </c>
      <c r="E25" s="125">
        <f>G540</f>
        <v>1.6E-2</v>
      </c>
      <c r="F25" s="67" t="s">
        <v>38</v>
      </c>
      <c r="G25" s="257">
        <f>D540</f>
        <v>-3.1714982727932828E-3</v>
      </c>
      <c r="H25" s="257">
        <f>E540</f>
        <v>-2.9925912160233548E-3</v>
      </c>
      <c r="K25" s="29" t="str">
        <f t="shared" ref="K25:K32" si="6">C25</f>
        <v>Bjørnskov (2021)</v>
      </c>
      <c r="L25" s="55">
        <v>44012</v>
      </c>
      <c r="M25" s="55" t="s">
        <v>39</v>
      </c>
      <c r="N25" s="29" t="s">
        <v>40</v>
      </c>
      <c r="O25" s="29" t="s">
        <v>41</v>
      </c>
      <c r="P25" s="29" t="s">
        <v>42</v>
      </c>
      <c r="Q25" s="29" t="s">
        <v>42</v>
      </c>
      <c r="R25" s="29" t="s">
        <v>43</v>
      </c>
      <c r="S25" s="29" t="s">
        <v>44</v>
      </c>
      <c r="T25">
        <f>IF(O25=Input!$J$5,1,0)</f>
        <v>1</v>
      </c>
      <c r="U25">
        <f>IF(L25&gt;Input!$V$5,1,0)</f>
        <v>1</v>
      </c>
      <c r="V25">
        <f>INDEX(Input!$Y$5:$Y$10,MATCH(M25,Input!$X$5:$X$10,0))</f>
        <v>0</v>
      </c>
      <c r="W25">
        <f>IF(P25=Input!$AD$5,1,0)</f>
        <v>1</v>
      </c>
      <c r="X25">
        <f>IF(Q25=Input!$AD$5,1,0)</f>
        <v>1</v>
      </c>
      <c r="Y25">
        <f>IFERROR(INDEX(Input!$Q$5:$Q$14,MATCH(R25,Input!$P$5:$P$14,0)),0)</f>
        <v>1</v>
      </c>
      <c r="Z25">
        <f>IFERROR(INDEX(Input!$AB$5:$AB$9,MATCH(S25,Input!$AA$5:$AA$9,0)),0)</f>
        <v>1</v>
      </c>
      <c r="AA25" s="114">
        <f>INDEX(Input!$D$4:$D$28,MATCH(N25,Input!$C$4:$C$28,0))</f>
        <v>1</v>
      </c>
      <c r="AB25">
        <f t="shared" ref="AB25:AB32" si="7">IF(MIN(W25,X25,Z25)=1,1,0)</f>
        <v>1</v>
      </c>
      <c r="AC25" s="274">
        <f t="shared" ref="AC25:AC32" si="8">(SUM(T25:AA25)/COUNT(T25:AA25))^2</f>
        <v>0.765625</v>
      </c>
      <c r="AD25">
        <f t="shared" ref="AD25:AD32" si="9">F7*AC25</f>
        <v>93.155485662852811</v>
      </c>
    </row>
    <row r="26" spans="2:30" x14ac:dyDescent="0.3">
      <c r="B26" s="77">
        <f>B559</f>
        <v>14</v>
      </c>
      <c r="C26" s="45" t="str">
        <f>D559</f>
        <v>Shiva and Molana (2021)</v>
      </c>
      <c r="D26" s="124">
        <f>D562</f>
        <v>-1.3309999999999999E-3</v>
      </c>
      <c r="E26" s="124">
        <f>E562</f>
        <v>1.3090000000000001E-4</v>
      </c>
      <c r="F26" s="68" t="s">
        <v>45</v>
      </c>
      <c r="G26" s="258">
        <f>D570</f>
        <v>-4.1630381168814345E-2</v>
      </c>
      <c r="H26" s="258">
        <f>E570</f>
        <v>-3.8689148964832998E-2</v>
      </c>
      <c r="K26" s="29" t="str">
        <f t="shared" si="6"/>
        <v>Shiva and Molana (2021)</v>
      </c>
      <c r="L26" s="55">
        <v>43990</v>
      </c>
      <c r="M26" s="55" t="s">
        <v>46</v>
      </c>
      <c r="N26" s="29" t="s">
        <v>47</v>
      </c>
      <c r="O26" s="29" t="s">
        <v>41</v>
      </c>
      <c r="P26" s="29" t="s">
        <v>42</v>
      </c>
      <c r="Q26" s="29" t="s">
        <v>42</v>
      </c>
      <c r="R26" s="29" t="s">
        <v>43</v>
      </c>
      <c r="S26" s="29" t="s">
        <v>48</v>
      </c>
      <c r="T26">
        <f>IF(O26=Input!$J$5,1,0)</f>
        <v>1</v>
      </c>
      <c r="U26">
        <f>IF(L26&gt;Input!$V$5,1,0)</f>
        <v>1</v>
      </c>
      <c r="V26">
        <f>INDEX(Input!$Y$5:$Y$10,MATCH(M26,Input!$X$5:$X$10,0))</f>
        <v>1</v>
      </c>
      <c r="W26">
        <f>IF(P26=Input!$AD$5,1,0)</f>
        <v>1</v>
      </c>
      <c r="X26">
        <f>IF(Q26=Input!$AD$5,1,0)</f>
        <v>1</v>
      </c>
      <c r="Y26">
        <f>IFERROR(INDEX(Input!$Q$5:$Q$14,MATCH(R26,Input!$P$5:$P$14,0)),0)</f>
        <v>1</v>
      </c>
      <c r="Z26">
        <f>IFERROR(INDEX(Input!$AB$5:$AB$9,MATCH(S26,Input!$AA$5:$AA$9,0)),0)</f>
        <v>0</v>
      </c>
      <c r="AA26" s="114">
        <f>INDEX(Input!$D$4:$D$28,MATCH(N26,Input!$C$4:$C$28,0))</f>
        <v>1</v>
      </c>
      <c r="AB26">
        <f t="shared" si="7"/>
        <v>0</v>
      </c>
      <c r="AC26" s="21">
        <f t="shared" si="8"/>
        <v>0.765625</v>
      </c>
      <c r="AD26">
        <f t="shared" si="9"/>
        <v>193.84890468444075</v>
      </c>
    </row>
    <row r="27" spans="2:30" x14ac:dyDescent="0.3">
      <c r="B27" s="78">
        <f>B701</f>
        <v>49</v>
      </c>
      <c r="C27" s="46" t="str">
        <f>D701</f>
        <v>Chisadza et al. (2021)</v>
      </c>
      <c r="D27" s="124">
        <f>E704</f>
        <v>1.2999999999999999E-2</v>
      </c>
      <c r="E27" s="124">
        <f>F704</f>
        <v>1.6000000000000001E-3</v>
      </c>
      <c r="F27" s="219" t="s">
        <v>45</v>
      </c>
      <c r="G27" s="258">
        <f>D723</f>
        <v>9.4089562490236922E-2</v>
      </c>
      <c r="H27" s="258">
        <f>E723</f>
        <v>0.14021573059597614</v>
      </c>
      <c r="I27" s="10"/>
      <c r="K27" s="29" t="str">
        <f t="shared" si="6"/>
        <v>Chisadza et al. (2021)</v>
      </c>
      <c r="L27" s="55">
        <v>44075</v>
      </c>
      <c r="M27" s="55" t="s">
        <v>49</v>
      </c>
      <c r="N27" s="29" t="s">
        <v>40</v>
      </c>
      <c r="O27" s="29" t="s">
        <v>41</v>
      </c>
      <c r="P27" s="29" t="s">
        <v>50</v>
      </c>
      <c r="Q27" s="29" t="s">
        <v>51</v>
      </c>
      <c r="R27" s="29" t="s">
        <v>43</v>
      </c>
      <c r="S27" s="29" t="s">
        <v>48</v>
      </c>
      <c r="T27">
        <f>IF(O27=Input!$J$5,1,0)</f>
        <v>1</v>
      </c>
      <c r="U27">
        <f>IF(L27&gt;Input!$V$5,1,0)</f>
        <v>1</v>
      </c>
      <c r="V27">
        <f>INDEX(Input!$Y$5:$Y$10,MATCH(M27,Input!$X$5:$X$10,0))</f>
        <v>0</v>
      </c>
      <c r="W27">
        <f>IF(P27=Input!$AD$5,1,0)</f>
        <v>0</v>
      </c>
      <c r="X27">
        <f>IF(Q27=Input!$AD$5,1,0)</f>
        <v>0</v>
      </c>
      <c r="Y27">
        <f>IFERROR(INDEX(Input!$Q$5:$Q$14,MATCH(R27,Input!$P$5:$P$14,0)),0)</f>
        <v>1</v>
      </c>
      <c r="Z27">
        <f>IFERROR(INDEX(Input!$AB$5:$AB$9,MATCH(S27,Input!$AA$5:$AA$9,0)),0)</f>
        <v>0</v>
      </c>
      <c r="AA27" s="114">
        <f>INDEX(Input!$D$4:$D$28,MATCH(N27,Input!$C$4:$C$28,0))</f>
        <v>1</v>
      </c>
      <c r="AB27">
        <f t="shared" si="7"/>
        <v>0</v>
      </c>
      <c r="AC27" s="21">
        <f t="shared" si="8"/>
        <v>0.25</v>
      </c>
      <c r="AD27">
        <f t="shared" si="9"/>
        <v>17.338490080568498</v>
      </c>
    </row>
    <row r="28" spans="2:30" x14ac:dyDescent="0.3">
      <c r="B28" s="78">
        <f>B1091</f>
        <v>89</v>
      </c>
      <c r="C28" s="46" t="str">
        <f>D1091</f>
        <v>Goldstein et al. (2021)</v>
      </c>
      <c r="D28" s="124">
        <f>D1099</f>
        <v>-1.1534090909090908</v>
      </c>
      <c r="E28" s="124">
        <f>D1100</f>
        <v>0.30164870590402498</v>
      </c>
      <c r="F28" s="219" t="s">
        <v>52</v>
      </c>
      <c r="G28" s="258">
        <f>E1127</f>
        <v>-9.2460755649775406E-2</v>
      </c>
      <c r="H28" s="258">
        <f>F1127</f>
        <v>-5.8379460302434572E-2</v>
      </c>
      <c r="I28" s="10"/>
      <c r="J28" s="10"/>
      <c r="K28" s="29" t="str">
        <f t="shared" si="6"/>
        <v>Goldstein et al. (2021)</v>
      </c>
      <c r="L28" s="55">
        <v>44196</v>
      </c>
      <c r="M28" s="55" t="s">
        <v>39</v>
      </c>
      <c r="N28" s="29" t="s">
        <v>53</v>
      </c>
      <c r="O28" s="29" t="s">
        <v>54</v>
      </c>
      <c r="P28" s="29" t="s">
        <v>42</v>
      </c>
      <c r="Q28" s="29" t="s">
        <v>42</v>
      </c>
      <c r="R28" s="29" t="s">
        <v>43</v>
      </c>
      <c r="S28" s="29" t="s">
        <v>55</v>
      </c>
      <c r="T28">
        <f>IF(O28=Input!$J$5,1,0)</f>
        <v>0</v>
      </c>
      <c r="U28">
        <f>IF(L28&gt;Input!$V$5,1,0)</f>
        <v>1</v>
      </c>
      <c r="V28">
        <f>INDEX(Input!$Y$5:$Y$10,MATCH(M28,Input!$X$5:$X$10,0))</f>
        <v>0</v>
      </c>
      <c r="W28">
        <f>IF(P28=Input!$AD$5,1,0)</f>
        <v>1</v>
      </c>
      <c r="X28">
        <f>IF(Q28=Input!$AD$5,1,0)</f>
        <v>1</v>
      </c>
      <c r="Y28">
        <f>IFERROR(INDEX(Input!$Q$5:$Q$14,MATCH(R28,Input!$P$5:$P$14,0)),0)</f>
        <v>1</v>
      </c>
      <c r="Z28">
        <f>IFERROR(INDEX(Input!$AB$5:$AB$9,MATCH(S28,Input!$AA$5:$AA$9,0)),0)</f>
        <v>1</v>
      </c>
      <c r="AA28" s="114">
        <f>INDEX(Input!$D$4:$D$28,MATCH(N28,Input!$C$4:$C$28,0))</f>
        <v>1</v>
      </c>
      <c r="AB28">
        <f t="shared" si="7"/>
        <v>1</v>
      </c>
      <c r="AC28" s="21">
        <f t="shared" si="8"/>
        <v>0.5625</v>
      </c>
      <c r="AD28">
        <f t="shared" si="9"/>
        <v>28.517882845202898</v>
      </c>
    </row>
    <row r="29" spans="2:30" x14ac:dyDescent="0.3">
      <c r="B29" s="78">
        <f>B1198</f>
        <v>99</v>
      </c>
      <c r="C29" s="46" t="str">
        <f>D1198</f>
        <v>Fuller et al. (2021)</v>
      </c>
      <c r="D29" s="124">
        <f>D1202</f>
        <v>-0.54585152838427953</v>
      </c>
      <c r="E29" s="124">
        <f>H1202</f>
        <v>0.14030612244897961</v>
      </c>
      <c r="F29" s="219" t="s">
        <v>52</v>
      </c>
      <c r="G29" s="258">
        <f>D1210</f>
        <v>-0.40984608372672188</v>
      </c>
      <c r="H29" s="258">
        <f>E1210</f>
        <v>-0.29707043601538513</v>
      </c>
      <c r="K29" s="29" t="str">
        <f t="shared" si="6"/>
        <v>Fuller et al. (2021)</v>
      </c>
      <c r="L29" s="55">
        <v>44012</v>
      </c>
      <c r="M29" s="55" t="s">
        <v>49</v>
      </c>
      <c r="N29" s="29" t="s">
        <v>56</v>
      </c>
      <c r="O29" s="29" t="s">
        <v>54</v>
      </c>
      <c r="P29" s="29" t="s">
        <v>42</v>
      </c>
      <c r="Q29" s="29" t="s">
        <v>50</v>
      </c>
      <c r="R29" s="29" t="s">
        <v>43</v>
      </c>
      <c r="S29" s="29" t="s">
        <v>48</v>
      </c>
      <c r="T29">
        <f>IF(O29=Input!$J$5,1,0)</f>
        <v>0</v>
      </c>
      <c r="U29">
        <f>IF(L29&gt;Input!$V$5,1,0)</f>
        <v>1</v>
      </c>
      <c r="V29">
        <f>INDEX(Input!$Y$5:$Y$10,MATCH(M29,Input!$X$5:$X$10,0))</f>
        <v>0</v>
      </c>
      <c r="W29">
        <f>IF(P29=Input!$AD$5,1,0)</f>
        <v>1</v>
      </c>
      <c r="X29">
        <f>IF(Q29=Input!$AD$5,1,0)</f>
        <v>0</v>
      </c>
      <c r="Y29">
        <f>IFERROR(INDEX(Input!$Q$5:$Q$14,MATCH(R29,Input!$P$5:$P$14,0)),0)</f>
        <v>1</v>
      </c>
      <c r="Z29">
        <f>IFERROR(INDEX(Input!$AB$5:$AB$9,MATCH(S29,Input!$AA$5:$AA$9,0)),0)</f>
        <v>0</v>
      </c>
      <c r="AA29" s="114">
        <f>INDEX(Input!$D$4:$D$28,MATCH(N29,Input!$C$4:$C$28,0))</f>
        <v>0</v>
      </c>
      <c r="AB29">
        <f t="shared" si="7"/>
        <v>0</v>
      </c>
      <c r="AC29" s="21">
        <f t="shared" si="8"/>
        <v>0.140625</v>
      </c>
      <c r="AD29">
        <f t="shared" si="9"/>
        <v>1.5478266096802633</v>
      </c>
    </row>
    <row r="30" spans="2:30" x14ac:dyDescent="0.3">
      <c r="B30" s="182">
        <f>B1212</f>
        <v>102</v>
      </c>
      <c r="C30" s="46" t="str">
        <f>D1212</f>
        <v>Ashraf (2020)</v>
      </c>
      <c r="D30" s="124">
        <f>C1217</f>
        <v>-0.19950000000000001</v>
      </c>
      <c r="E30" s="124">
        <f>F1217</f>
        <v>4.596324673040407E-2</v>
      </c>
      <c r="F30" s="219" t="s">
        <v>52</v>
      </c>
      <c r="G30" s="259">
        <f>D1227</f>
        <v>-2.8140136545498032E-2</v>
      </c>
      <c r="H30" s="259">
        <f>E1227</f>
        <v>-1.9878026761774303E-2</v>
      </c>
      <c r="K30" s="29" t="str">
        <f t="shared" si="6"/>
        <v>Ashraf (2020)</v>
      </c>
      <c r="L30" s="55">
        <v>43971</v>
      </c>
      <c r="M30" s="55" t="s">
        <v>49</v>
      </c>
      <c r="N30" s="29" t="s">
        <v>40</v>
      </c>
      <c r="O30" s="29" t="s">
        <v>54</v>
      </c>
      <c r="P30" s="29" t="s">
        <v>50</v>
      </c>
      <c r="Q30" s="29" t="s">
        <v>42</v>
      </c>
      <c r="R30" s="29" t="s">
        <v>43</v>
      </c>
      <c r="S30" s="29" t="s">
        <v>57</v>
      </c>
      <c r="T30">
        <f>IF(O30=Input!$J$5,1,0)</f>
        <v>0</v>
      </c>
      <c r="U30">
        <f>IF(L30&gt;Input!$V$5,1,0)</f>
        <v>0</v>
      </c>
      <c r="V30">
        <f>INDEX(Input!$Y$5:$Y$10,MATCH(M30,Input!$X$5:$X$10,0))</f>
        <v>0</v>
      </c>
      <c r="W30">
        <f>IF(P30=Input!$AD$5,1,0)</f>
        <v>0</v>
      </c>
      <c r="X30">
        <f>IF(Q30=Input!$AD$5,1,0)</f>
        <v>1</v>
      </c>
      <c r="Y30">
        <f>IFERROR(INDEX(Input!$Q$5:$Q$14,MATCH(R30,Input!$P$5:$P$14,0)),0)</f>
        <v>1</v>
      </c>
      <c r="Z30">
        <f>IFERROR(INDEX(Input!$AB$5:$AB$9,MATCH(S30,Input!$AA$5:$AA$9,0)),0)</f>
        <v>1</v>
      </c>
      <c r="AA30" s="114">
        <f>INDEX(Input!$D$4:$D$28,MATCH(N30,Input!$C$4:$C$28,0))</f>
        <v>1</v>
      </c>
      <c r="AB30">
        <f t="shared" si="7"/>
        <v>0</v>
      </c>
      <c r="AC30" s="21">
        <f t="shared" si="8"/>
        <v>0.25</v>
      </c>
      <c r="AD30">
        <f t="shared" si="9"/>
        <v>45.19565257195201</v>
      </c>
    </row>
    <row r="31" spans="2:30" x14ac:dyDescent="0.3">
      <c r="B31" s="182">
        <f>B1395</f>
        <v>137</v>
      </c>
      <c r="C31" s="183" t="str">
        <f>D1395</f>
        <v>Yang et al. (2021)</v>
      </c>
      <c r="D31" s="124">
        <f>D1399</f>
        <v>-1.7999999999999999E-2</v>
      </c>
      <c r="E31" s="124">
        <f>F1399</f>
        <v>4.9861495844875344E-3</v>
      </c>
      <c r="F31" s="68" t="s">
        <v>52</v>
      </c>
      <c r="G31" s="259">
        <f>H1399</f>
        <v>-0.19681305004557051</v>
      </c>
      <c r="H31" s="259">
        <f>I1399</f>
        <v>-0.12976717159726825</v>
      </c>
      <c r="I31" s="10"/>
      <c r="J31" s="10"/>
      <c r="K31" s="29" t="str">
        <f t="shared" si="6"/>
        <v>Yang et al. (2021)</v>
      </c>
      <c r="L31" s="55">
        <v>44168</v>
      </c>
      <c r="M31" s="55" t="s">
        <v>39</v>
      </c>
      <c r="N31" s="29" t="s">
        <v>40</v>
      </c>
      <c r="O31" s="29" t="s">
        <v>41</v>
      </c>
      <c r="P31" s="29" t="s">
        <v>42</v>
      </c>
      <c r="Q31" s="29" t="s">
        <v>50</v>
      </c>
      <c r="R31" s="29" t="s">
        <v>43</v>
      </c>
      <c r="S31" s="29" t="s">
        <v>48</v>
      </c>
      <c r="T31">
        <f>IF(O31=Input!$J$5,1,0)</f>
        <v>1</v>
      </c>
      <c r="U31">
        <f>IF(L31&gt;Input!$V$5,1,0)</f>
        <v>1</v>
      </c>
      <c r="V31">
        <f>INDEX(Input!$Y$5:$Y$10,MATCH(M31,Input!$X$5:$X$10,0))</f>
        <v>0</v>
      </c>
      <c r="W31">
        <f>IF(P31=Input!$AD$5,1,0)</f>
        <v>1</v>
      </c>
      <c r="X31">
        <f>IF(Q31=Input!$AD$5,1,0)</f>
        <v>0</v>
      </c>
      <c r="Y31">
        <f>IFERROR(INDEX(Input!$Q$5:$Q$14,MATCH(R31,Input!$P$5:$P$14,0)),0)</f>
        <v>1</v>
      </c>
      <c r="Z31">
        <f>IFERROR(INDEX(Input!$AB$5:$AB$9,MATCH(S31,Input!$AA$5:$AA$9,0)),0)</f>
        <v>0</v>
      </c>
      <c r="AA31" s="114">
        <f>INDEX(Input!$D$4:$D$28,MATCH(N31,Input!$C$4:$C$28,0))</f>
        <v>1</v>
      </c>
      <c r="AB31">
        <f t="shared" si="7"/>
        <v>0</v>
      </c>
      <c r="AC31" s="21">
        <f t="shared" si="8"/>
        <v>0.390625</v>
      </c>
      <c r="AD31">
        <f t="shared" si="9"/>
        <v>8.6358949902496143</v>
      </c>
    </row>
    <row r="32" spans="2:30" x14ac:dyDescent="0.3">
      <c r="B32" s="79">
        <f>B1418</f>
        <v>146</v>
      </c>
      <c r="C32" s="47" t="str">
        <f>D1418</f>
        <v>Hale et al. (2021)</v>
      </c>
      <c r="D32" s="309">
        <f>E1422</f>
        <v>-6.0000000000000001E-3</v>
      </c>
      <c r="E32" s="310">
        <f>F1422</f>
        <v>1E-3</v>
      </c>
      <c r="F32" s="220" t="s">
        <v>45</v>
      </c>
      <c r="G32" s="260">
        <f>D1432</f>
        <v>-0.17443174008191442</v>
      </c>
      <c r="H32" s="260">
        <f>E1432</f>
        <v>-0.16294862013386546</v>
      </c>
      <c r="I32" s="10"/>
      <c r="J32" s="10"/>
      <c r="K32" s="30" t="str">
        <f t="shared" si="6"/>
        <v>Hale et al. (2021)</v>
      </c>
      <c r="L32" s="54">
        <v>44266</v>
      </c>
      <c r="M32" s="54" t="s">
        <v>49</v>
      </c>
      <c r="N32" s="30" t="s">
        <v>47</v>
      </c>
      <c r="O32" s="30" t="s">
        <v>41</v>
      </c>
      <c r="P32" s="30" t="s">
        <v>42</v>
      </c>
      <c r="Q32" s="30" t="s">
        <v>42</v>
      </c>
      <c r="R32" s="30" t="s">
        <v>43</v>
      </c>
      <c r="S32" s="30" t="s">
        <v>57</v>
      </c>
      <c r="T32" s="12">
        <f>IF(O32=Input!$J$5,1,0)</f>
        <v>1</v>
      </c>
      <c r="U32" s="12">
        <f>IF(L32&gt;Input!$V$5,1,0)</f>
        <v>1</v>
      </c>
      <c r="V32" s="12">
        <f>INDEX(Input!$Y$5:$Y$10,MATCH(M32,Input!$X$5:$X$10,0))</f>
        <v>0</v>
      </c>
      <c r="W32" s="12">
        <f>IF(P32=Input!$AD$5,1,0)</f>
        <v>1</v>
      </c>
      <c r="X32" s="12">
        <f>IF(Q32=Input!$AD$5,1,0)</f>
        <v>1</v>
      </c>
      <c r="Y32" s="12">
        <f>IFERROR(INDEX(Input!$Q$5:$Q$14,MATCH(R32,Input!$P$5:$P$14,0)),0)</f>
        <v>1</v>
      </c>
      <c r="Z32" s="12">
        <f>IFERROR(INDEX(Input!$AB$5:$AB$9,MATCH(S32,Input!$AA$5:$AA$9,0)),0)</f>
        <v>1</v>
      </c>
      <c r="AA32" s="42">
        <f>INDEX(Input!$D$4:$D$28,MATCH(N32,Input!$C$4:$C$28,0))</f>
        <v>1</v>
      </c>
      <c r="AB32" s="12">
        <f t="shared" si="7"/>
        <v>1</v>
      </c>
      <c r="AC32" s="38">
        <f t="shared" si="8"/>
        <v>0.765625</v>
      </c>
      <c r="AD32" s="12">
        <f t="shared" si="9"/>
        <v>27.231875602136142</v>
      </c>
    </row>
    <row r="33" spans="2:18" x14ac:dyDescent="0.3">
      <c r="B33" s="75"/>
      <c r="C33" s="56" t="s">
        <v>58</v>
      </c>
      <c r="D33" s="123"/>
      <c r="E33" s="123"/>
      <c r="F33" s="66"/>
      <c r="G33" s="117"/>
      <c r="H33" s="117"/>
    </row>
    <row r="34" spans="2:18" x14ac:dyDescent="0.3">
      <c r="C34" s="62"/>
      <c r="G34" s="10"/>
      <c r="H34" s="10"/>
    </row>
    <row r="35" spans="2:18" x14ac:dyDescent="0.3">
      <c r="D35" s="58"/>
      <c r="E35" s="19"/>
      <c r="F35" s="10"/>
      <c r="G35" s="10"/>
      <c r="H35" s="10"/>
    </row>
    <row r="36" spans="2:18" x14ac:dyDescent="0.3">
      <c r="C36" s="52"/>
      <c r="D36" s="130" t="s">
        <v>59</v>
      </c>
      <c r="E36" s="129" t="s">
        <v>60</v>
      </c>
      <c r="F36" s="129" t="s">
        <v>61</v>
      </c>
      <c r="G36" s="10"/>
      <c r="H36" s="28"/>
      <c r="I36" s="10"/>
      <c r="J36" s="10"/>
      <c r="K36" s="10"/>
      <c r="L36" s="10"/>
    </row>
    <row r="37" spans="2:18" x14ac:dyDescent="0.3">
      <c r="C37" s="275" t="s">
        <v>62</v>
      </c>
      <c r="D37" s="276"/>
      <c r="E37" s="276"/>
      <c r="F37" s="277"/>
      <c r="K37" s="10"/>
      <c r="L37" s="10"/>
    </row>
    <row r="38" spans="2:18" x14ac:dyDescent="0.3">
      <c r="B38" s="61">
        <v>1</v>
      </c>
      <c r="C38" s="278" t="str">
        <f>G38&amp;" ["&amp;COUNTIFS($T$25:$T$32,B38)&amp;"]"</f>
        <v>Peer-reviewed [5]</v>
      </c>
      <c r="D38" s="271">
        <f>SUMPRODUCT(D7:D14,F7:F14,T25:T32)/SUMPRODUCT(F7:F14,T25:T32)</f>
        <v>-2.3965406565708117E-2</v>
      </c>
      <c r="E38" s="271">
        <f>AVERAGEIF($T$25:$T$32,$B38,D$7:D$14)</f>
        <v>-5.1613890839486955E-2</v>
      </c>
      <c r="F38" s="271" cm="1">
        <f t="array" ref="F38">MEDIAN(IF($T$25:$T$32=$B38,D$7:D$14))</f>
        <v>-4.0159765066823672E-2</v>
      </c>
      <c r="G38" s="336" t="s">
        <v>27</v>
      </c>
      <c r="K38" s="10"/>
      <c r="L38" s="10"/>
      <c r="M38" s="28"/>
      <c r="N38" s="28"/>
      <c r="O38" s="28"/>
      <c r="P38" s="26"/>
      <c r="Q38" s="26"/>
      <c r="R38" s="26"/>
    </row>
    <row r="39" spans="2:18" x14ac:dyDescent="0.3">
      <c r="B39" s="61">
        <v>0</v>
      </c>
      <c r="C39" s="279" t="str">
        <f>G39&amp;" ["&amp;COUNTIFS($T$25:$T$32,B39)&amp;"]"</f>
        <v>Working paper [3]</v>
      </c>
      <c r="D39" s="280" cm="1">
        <f t="array" ref="D39">SUMPRODUCT(D7:D14,F7:F14,1-T25:T32)/SUMPRODUCT(F7:F14,1-T25:T32)</f>
        <v>-4.971193847964174E-2</v>
      </c>
      <c r="E39" s="280">
        <f>AVERAGEIF($T$25:$T$32,$B39,D$7:D$14)</f>
        <v>-0.15096248316693156</v>
      </c>
      <c r="F39" s="280" cm="1">
        <f t="array" ref="F39">MEDIAN(IF($T$25:$T$32=$B39,D$7:D$14))</f>
        <v>-7.5420107976104989E-2</v>
      </c>
      <c r="G39" s="336" t="s">
        <v>63</v>
      </c>
      <c r="I39" s="10"/>
      <c r="J39" s="10"/>
      <c r="K39" s="10"/>
      <c r="L39" s="10"/>
      <c r="M39" s="28"/>
      <c r="N39" s="28"/>
      <c r="O39" s="28"/>
      <c r="P39" s="26"/>
      <c r="Q39" s="26"/>
      <c r="R39" s="26"/>
    </row>
    <row r="40" spans="2:18" x14ac:dyDescent="0.3">
      <c r="B40" s="60"/>
      <c r="C40" s="275" t="s">
        <v>64</v>
      </c>
      <c r="D40" s="271"/>
      <c r="E40" s="271"/>
      <c r="F40" s="281"/>
      <c r="G40" s="336"/>
      <c r="I40" s="10"/>
      <c r="J40" s="10"/>
      <c r="K40" s="10"/>
      <c r="L40" s="10"/>
      <c r="P40" s="26"/>
      <c r="Q40" s="26"/>
      <c r="R40" s="26"/>
    </row>
    <row r="41" spans="2:18" x14ac:dyDescent="0.3">
      <c r="B41" s="61">
        <v>1</v>
      </c>
      <c r="C41" s="278" t="str">
        <f>G41&amp;" ["&amp;COUNTIFS($U$25:$U$32,B41)&amp;"]"</f>
        <v>Data serie ends after 31 May 2020 [7]</v>
      </c>
      <c r="D41" s="271">
        <f>SUMPRODUCT(D7:D14,F7:F14,U25:U32)/SUMPRODUCT(F7:F14,U25:U32)</f>
        <v>-3.5028830844678775E-2</v>
      </c>
      <c r="E41" s="271">
        <f>AVERAGEIF($U$25:$U$32,$B41,D$7:D$14)</f>
        <v>-9.8135403149227612E-2</v>
      </c>
      <c r="F41" s="271" cm="1">
        <f t="array" ref="F41">MEDIAN(IF($U$25:$U$32=$B41,D$7:D$14))</f>
        <v>-7.5420107976104989E-2</v>
      </c>
      <c r="G41" s="336" t="s">
        <v>65</v>
      </c>
      <c r="I41" s="10"/>
      <c r="J41" s="10"/>
      <c r="K41" s="10"/>
      <c r="L41" s="10"/>
      <c r="M41" s="28"/>
      <c r="N41" s="28"/>
      <c r="O41" s="28"/>
      <c r="P41" s="26"/>
      <c r="Q41" s="26"/>
      <c r="R41" s="26"/>
    </row>
    <row r="42" spans="2:18" x14ac:dyDescent="0.3">
      <c r="B42" s="61">
        <v>0</v>
      </c>
      <c r="C42" s="279" t="str">
        <f>G42&amp;" ["&amp;COUNTIFS($U$25:$U$32,B42)&amp;"]"</f>
        <v>Data serie ends before 31 May 2020 [1]</v>
      </c>
      <c r="D42" s="280">
        <f>SUMPRODUCT(D7:D14,F7:F14,1-U25:U32)/SUMPRODUCT(F7:F14,1-U25:U32)</f>
        <v>-2.4009081653636168E-2</v>
      </c>
      <c r="E42" s="280">
        <f>AVERAGEIF($U$25:$U$32,$B42,D$7:D$14)</f>
        <v>-2.4009081653636168E-2</v>
      </c>
      <c r="F42" s="280" cm="1">
        <f t="array" ref="F42">MEDIAN(IF($U$25:$U$32=$B42,D$7:D$14))</f>
        <v>-2.4009081653636168E-2</v>
      </c>
      <c r="G42" s="336" t="s">
        <v>66</v>
      </c>
      <c r="I42" s="10"/>
      <c r="J42" s="10"/>
      <c r="K42" s="10"/>
      <c r="L42" s="10"/>
      <c r="M42" s="28"/>
      <c r="N42" s="28"/>
      <c r="O42" s="28"/>
      <c r="P42" s="26"/>
      <c r="Q42" s="26"/>
      <c r="R42" s="26"/>
    </row>
    <row r="43" spans="2:18" x14ac:dyDescent="0.3">
      <c r="B43" s="60"/>
      <c r="C43" s="275" t="s">
        <v>67</v>
      </c>
      <c r="D43" s="271"/>
      <c r="E43" s="271"/>
      <c r="F43" s="281"/>
      <c r="G43" s="336"/>
      <c r="I43" s="10"/>
      <c r="J43" s="10"/>
      <c r="K43" s="10"/>
      <c r="L43" s="10"/>
      <c r="P43" s="26"/>
      <c r="Q43" s="26"/>
      <c r="R43" s="26"/>
    </row>
    <row r="44" spans="2:18" x14ac:dyDescent="0.3">
      <c r="B44" s="61">
        <v>1</v>
      </c>
      <c r="C44" s="278" t="str">
        <f>G44&amp;" ["&amp;COUNTIFS($V$25:$V$32,B44)&amp;"]"</f>
        <v>Does not find an effect within the first 14 days [1]</v>
      </c>
      <c r="D44" s="271">
        <f>SUMPRODUCT(D7:D14,F7:F14,V25:V32)/SUMPRODUCT(F7:F14,V25:V32)</f>
        <v>-4.0159765066823672E-2</v>
      </c>
      <c r="E44" s="271">
        <f>AVERAGEIF($V$25:$V$32,$B44,D$7:D$14)</f>
        <v>-4.0159765066823672E-2</v>
      </c>
      <c r="F44" s="271" cm="1">
        <f t="array" ref="F44">MEDIAN(IF($V$25:$V$32=$B44,D$7:D$14))</f>
        <v>-4.0159765066823672E-2</v>
      </c>
      <c r="G44" s="336" t="s">
        <v>68</v>
      </c>
      <c r="I44" s="10"/>
      <c r="J44" s="10"/>
      <c r="K44" s="10"/>
      <c r="L44" s="10"/>
      <c r="M44" s="28"/>
      <c r="N44" s="28"/>
      <c r="O44" s="28"/>
      <c r="P44" s="26"/>
      <c r="Q44" s="26"/>
      <c r="R44" s="26"/>
    </row>
    <row r="45" spans="2:18" x14ac:dyDescent="0.3">
      <c r="B45" s="61">
        <v>0</v>
      </c>
      <c r="C45" s="279" t="str">
        <f>G45&amp;" ["&amp;COUNTIFS($V$25:$V$32,B45)&amp;"]"</f>
        <v>Finds effect within the first 14 days (including n/a) [7]</v>
      </c>
      <c r="D45" s="280">
        <f>SUMPRODUCT(D7:D14,F7:F14,1-V25:V32)/SUMPRODUCT(F7:F14,1-V25:V32)</f>
        <v>-2.8328205458715186E-2</v>
      </c>
      <c r="E45" s="280">
        <f>AVERAGEIF($V$25:$V$32,$B45,D$7:D$14)</f>
        <v>-9.5828162661629399E-2</v>
      </c>
      <c r="F45" s="280" cm="1">
        <f t="array" ref="F45">MEDIAN(IF($V$25:$V$32=$B45,D$7:D$14))</f>
        <v>-7.5420107976104989E-2</v>
      </c>
      <c r="G45" s="336" t="s">
        <v>69</v>
      </c>
      <c r="I45" s="10"/>
      <c r="J45" s="10"/>
      <c r="K45" s="10"/>
      <c r="L45" s="10"/>
      <c r="M45" s="28"/>
      <c r="N45" s="28"/>
      <c r="O45" s="28"/>
      <c r="P45" s="26"/>
      <c r="Q45" s="26"/>
      <c r="R45" s="26"/>
    </row>
    <row r="46" spans="2:18" x14ac:dyDescent="0.3">
      <c r="B46" s="60"/>
      <c r="C46" s="275" t="s">
        <v>70</v>
      </c>
      <c r="D46" s="271"/>
      <c r="E46" s="271"/>
      <c r="F46" s="281"/>
      <c r="G46" s="336"/>
      <c r="I46" s="10"/>
      <c r="J46" s="10"/>
      <c r="K46" s="10"/>
      <c r="L46" s="10"/>
      <c r="P46" s="26"/>
      <c r="Q46" s="26"/>
      <c r="R46" s="26"/>
    </row>
    <row r="47" spans="2:18" x14ac:dyDescent="0.3">
      <c r="B47" s="61">
        <v>1</v>
      </c>
      <c r="C47" s="278" t="str">
        <f>G47&amp;" ["&amp;COUNTIFS($W$25:$W$32,B47)&amp;"]"</f>
        <v>Lagged policy implementation [6]</v>
      </c>
      <c r="D47" s="271">
        <f>SUMPRODUCT(D7:D14,F7:F14,W25:W32)/SUMPRODUCT(F7:F14,W25:W32)</f>
        <v>-5.6383434592208563E-2</v>
      </c>
      <c r="E47" s="271">
        <f>AVERAGEIF($W$25:$W$32,$B47,D$7:D$14)</f>
        <v>-0.13401674476461664</v>
      </c>
      <c r="F47" s="271" cm="1">
        <f t="array" ref="F47">MEDIAN(IF($W$25:$W$32=$B47,D$7:D$14))</f>
        <v>-0.11935510939876218</v>
      </c>
      <c r="G47" s="336" t="s">
        <v>71</v>
      </c>
      <c r="I47" s="10"/>
      <c r="J47" s="10"/>
      <c r="K47" s="10"/>
      <c r="L47" s="10"/>
      <c r="M47" s="28"/>
      <c r="N47" s="28"/>
      <c r="O47" s="28"/>
      <c r="P47" s="26"/>
      <c r="Q47" s="26"/>
      <c r="R47" s="26"/>
    </row>
    <row r="48" spans="2:18" x14ac:dyDescent="0.3">
      <c r="B48" s="61">
        <v>0</v>
      </c>
      <c r="C48" s="279" t="str">
        <f>G48&amp;" ["&amp;COUNTIFS($W$25:$W$32,B48)&amp;"]"</f>
        <v>No lag of policy implementation [2]</v>
      </c>
      <c r="D48" s="280" cm="1">
        <f t="array" ref="D48">SUMPRODUCT(D7:D14,F7:F14,1-W25:W32)/SUMPRODUCT(F7:F14,1-W25:W32)</f>
        <v>1.5130036918679932E-2</v>
      </c>
      <c r="E48" s="280">
        <f>AVERAGEIF($W$25:$W$32,$B48,D$7:D$14)</f>
        <v>4.6571782444735185E-2</v>
      </c>
      <c r="F48" s="280" cm="1">
        <f t="array" ref="F48">MEDIAN(IF($W$25:$W$32=$B48,D$7:D$14))</f>
        <v>4.6571782444735178E-2</v>
      </c>
      <c r="G48" s="336" t="s">
        <v>72</v>
      </c>
      <c r="I48" s="10"/>
      <c r="J48" s="10"/>
      <c r="K48" s="10"/>
      <c r="L48" s="10"/>
      <c r="M48" s="28"/>
      <c r="N48" s="28"/>
      <c r="O48" s="28"/>
      <c r="P48" s="26"/>
      <c r="Q48" s="26"/>
      <c r="R48" s="26"/>
    </row>
    <row r="49" spans="2:18" x14ac:dyDescent="0.3">
      <c r="B49" s="60"/>
      <c r="C49" s="275" t="s">
        <v>73</v>
      </c>
      <c r="D49" s="271"/>
      <c r="E49" s="271"/>
      <c r="F49" s="281"/>
      <c r="G49" s="336"/>
      <c r="I49" s="10"/>
      <c r="J49" s="10"/>
      <c r="K49" s="10"/>
      <c r="L49" s="10"/>
      <c r="P49" s="26"/>
      <c r="Q49" s="26"/>
      <c r="R49" s="26"/>
    </row>
    <row r="50" spans="2:18" x14ac:dyDescent="0.3">
      <c r="B50" s="61">
        <v>1</v>
      </c>
      <c r="C50" s="278" t="str">
        <f>G50&amp;" ["&amp;COUNTIFS($X$25:$X$32,B50)&amp;"]"</f>
        <v>Panel estimation [5]</v>
      </c>
      <c r="D50" s="271">
        <f>SUMPRODUCT(D7:D14,F7:F14,X25:X32)/SUMPRODUCT(F7:F14,X25:X32)</f>
        <v>-3.8489965375570284E-2</v>
      </c>
      <c r="E50" s="271">
        <f>AVERAGEIF($X$25:$X$32,$B50,D$7:D$14)</f>
        <v>-6.2272235909772621E-2</v>
      </c>
      <c r="F50" s="271" cm="1">
        <f t="array" ref="F50">MEDIAN(IF($X$25:$X$32=$B50,D$7:D$14))</f>
        <v>-4.0159765066823672E-2</v>
      </c>
      <c r="G50" s="336" t="s">
        <v>74</v>
      </c>
      <c r="I50" s="10"/>
      <c r="J50" s="10"/>
      <c r="K50" s="10"/>
      <c r="L50" s="10"/>
      <c r="M50" s="28"/>
      <c r="N50" s="28"/>
      <c r="O50" s="28"/>
      <c r="P50" s="26"/>
      <c r="Q50" s="26"/>
      <c r="R50" s="26"/>
    </row>
    <row r="51" spans="2:18" x14ac:dyDescent="0.3">
      <c r="B51" s="61">
        <v>0</v>
      </c>
      <c r="C51" s="279" t="str">
        <f>G51&amp;" ["&amp;COUNTIFS($X$25:$X$32,B51)&amp;"]"</f>
        <v>No panel estimation [3]</v>
      </c>
      <c r="D51" s="280" cm="1">
        <f t="array" ref="D51">SUMPRODUCT(D7:D14,F7:F14,1-X25:X32)/SUMPRODUCT(F7:F14,1-X25:X32)</f>
        <v>6.0952055151376619E-3</v>
      </c>
      <c r="E51" s="280">
        <f>AVERAGEIF($X$25:$X$32,$B51,D$7:D$14)</f>
        <v>-0.13319857471645544</v>
      </c>
      <c r="F51" s="280" cm="1">
        <f t="array" ref="F51">MEDIAN(IF($X$25:$X$32=$B51,D$7:D$14))</f>
        <v>-0.16329011082141937</v>
      </c>
      <c r="G51" s="336" t="s">
        <v>75</v>
      </c>
      <c r="I51" s="10"/>
      <c r="J51" s="10"/>
      <c r="K51" s="10"/>
      <c r="L51" s="10"/>
      <c r="M51" s="28"/>
      <c r="N51" s="28"/>
      <c r="O51" s="28"/>
      <c r="P51" s="26"/>
      <c r="Q51" s="26"/>
      <c r="R51" s="26"/>
    </row>
    <row r="52" spans="2:18" x14ac:dyDescent="0.3">
      <c r="B52" s="60"/>
      <c r="C52" s="275" t="s">
        <v>76</v>
      </c>
      <c r="D52" s="271"/>
      <c r="E52" s="271"/>
      <c r="F52" s="281"/>
      <c r="G52" s="336"/>
      <c r="I52" s="10"/>
      <c r="J52" s="10"/>
      <c r="K52" s="10"/>
      <c r="L52" s="10"/>
      <c r="P52" s="26"/>
      <c r="Q52" s="26"/>
      <c r="R52" s="26"/>
    </row>
    <row r="53" spans="2:18" x14ac:dyDescent="0.3">
      <c r="B53" s="61">
        <v>1</v>
      </c>
      <c r="C53" s="278" t="str">
        <f>G53&amp;" ["&amp;COUNTIFS($Y$25:$Y$32,B53)&amp;"]"</f>
        <v>Public data [8]</v>
      </c>
      <c r="D53" s="271">
        <f>SUMPRODUCT(D7:D14,F7:F14,Y25:Y32)/SUMPRODUCT(F7:F14,Y25:Y32)</f>
        <v>-3.2352540409668055E-2</v>
      </c>
      <c r="E53" s="271">
        <f>AVERAGEIF($Y$25:$Y$32,$B53,D$7:D$14)</f>
        <v>-8.8869612962278688E-2</v>
      </c>
      <c r="F53" s="271" cm="1">
        <f t="array" ref="F53">MEDIAN(IF($Y$25:$Y$32=$B53,D$7:D$14))</f>
        <v>-5.778993652146433E-2</v>
      </c>
      <c r="G53" s="336" t="s">
        <v>32</v>
      </c>
      <c r="I53" s="10"/>
      <c r="J53" s="10"/>
      <c r="K53" s="10"/>
      <c r="L53" s="10"/>
      <c r="M53" s="28"/>
      <c r="N53" s="28"/>
      <c r="O53" s="28"/>
      <c r="P53" s="26"/>
      <c r="Q53" s="26"/>
      <c r="R53" s="26"/>
    </row>
    <row r="54" spans="2:18" x14ac:dyDescent="0.3">
      <c r="B54" s="61">
        <v>0</v>
      </c>
      <c r="C54" s="279" t="str">
        <f>G54&amp;" ["&amp;COUNTIFS($Y$25:$Y$32,B54)&amp;"]"</f>
        <v>Own data [0]</v>
      </c>
      <c r="D54" s="280" t="str" cm="1">
        <f t="array" ref="D54">IFERROR(SUMPRODUCT(D7:D14,F7:F14,1-Y25:Y32)/SUMPRODUCT(F7:F14,1-Y25:Y32),"n/a")</f>
        <v>n/a</v>
      </c>
      <c r="E54" s="280" t="str">
        <f>IFERROR(AVERAGEIF($Y$25:$Y$32,$B54,D$7:D$14),"n/a")</f>
        <v>n/a</v>
      </c>
      <c r="F54" s="280" t="str" cm="1">
        <f t="array" ref="F54">IFERROR(MEDIAN(IF($Y$25:$Y$32=$B54,D$7:D$14)),"n/a")</f>
        <v>n/a</v>
      </c>
      <c r="G54" s="336" t="s">
        <v>77</v>
      </c>
      <c r="I54" s="10"/>
      <c r="J54" s="10"/>
      <c r="K54" s="10"/>
      <c r="L54" s="10"/>
      <c r="M54" s="28"/>
      <c r="N54" s="28"/>
      <c r="O54" s="28"/>
      <c r="P54" s="26"/>
      <c r="Q54" s="26"/>
      <c r="R54" s="26"/>
    </row>
    <row r="55" spans="2:18" x14ac:dyDescent="0.3">
      <c r="B55" s="60"/>
      <c r="C55" s="275" t="s">
        <v>78</v>
      </c>
      <c r="D55" s="271"/>
      <c r="E55" s="271"/>
      <c r="F55" s="281"/>
      <c r="G55" s="336"/>
      <c r="I55" s="10"/>
      <c r="J55" s="10"/>
      <c r="K55" s="10"/>
      <c r="L55" s="10"/>
      <c r="P55" s="26"/>
      <c r="Q55" s="26"/>
      <c r="R55" s="26"/>
    </row>
    <row r="56" spans="2:18" x14ac:dyDescent="0.3">
      <c r="B56" s="61">
        <v>1</v>
      </c>
      <c r="C56" s="278" t="str">
        <f>G56&amp;" ["&amp;COUNTIFS($Z$25:$Z$32,B56)&amp;"]"</f>
        <v>Handling of causality [4]</v>
      </c>
      <c r="D56" s="271">
        <f>SUMPRODUCT(D7:D14,F7:F14,Z25:Z32)/SUMPRODUCT(F7:F14,Z25:Z32)</f>
        <v>-3.7402356276744514E-2</v>
      </c>
      <c r="E56" s="271">
        <f>AVERAGEIF($Z$25:$Z$32,$B56,D$7:D$14)</f>
        <v>-6.7800353620509846E-2</v>
      </c>
      <c r="F56" s="271" cm="1">
        <f t="array" ref="F56">MEDIAN(IF($Z$25:$Z$32=$B56,D$7:D$14))</f>
        <v>-4.9714594814870575E-2</v>
      </c>
      <c r="G56" s="336" t="s">
        <v>33</v>
      </c>
      <c r="I56" s="10"/>
      <c r="J56" s="10"/>
      <c r="K56" s="10"/>
      <c r="L56" s="10"/>
      <c r="M56" s="28"/>
      <c r="N56" s="28"/>
      <c r="O56" s="28"/>
      <c r="P56" s="26"/>
      <c r="Q56" s="26"/>
      <c r="R56" s="26"/>
    </row>
    <row r="57" spans="2:18" x14ac:dyDescent="0.3">
      <c r="B57" s="61">
        <v>0</v>
      </c>
      <c r="C57" s="279" t="str">
        <f>G57&amp;" ["&amp;COUNTIFS($Z$25:$Z$32,B57)&amp;"]"</f>
        <v>No handling of causality [4]</v>
      </c>
      <c r="D57" s="280" cm="1">
        <f t="array" ref="D57">SUMPRODUCT(D7:D14,F7:F14,1-Z25:Z32)/SUMPRODUCT(F7:F14,1-Z25:Z32)</f>
        <v>-2.6833284909714216E-2</v>
      </c>
      <c r="E57" s="280">
        <f>AVERAGEIF($Z$25:$Z$32,$B57,D$7:D$14)</f>
        <v>-0.1099388723040475</v>
      </c>
      <c r="F57" s="280" cm="1">
        <f t="array" ref="F57">MEDIAN(IF($Z$25:$Z$32=$B57,D$7:D$14))</f>
        <v>-0.10172493794412152</v>
      </c>
      <c r="G57" s="336" t="s">
        <v>79</v>
      </c>
      <c r="I57" s="10"/>
      <c r="J57" s="10"/>
      <c r="K57" s="10"/>
      <c r="L57" s="10"/>
      <c r="M57" s="28"/>
      <c r="N57" s="28"/>
      <c r="O57" s="28"/>
      <c r="P57" s="26"/>
      <c r="Q57" s="26"/>
      <c r="R57" s="26"/>
    </row>
    <row r="58" spans="2:18" x14ac:dyDescent="0.3">
      <c r="B58" s="60"/>
      <c r="C58" s="275" t="s">
        <v>80</v>
      </c>
      <c r="D58" s="271"/>
      <c r="E58" s="271"/>
      <c r="F58" s="281"/>
      <c r="G58" s="336"/>
      <c r="I58" s="10"/>
      <c r="J58" s="10"/>
      <c r="K58" s="10"/>
      <c r="L58" s="10"/>
      <c r="P58" s="26"/>
      <c r="Q58" s="26"/>
      <c r="R58" s="26"/>
    </row>
    <row r="59" spans="2:18" x14ac:dyDescent="0.3">
      <c r="B59" s="61">
        <v>1</v>
      </c>
      <c r="C59" s="278" t="str">
        <f>G59&amp;" ["&amp;COUNTIFS($AA$25:$AA$32,B59)&amp;"]"</f>
        <v>Social sciences [7]</v>
      </c>
      <c r="D59" s="271">
        <f>SUMPRODUCT(D7:D14,F7:F14,AA25:AA32)/SUMPRODUCT(F7:F14,AA25:AA32)</f>
        <v>-2.7533258538317489E-2</v>
      </c>
      <c r="E59" s="271">
        <f>AVERAGEIF($AA$25:$AA$32,$B59,D$7:D$14)</f>
        <v>-5.1071234832453696E-2</v>
      </c>
      <c r="F59" s="271" cm="1">
        <f t="array" ref="F59">MEDIAN(IF($AA$25:$AA$32=$B59,D$7:D$14))</f>
        <v>-4.0159765066823672E-2</v>
      </c>
      <c r="G59" s="336" t="s">
        <v>81</v>
      </c>
      <c r="I59" s="10"/>
      <c r="J59" s="10"/>
      <c r="K59" s="10"/>
      <c r="L59" s="10"/>
      <c r="M59" s="28"/>
      <c r="N59" s="28"/>
      <c r="O59" s="28"/>
      <c r="P59" s="26"/>
      <c r="Q59" s="26"/>
      <c r="R59" s="26"/>
    </row>
    <row r="60" spans="2:18" x14ac:dyDescent="0.3">
      <c r="B60" s="61">
        <v>0</v>
      </c>
      <c r="C60" s="282" t="str">
        <f>G60&amp;" ["&amp;COUNTIFS($AA$25:$AA$32,B60)&amp;"]"</f>
        <v>Other sciences [1]</v>
      </c>
      <c r="D60" s="283">
        <f>SUMPRODUCT(D7:D14,F7:F14,1-AA25:AA32)/SUMPRODUCT(F7:F14,1-AA25:AA32)</f>
        <v>-0.3534582598710535</v>
      </c>
      <c r="E60" s="283">
        <f>AVERAGEIF($AA$25:$AA$32,$B60,D$7:D$14)</f>
        <v>-0.3534582598710535</v>
      </c>
      <c r="F60" s="283" cm="1">
        <f t="array" ref="F60">MEDIAN(IF($AA$25:$AA$32=$B60,D$7:D$14))</f>
        <v>-0.3534582598710535</v>
      </c>
      <c r="G60" s="336" t="s">
        <v>82</v>
      </c>
      <c r="I60" s="10"/>
      <c r="J60" s="10"/>
      <c r="K60" s="10"/>
      <c r="L60" s="10"/>
      <c r="M60" s="28"/>
      <c r="N60" s="28"/>
      <c r="O60" s="28"/>
      <c r="P60" s="26"/>
      <c r="Q60" s="26"/>
      <c r="R60" s="26"/>
    </row>
    <row r="61" spans="2:18" x14ac:dyDescent="0.3">
      <c r="B61" s="60"/>
      <c r="C61" s="240" t="s">
        <v>83</v>
      </c>
      <c r="D61" s="241"/>
      <c r="E61" s="241"/>
      <c r="F61" s="242"/>
      <c r="G61" s="336"/>
      <c r="I61" s="10"/>
      <c r="J61" s="10"/>
      <c r="K61" s="10"/>
      <c r="L61" s="10"/>
      <c r="O61" s="26"/>
      <c r="P61" s="26"/>
      <c r="Q61" s="26"/>
      <c r="R61" s="26"/>
    </row>
    <row r="62" spans="2:18" x14ac:dyDescent="0.3">
      <c r="B62" s="61">
        <v>1</v>
      </c>
      <c r="C62" s="243" t="str">
        <f>G62&amp;" ["&amp;COUNTIFS($AB$25:$AB$32,B62)&amp;"]"</f>
        <v>Super study [3]</v>
      </c>
      <c r="D62" s="241">
        <f>SUMPRODUCT(D7:D14,F7:F14,AB25:AB32)/SUMPRODUCT(F7:F14,AB25:AB32)</f>
        <v>-4.9046492575311969E-2</v>
      </c>
      <c r="E62" s="241"/>
      <c r="F62" s="241"/>
      <c r="G62" s="336" t="s">
        <v>35</v>
      </c>
      <c r="I62" s="10"/>
      <c r="J62" s="10"/>
      <c r="K62" s="10"/>
      <c r="L62" s="10"/>
      <c r="M62" s="28"/>
      <c r="N62" s="28"/>
      <c r="O62" s="26"/>
      <c r="P62" s="26"/>
      <c r="Q62" s="26"/>
      <c r="R62" s="26"/>
    </row>
    <row r="63" spans="2:18" x14ac:dyDescent="0.3">
      <c r="B63" s="61">
        <v>0</v>
      </c>
      <c r="C63" s="244" t="str">
        <f>G63&amp;" ["&amp;COUNTIFS($AB$25:$AB$32,B63)&amp;"]"</f>
        <v>Not super study [5]</v>
      </c>
      <c r="D63" s="245">
        <f>SUMPRODUCT(D7:D14,F7:F14,1-AB25:AB32)/SUMPRODUCT(F7:F14,1-AB25:AB32)</f>
        <v>-2.5881519044809218E-2</v>
      </c>
      <c r="E63" s="245"/>
      <c r="F63" s="245"/>
      <c r="G63" s="336" t="s">
        <v>84</v>
      </c>
      <c r="I63" s="10"/>
      <c r="J63" s="10"/>
      <c r="L63" s="28"/>
      <c r="M63" s="28"/>
      <c r="N63" s="28"/>
      <c r="O63" s="26"/>
      <c r="P63" s="26"/>
      <c r="Q63" s="26"/>
      <c r="R63" s="26"/>
    </row>
    <row r="64" spans="2:18" x14ac:dyDescent="0.3">
      <c r="C64" s="3" t="s">
        <v>85</v>
      </c>
      <c r="D64" s="246">
        <f>SUMPRODUCT(AD25:AD32,D7:D14)/SUM(AD25:AD32)</f>
        <v>-3.8095735970207829E-2</v>
      </c>
      <c r="E64" s="63"/>
      <c r="F64" s="64"/>
      <c r="G64" s="64"/>
      <c r="H64" s="10"/>
    </row>
    <row r="65" spans="2:13" x14ac:dyDescent="0.3">
      <c r="D65" s="58"/>
      <c r="L65" s="10"/>
      <c r="M65" s="10"/>
    </row>
    <row r="66" spans="2:13" s="154" customFormat="1" ht="19.5" x14ac:dyDescent="0.4">
      <c r="B66" s="154" t="s">
        <v>86</v>
      </c>
      <c r="D66" s="227"/>
      <c r="L66" s="226"/>
      <c r="M66" s="226"/>
    </row>
    <row r="67" spans="2:13" x14ac:dyDescent="0.3">
      <c r="D67" s="58"/>
      <c r="L67" s="10"/>
      <c r="M67" s="10"/>
    </row>
    <row r="68" spans="2:13" x14ac:dyDescent="0.3">
      <c r="D68" s="58"/>
      <c r="L68" s="10"/>
      <c r="M68" s="10"/>
    </row>
    <row r="69" spans="2:13" x14ac:dyDescent="0.3">
      <c r="C69" s="261" t="s">
        <v>1</v>
      </c>
      <c r="D69" s="262" t="s">
        <v>2</v>
      </c>
      <c r="E69" s="262" t="s">
        <v>3</v>
      </c>
      <c r="F69" s="284" t="s">
        <v>934</v>
      </c>
      <c r="G69" s="52" t="s">
        <v>936</v>
      </c>
      <c r="L69" s="10"/>
      <c r="M69" s="10"/>
    </row>
    <row r="70" spans="2:13" outlineLevel="1" x14ac:dyDescent="0.3">
      <c r="C70" s="263" t="str">
        <f t="shared" ref="C70" si="10">C108</f>
        <v>Bjørnskov (2021)</v>
      </c>
      <c r="D70" s="271">
        <f t="shared" ref="D70" si="11">AVERAGE(G108:H108)</f>
        <v>-3.0820447444083188E-3</v>
      </c>
      <c r="E70" s="272">
        <f t="shared" ref="E70:E98" si="12">E108/D108*D70</f>
        <v>8.2187859850888501E-3</v>
      </c>
      <c r="F70" s="273">
        <f>1/E70/G70</f>
        <v>30.418117767462142</v>
      </c>
      <c r="G70" s="14">
        <v>4</v>
      </c>
      <c r="L70" s="10"/>
      <c r="M70" s="10"/>
    </row>
    <row r="71" spans="2:13" outlineLevel="1" x14ac:dyDescent="0.3">
      <c r="C71" s="263"/>
      <c r="D71" s="271">
        <f t="shared" ref="D71:D73" si="13">AVERAGE(G109:H109)</f>
        <v>0.26364657161019567</v>
      </c>
      <c r="E71" s="272">
        <f t="shared" si="12"/>
        <v>0.18455260012713698</v>
      </c>
      <c r="F71" s="273">
        <f t="shared" ref="F71:F98" si="14">1/E71/G71</f>
        <v>1.3546273519190559</v>
      </c>
      <c r="G71" s="14">
        <v>4</v>
      </c>
      <c r="L71" s="10"/>
      <c r="M71" s="10"/>
    </row>
    <row r="72" spans="2:13" outlineLevel="1" x14ac:dyDescent="0.3">
      <c r="C72" s="263"/>
      <c r="D72" s="271">
        <f t="shared" si="13"/>
        <v>-0.31127007761556869</v>
      </c>
      <c r="E72" s="272">
        <f t="shared" si="12"/>
        <v>0.23510825011388697</v>
      </c>
      <c r="F72" s="273">
        <f t="shared" si="14"/>
        <v>1.0633399716041416</v>
      </c>
      <c r="G72" s="14">
        <v>4</v>
      </c>
      <c r="L72" s="10"/>
      <c r="M72" s="10"/>
    </row>
    <row r="73" spans="2:13" outlineLevel="1" x14ac:dyDescent="0.3">
      <c r="C73" s="263"/>
      <c r="D73" s="271">
        <f t="shared" si="13"/>
        <v>3.1186851708321361E-2</v>
      </c>
      <c r="E73" s="272">
        <f t="shared" si="12"/>
        <v>0.51458305318730246</v>
      </c>
      <c r="F73" s="273">
        <f t="shared" si="14"/>
        <v>0.48583022400662462</v>
      </c>
      <c r="G73" s="14">
        <v>4</v>
      </c>
      <c r="L73" s="10"/>
      <c r="M73" s="10"/>
    </row>
    <row r="74" spans="2:13" outlineLevel="1" x14ac:dyDescent="0.3">
      <c r="C74" s="263" t="str">
        <f>C112</f>
        <v>Shiva and Molana (2021)</v>
      </c>
      <c r="D74" s="271">
        <f t="shared" ref="D74" si="15">AVERAGE(G112:H112)</f>
        <v>-4.0159765066823672E-2</v>
      </c>
      <c r="E74" s="272">
        <f t="shared" si="12"/>
        <v>3.9495967297124108E-3</v>
      </c>
      <c r="F74" s="273">
        <f t="shared" si="14"/>
        <v>63.297601529613303</v>
      </c>
      <c r="G74" s="14">
        <v>4</v>
      </c>
      <c r="L74" s="10"/>
      <c r="M74" s="10"/>
    </row>
    <row r="75" spans="2:13" outlineLevel="1" x14ac:dyDescent="0.3">
      <c r="C75" s="263"/>
      <c r="D75" s="271">
        <f t="shared" ref="D75:D77" si="16">AVERAGE(G113:H113)</f>
        <v>-2.4566776305971705E-2</v>
      </c>
      <c r="E75" s="272">
        <f t="shared" si="12"/>
        <v>4.5988567258424184E-3</v>
      </c>
      <c r="F75" s="273">
        <f t="shared" ref="F75:F77" si="17">1/E75/G75</f>
        <v>54.361336937324353</v>
      </c>
      <c r="G75" s="14">
        <v>4</v>
      </c>
      <c r="L75" s="10"/>
      <c r="M75" s="10"/>
    </row>
    <row r="76" spans="2:13" outlineLevel="1" x14ac:dyDescent="0.3">
      <c r="C76" s="263"/>
      <c r="D76" s="271">
        <f t="shared" si="16"/>
        <v>-2.5062285339323864E-2</v>
      </c>
      <c r="E76" s="272">
        <f t="shared" si="12"/>
        <v>3.1411478713323894E-3</v>
      </c>
      <c r="F76" s="273">
        <f t="shared" si="17"/>
        <v>79.588739607459743</v>
      </c>
      <c r="G76" s="14">
        <v>4</v>
      </c>
      <c r="L76" s="10"/>
      <c r="M76" s="10"/>
    </row>
    <row r="77" spans="2:13" outlineLevel="1" x14ac:dyDescent="0.3">
      <c r="C77" s="263"/>
      <c r="D77" s="271">
        <f t="shared" si="16"/>
        <v>-3.6327365288010449E-2</v>
      </c>
      <c r="E77" s="272">
        <f t="shared" si="12"/>
        <v>3.3860393743817998E-3</v>
      </c>
      <c r="F77" s="273">
        <f t="shared" si="17"/>
        <v>73.832573209708556</v>
      </c>
      <c r="G77" s="14">
        <v>4</v>
      </c>
      <c r="L77" s="10"/>
      <c r="M77" s="10"/>
    </row>
    <row r="78" spans="2:13" outlineLevel="1" x14ac:dyDescent="0.3">
      <c r="C78" s="263" t="str">
        <f>C116</f>
        <v>Chisadza et al. (2021)</v>
      </c>
      <c r="D78" s="271">
        <f>AVERAGE(G116:H116)</f>
        <v>0.11715264654310653</v>
      </c>
      <c r="E78" s="272">
        <f t="shared" si="12"/>
        <v>1.4418787266843881E-2</v>
      </c>
      <c r="F78" s="273">
        <f t="shared" si="14"/>
        <v>11.558993387045666</v>
      </c>
      <c r="G78" s="14">
        <v>6</v>
      </c>
      <c r="L78" s="10"/>
      <c r="M78" s="10"/>
    </row>
    <row r="79" spans="2:13" outlineLevel="1" x14ac:dyDescent="0.3">
      <c r="C79" s="263"/>
      <c r="D79" s="271">
        <f>AVERAGE(G117:H117)</f>
        <v>0.4925129106658831</v>
      </c>
      <c r="E79" s="272">
        <f t="shared" si="12"/>
        <v>6.0616973620416383E-2</v>
      </c>
      <c r="F79" s="273">
        <f t="shared" si="14"/>
        <v>2.749504911121655</v>
      </c>
      <c r="G79" s="14">
        <v>6</v>
      </c>
      <c r="L79" s="10"/>
      <c r="M79" s="10"/>
    </row>
    <row r="80" spans="2:13" outlineLevel="1" x14ac:dyDescent="0.3">
      <c r="C80" s="263"/>
      <c r="D80" s="271">
        <f>AVERAGE(G118:H118)</f>
        <v>7.9971233062565261E-2</v>
      </c>
      <c r="E80" s="272">
        <f t="shared" si="12"/>
        <v>9.8426133000080324E-3</v>
      </c>
      <c r="F80" s="273">
        <f t="shared" si="14"/>
        <v>16.933172277176698</v>
      </c>
      <c r="G80" s="14">
        <v>6</v>
      </c>
      <c r="L80" s="10"/>
      <c r="M80" s="10"/>
    </row>
    <row r="81" spans="3:13" outlineLevel="1" x14ac:dyDescent="0.3">
      <c r="C81" s="263"/>
      <c r="D81" s="271">
        <f>AVERAGE(G119:H119)</f>
        <v>6.3482747201465628E-2</v>
      </c>
      <c r="E81" s="272">
        <f t="shared" si="12"/>
        <v>7.8132611940265398E-3</v>
      </c>
      <c r="F81" s="273">
        <f t="shared" si="14"/>
        <v>21.331254968679158</v>
      </c>
      <c r="G81" s="14">
        <v>6</v>
      </c>
      <c r="L81" s="10"/>
      <c r="M81" s="10"/>
    </row>
    <row r="82" spans="3:13" outlineLevel="1" x14ac:dyDescent="0.3">
      <c r="C82" s="263"/>
      <c r="D82" s="271">
        <f t="shared" ref="D82" si="18">AVERAGE(G120:H120)</f>
        <v>0.26878554671779431</v>
      </c>
      <c r="E82" s="272">
        <f t="shared" si="12"/>
        <v>3.3081298057574683E-2</v>
      </c>
      <c r="F82" s="273">
        <f t="shared" ref="F82" si="19">1/E82/G82</f>
        <v>5.0380933171546056</v>
      </c>
      <c r="G82" s="14">
        <v>6</v>
      </c>
      <c r="L82" s="10"/>
      <c r="M82" s="10"/>
    </row>
    <row r="83" spans="3:13" outlineLevel="1" x14ac:dyDescent="0.3">
      <c r="C83" s="263"/>
      <c r="D83" s="271">
        <f t="shared" ref="D83" si="20">AVERAGE(G121:H121)</f>
        <v>0.23438175332447053</v>
      </c>
      <c r="E83" s="272">
        <f t="shared" si="12"/>
        <v>2.8846985024550222E-2</v>
      </c>
      <c r="F83" s="273">
        <f t="shared" si="14"/>
        <v>5.7776113006203254</v>
      </c>
      <c r="G83" s="14">
        <v>6</v>
      </c>
      <c r="L83" s="10"/>
      <c r="M83" s="10"/>
    </row>
    <row r="84" spans="3:13" outlineLevel="1" x14ac:dyDescent="0.3">
      <c r="C84" s="263" t="str">
        <f>C122</f>
        <v>Goldstein et al. (2021)</v>
      </c>
      <c r="D84" s="271">
        <f t="shared" ref="D84:D89" si="21">AVERAGE(G122:H122)</f>
        <v>-7.5420107976104989E-2</v>
      </c>
      <c r="E84" s="272">
        <f t="shared" si="12"/>
        <v>1.9724465629278657E-2</v>
      </c>
      <c r="F84" s="273">
        <f t="shared" si="14"/>
        <v>16.899486130490605</v>
      </c>
      <c r="G84" s="218">
        <v>3</v>
      </c>
      <c r="L84" s="10"/>
      <c r="M84" s="10"/>
    </row>
    <row r="85" spans="3:13" outlineLevel="1" x14ac:dyDescent="0.3">
      <c r="C85" s="263"/>
      <c r="D85" s="271">
        <f t="shared" si="21"/>
        <v>-7.774976266690975E-2</v>
      </c>
      <c r="E85" s="272">
        <f t="shared" si="12"/>
        <v>1.5948968039727465E-2</v>
      </c>
      <c r="F85" s="273">
        <f t="shared" si="14"/>
        <v>20.899993811701769</v>
      </c>
      <c r="G85" s="218">
        <v>3</v>
      </c>
      <c r="L85" s="10"/>
      <c r="M85" s="10"/>
    </row>
    <row r="86" spans="3:13" outlineLevel="1" x14ac:dyDescent="0.3">
      <c r="C86" s="263"/>
      <c r="D86" s="271">
        <f t="shared" si="21"/>
        <v>-7.602035160243481E-2</v>
      </c>
      <c r="E86" s="272">
        <f t="shared" si="12"/>
        <v>1.806710999483354E-2</v>
      </c>
      <c r="F86" s="273">
        <f t="shared" si="14"/>
        <v>18.449731773850555</v>
      </c>
      <c r="G86" s="218">
        <v>3</v>
      </c>
      <c r="L86" s="10"/>
      <c r="M86" s="10"/>
    </row>
    <row r="87" spans="3:13" outlineLevel="1" x14ac:dyDescent="0.3">
      <c r="C87" s="263" t="str">
        <f>C125</f>
        <v>Fuller et al. (2021)</v>
      </c>
      <c r="D87" s="271">
        <f t="shared" si="21"/>
        <v>-0.3534582598710535</v>
      </c>
      <c r="E87" s="272">
        <f t="shared" si="12"/>
        <v>9.0853199654610597E-2</v>
      </c>
      <c r="F87" s="273">
        <f t="shared" si="14"/>
        <v>11.006767002170761</v>
      </c>
      <c r="G87" s="218">
        <v>1</v>
      </c>
      <c r="L87" s="10"/>
      <c r="M87" s="10"/>
    </row>
    <row r="88" spans="3:13" outlineLevel="1" x14ac:dyDescent="0.3">
      <c r="C88" s="263" t="str">
        <f>C126</f>
        <v>Ashraf (2020)</v>
      </c>
      <c r="D88" s="271">
        <f t="shared" si="21"/>
        <v>-2.4009081653636168E-2</v>
      </c>
      <c r="E88" s="272">
        <f t="shared" si="12"/>
        <v>5.5315054827894576E-3</v>
      </c>
      <c r="F88" s="493">
        <v>0</v>
      </c>
      <c r="G88" s="20">
        <v>0</v>
      </c>
      <c r="H88" s="26" t="s">
        <v>282</v>
      </c>
      <c r="L88" s="10"/>
      <c r="M88" s="10"/>
    </row>
    <row r="89" spans="3:13" outlineLevel="1" x14ac:dyDescent="0.3">
      <c r="C89" s="263"/>
      <c r="D89" s="271">
        <f t="shared" si="21"/>
        <v>-8.9252370371751891E-3</v>
      </c>
      <c r="E89" s="272">
        <f t="shared" si="12"/>
        <v>7.9471288687176355E-3</v>
      </c>
      <c r="F89" s="273">
        <f t="shared" si="14"/>
        <v>62.915803714742204</v>
      </c>
      <c r="G89" s="218">
        <v>2</v>
      </c>
      <c r="L89" s="10"/>
      <c r="M89" s="10"/>
    </row>
    <row r="90" spans="3:13" outlineLevel="1" x14ac:dyDescent="0.3">
      <c r="C90" s="263"/>
      <c r="D90" s="271">
        <f t="shared" ref="D90:D95" si="22">AVERAGE(G128:H128)</f>
        <v>-3.862766896341531E-2</v>
      </c>
      <c r="E90" s="272">
        <f t="shared" si="12"/>
        <v>5.805999322721933E-5</v>
      </c>
      <c r="F90" s="273">
        <f t="shared" si="14"/>
        <v>8611.7819208699639</v>
      </c>
      <c r="G90" s="218">
        <v>2</v>
      </c>
      <c r="L90" s="10"/>
      <c r="M90" s="10"/>
    </row>
    <row r="91" spans="3:13" outlineLevel="1" x14ac:dyDescent="0.3">
      <c r="C91" s="263" t="str">
        <f>C129</f>
        <v>Yang et al. (2021)</v>
      </c>
      <c r="D91" s="271">
        <f t="shared" si="22"/>
        <v>-0.16329011082141937</v>
      </c>
      <c r="E91" s="272">
        <f t="shared" si="12"/>
        <v>4.523271767906354E-2</v>
      </c>
      <c r="F91" s="273">
        <f t="shared" si="14"/>
        <v>5.5269727937597537</v>
      </c>
      <c r="G91" s="218">
        <v>4</v>
      </c>
      <c r="L91" s="10"/>
      <c r="M91" s="10"/>
    </row>
    <row r="92" spans="3:13" outlineLevel="1" x14ac:dyDescent="0.3">
      <c r="C92" s="263"/>
      <c r="D92" s="271">
        <f t="shared" si="22"/>
        <v>0.28636005410831955</v>
      </c>
      <c r="E92" s="272">
        <f t="shared" si="12"/>
        <v>7.1057085386679777E-2</v>
      </c>
      <c r="F92" s="273">
        <f t="shared" ref="F92:F94" si="23">1/E92/G92</f>
        <v>3.5182979802724152</v>
      </c>
      <c r="G92" s="218">
        <v>4</v>
      </c>
      <c r="L92" s="10"/>
      <c r="M92" s="10"/>
    </row>
    <row r="93" spans="3:13" outlineLevel="1" x14ac:dyDescent="0.3">
      <c r="C93" s="263"/>
      <c r="D93" s="271">
        <f t="shared" si="22"/>
        <v>0.5378512624998707</v>
      </c>
      <c r="E93" s="272">
        <f t="shared" si="12"/>
        <v>8.8901035123945565E-2</v>
      </c>
      <c r="F93" s="273">
        <f t="shared" si="23"/>
        <v>2.812115738038941</v>
      </c>
      <c r="G93" s="218">
        <v>4</v>
      </c>
      <c r="L93" s="10"/>
      <c r="M93" s="10"/>
    </row>
    <row r="94" spans="3:13" outlineLevel="1" x14ac:dyDescent="0.3">
      <c r="C94" s="263"/>
      <c r="D94" s="271">
        <f t="shared" si="22"/>
        <v>0.26785128741619307</v>
      </c>
      <c r="E94" s="272">
        <f t="shared" si="12"/>
        <v>6.9752939431300287E-2</v>
      </c>
      <c r="F94" s="273">
        <f t="shared" si="23"/>
        <v>3.5840783490740939</v>
      </c>
      <c r="G94" s="218">
        <v>4</v>
      </c>
      <c r="L94" s="10"/>
      <c r="M94" s="10"/>
    </row>
    <row r="95" spans="3:13" outlineLevel="1" x14ac:dyDescent="0.3">
      <c r="C95" s="263" t="str">
        <f>C133</f>
        <v>Hale et al. (2021)</v>
      </c>
      <c r="D95" s="271">
        <f t="shared" si="22"/>
        <v>-0.16869018010788994</v>
      </c>
      <c r="E95" s="272">
        <f t="shared" si="12"/>
        <v>2.8115030017981657E-2</v>
      </c>
      <c r="F95" s="273">
        <f t="shared" si="14"/>
        <v>8.8920410129424141</v>
      </c>
      <c r="G95" s="218">
        <v>4</v>
      </c>
      <c r="L95" s="10"/>
      <c r="M95" s="10"/>
    </row>
    <row r="96" spans="3:13" outlineLevel="1" x14ac:dyDescent="0.3">
      <c r="C96" s="263"/>
      <c r="D96" s="271">
        <f t="shared" ref="D96:D98" si="24">AVERAGE(G134:H134)</f>
        <v>-0.14269704592047366</v>
      </c>
      <c r="E96" s="272">
        <f t="shared" si="12"/>
        <v>2.8539409184094734E-2</v>
      </c>
      <c r="F96" s="273">
        <f t="shared" si="14"/>
        <v>8.7598169390040219</v>
      </c>
      <c r="G96" s="218">
        <v>4</v>
      </c>
      <c r="L96" s="10"/>
      <c r="M96" s="10"/>
    </row>
    <row r="97" spans="2:13" outlineLevel="1" x14ac:dyDescent="0.3">
      <c r="C97" s="263"/>
      <c r="D97" s="271">
        <f t="shared" si="24"/>
        <v>-0.11588999509703302</v>
      </c>
      <c r="E97" s="272">
        <f t="shared" si="12"/>
        <v>2.8972498774258254E-2</v>
      </c>
      <c r="F97" s="273">
        <f t="shared" si="14"/>
        <v>8.6288725714649868</v>
      </c>
      <c r="G97" s="218">
        <v>4</v>
      </c>
      <c r="L97" s="10"/>
      <c r="M97" s="10"/>
    </row>
    <row r="98" spans="2:13" outlineLevel="1" x14ac:dyDescent="0.3">
      <c r="C98" s="268"/>
      <c r="D98" s="283">
        <f t="shared" si="24"/>
        <v>-0.47608502355800819</v>
      </c>
      <c r="E98" s="496">
        <f t="shared" si="12"/>
        <v>4.5341430815048399E-2</v>
      </c>
      <c r="F98" s="497">
        <f t="shared" si="14"/>
        <v>5.513721016431341</v>
      </c>
      <c r="G98" s="498">
        <v>4</v>
      </c>
      <c r="L98" s="10"/>
      <c r="M98" s="10"/>
    </row>
    <row r="99" spans="2:13" x14ac:dyDescent="0.3">
      <c r="D99" s="58"/>
      <c r="L99" s="10"/>
      <c r="M99" s="10"/>
    </row>
    <row r="100" spans="2:13" x14ac:dyDescent="0.3">
      <c r="D100" s="58"/>
      <c r="L100" s="10"/>
      <c r="M100" s="10"/>
    </row>
    <row r="101" spans="2:13" x14ac:dyDescent="0.3">
      <c r="D101" s="58"/>
      <c r="L101" s="10"/>
      <c r="M101" s="10"/>
    </row>
    <row r="102" spans="2:13" x14ac:dyDescent="0.3">
      <c r="D102" s="58"/>
      <c r="L102" s="10"/>
      <c r="M102" s="10"/>
    </row>
    <row r="103" spans="2:13" x14ac:dyDescent="0.3">
      <c r="D103" s="58"/>
      <c r="L103" s="10"/>
      <c r="M103" s="10"/>
    </row>
    <row r="104" spans="2:13" x14ac:dyDescent="0.3">
      <c r="D104" s="58"/>
      <c r="L104" s="10"/>
      <c r="M104" s="10"/>
    </row>
    <row r="105" spans="2:13" x14ac:dyDescent="0.3">
      <c r="B105" s="4" t="s">
        <v>8</v>
      </c>
      <c r="D105" s="19"/>
      <c r="L105" s="10"/>
      <c r="M105" s="10"/>
    </row>
    <row r="106" spans="2:13" ht="28.5" x14ac:dyDescent="0.3">
      <c r="B106" s="73" t="s">
        <v>9</v>
      </c>
      <c r="C106" s="48" t="s">
        <v>10</v>
      </c>
      <c r="D106" s="50" t="s">
        <v>11</v>
      </c>
      <c r="E106" s="50"/>
      <c r="F106" s="49"/>
      <c r="G106" s="50" t="s">
        <v>12</v>
      </c>
      <c r="H106" s="50"/>
      <c r="L106" s="10"/>
      <c r="M106" s="10"/>
    </row>
    <row r="107" spans="2:13" x14ac:dyDescent="0.3">
      <c r="B107" s="74"/>
      <c r="C107" s="42"/>
      <c r="D107" s="43" t="s">
        <v>2</v>
      </c>
      <c r="E107" s="69" t="s">
        <v>15</v>
      </c>
      <c r="F107" s="65" t="s">
        <v>16</v>
      </c>
      <c r="G107" s="43" t="s">
        <v>17</v>
      </c>
      <c r="H107" s="43" t="s">
        <v>18</v>
      </c>
      <c r="L107" s="10"/>
      <c r="M107" s="10"/>
    </row>
    <row r="108" spans="2:13" x14ac:dyDescent="0.3">
      <c r="B108" s="76">
        <f>B537</f>
        <v>1</v>
      </c>
      <c r="C108" s="44" t="str">
        <f>D537</f>
        <v>Bjørnskov (2021)</v>
      </c>
      <c r="D108" s="125">
        <f t="shared" ref="D108:E111" si="25">F540</f>
        <v>-6.0000000000000001E-3</v>
      </c>
      <c r="E108" s="125">
        <f t="shared" si="25"/>
        <v>1.6E-2</v>
      </c>
      <c r="F108" s="67" t="s">
        <v>38</v>
      </c>
      <c r="G108" s="257">
        <f t="shared" ref="G108:H111" si="26">D540</f>
        <v>-3.1714982727932828E-3</v>
      </c>
      <c r="H108" s="257">
        <f t="shared" si="26"/>
        <v>-2.9925912160233548E-3</v>
      </c>
      <c r="L108" s="10"/>
      <c r="M108" s="10"/>
    </row>
    <row r="109" spans="2:13" x14ac:dyDescent="0.3">
      <c r="B109" s="390"/>
      <c r="C109" s="391"/>
      <c r="D109" s="124">
        <f t="shared" si="25"/>
        <v>0.05</v>
      </c>
      <c r="E109" s="124">
        <f t="shared" si="25"/>
        <v>3.5000000000000003E-2</v>
      </c>
      <c r="F109" s="68" t="s">
        <v>38</v>
      </c>
      <c r="G109" s="258">
        <f t="shared" si="26"/>
        <v>0.26459607109041994</v>
      </c>
      <c r="H109" s="258">
        <f t="shared" si="26"/>
        <v>0.2626970721299714</v>
      </c>
      <c r="L109" s="10"/>
      <c r="M109" s="10"/>
    </row>
    <row r="110" spans="2:13" x14ac:dyDescent="0.3">
      <c r="B110" s="390"/>
      <c r="C110" s="391"/>
      <c r="D110" s="124">
        <f t="shared" si="25"/>
        <v>-9.4E-2</v>
      </c>
      <c r="E110" s="124">
        <f t="shared" si="25"/>
        <v>7.0999999999999994E-2</v>
      </c>
      <c r="F110" s="68" t="s">
        <v>38</v>
      </c>
      <c r="G110" s="258">
        <f t="shared" si="26"/>
        <v>-0.31222826606924159</v>
      </c>
      <c r="H110" s="258">
        <f t="shared" si="26"/>
        <v>-0.31031188916189578</v>
      </c>
      <c r="L110" s="10"/>
      <c r="M110" s="10"/>
    </row>
    <row r="111" spans="2:13" x14ac:dyDescent="0.3">
      <c r="B111" s="390"/>
      <c r="C111" s="391"/>
      <c r="D111" s="124">
        <f t="shared" si="25"/>
        <v>2E-3</v>
      </c>
      <c r="E111" s="124">
        <f t="shared" si="25"/>
        <v>3.3000000000000002E-2</v>
      </c>
      <c r="F111" s="68" t="s">
        <v>38</v>
      </c>
      <c r="G111" s="258">
        <f t="shared" si="26"/>
        <v>3.121771821129482E-2</v>
      </c>
      <c r="H111" s="258">
        <f t="shared" si="26"/>
        <v>3.1155985205347903E-2</v>
      </c>
      <c r="L111" s="10"/>
      <c r="M111" s="10"/>
    </row>
    <row r="112" spans="2:13" x14ac:dyDescent="0.3">
      <c r="B112" s="77">
        <f>B559</f>
        <v>14</v>
      </c>
      <c r="C112" s="45" t="str">
        <f>D559</f>
        <v>Shiva and Molana (2021)</v>
      </c>
      <c r="D112" s="124">
        <f t="shared" ref="D112:E115" si="27">D562</f>
        <v>-1.3309999999999999E-3</v>
      </c>
      <c r="E112" s="124">
        <f t="shared" si="27"/>
        <v>1.3090000000000001E-4</v>
      </c>
      <c r="F112" s="68" t="s">
        <v>45</v>
      </c>
      <c r="G112" s="258">
        <f t="shared" ref="G112:H115" si="28">D570</f>
        <v>-4.1630381168814345E-2</v>
      </c>
      <c r="H112" s="258">
        <f t="shared" si="28"/>
        <v>-3.8689148964832998E-2</v>
      </c>
      <c r="L112" s="10"/>
      <c r="M112" s="10"/>
    </row>
    <row r="113" spans="2:13" x14ac:dyDescent="0.3">
      <c r="B113" s="77"/>
      <c r="C113" s="45"/>
      <c r="D113" s="124">
        <f t="shared" si="27"/>
        <v>-8.0769999999999995E-4</v>
      </c>
      <c r="E113" s="124">
        <f t="shared" si="27"/>
        <v>1.5119999999999999E-4</v>
      </c>
      <c r="F113" s="68" t="s">
        <v>45</v>
      </c>
      <c r="G113" s="258">
        <f t="shared" si="28"/>
        <v>-2.5473698754331808E-2</v>
      </c>
      <c r="H113" s="258">
        <f t="shared" si="28"/>
        <v>-2.3659853857611601E-2</v>
      </c>
      <c r="L113" s="10"/>
      <c r="M113" s="10"/>
    </row>
    <row r="114" spans="2:13" x14ac:dyDescent="0.3">
      <c r="B114" s="77"/>
      <c r="C114" s="45"/>
      <c r="D114" s="124">
        <f t="shared" si="27"/>
        <v>-8.2419999999999998E-4</v>
      </c>
      <c r="E114" s="124">
        <f t="shared" si="27"/>
        <v>1.033E-4</v>
      </c>
      <c r="F114" s="68" t="s">
        <v>45</v>
      </c>
      <c r="G114" s="258">
        <f t="shared" si="28"/>
        <v>-2.5987264612434391E-2</v>
      </c>
      <c r="H114" s="258">
        <f t="shared" si="28"/>
        <v>-2.4137306066213338E-2</v>
      </c>
      <c r="L114" s="10"/>
      <c r="M114" s="10"/>
    </row>
    <row r="115" spans="2:13" x14ac:dyDescent="0.3">
      <c r="B115" s="77"/>
      <c r="C115" s="45"/>
      <c r="D115" s="124">
        <f t="shared" si="27"/>
        <v>-1.2015999999999999E-3</v>
      </c>
      <c r="E115" s="124">
        <f t="shared" si="27"/>
        <v>1.12E-4</v>
      </c>
      <c r="F115" s="68" t="s">
        <v>45</v>
      </c>
      <c r="G115" s="258">
        <f t="shared" si="28"/>
        <v>-3.7660309028436534E-2</v>
      </c>
      <c r="H115" s="258">
        <f t="shared" si="28"/>
        <v>-3.4994421547584365E-2</v>
      </c>
      <c r="I115" s="58"/>
      <c r="J115" s="58"/>
      <c r="L115" s="10"/>
      <c r="M115" s="10"/>
    </row>
    <row r="116" spans="2:13" x14ac:dyDescent="0.3">
      <c r="B116" s="78">
        <f>B701</f>
        <v>49</v>
      </c>
      <c r="C116" s="46" t="str">
        <f>D701</f>
        <v>Chisadza et al. (2021)</v>
      </c>
      <c r="D116" s="124">
        <f>E704</f>
        <v>1.2999999999999999E-2</v>
      </c>
      <c r="E116" s="124">
        <f>F704</f>
        <v>1.6000000000000001E-3</v>
      </c>
      <c r="F116" s="219" t="s">
        <v>45</v>
      </c>
      <c r="G116" s="258">
        <f>D723</f>
        <v>9.4089562490236922E-2</v>
      </c>
      <c r="H116" s="258">
        <f>E723</f>
        <v>0.14021573059597614</v>
      </c>
      <c r="I116" s="58"/>
      <c r="J116" s="58"/>
      <c r="K116" s="58"/>
      <c r="L116" s="10"/>
      <c r="M116" s="10"/>
    </row>
    <row r="117" spans="2:13" x14ac:dyDescent="0.3">
      <c r="B117" s="78"/>
      <c r="C117" s="46"/>
      <c r="D117" s="124">
        <f>E704</f>
        <v>1.2999999999999999E-2</v>
      </c>
      <c r="E117" s="124">
        <f>F704</f>
        <v>1.6000000000000001E-3</v>
      </c>
      <c r="F117" s="219" t="s">
        <v>45</v>
      </c>
      <c r="G117" s="258">
        <f>D722</f>
        <v>0.51484614805329243</v>
      </c>
      <c r="H117" s="258">
        <f>E722</f>
        <v>0.47017967327847376</v>
      </c>
      <c r="I117" s="58"/>
      <c r="J117" s="58"/>
      <c r="K117" s="58"/>
      <c r="L117" s="10"/>
      <c r="M117" s="10"/>
    </row>
    <row r="118" spans="2:13" x14ac:dyDescent="0.3">
      <c r="B118" s="78"/>
      <c r="C118" s="46"/>
      <c r="D118" s="124">
        <f>E704</f>
        <v>1.2999999999999999E-2</v>
      </c>
      <c r="E118" s="124">
        <f>F704</f>
        <v>1.6000000000000001E-3</v>
      </c>
      <c r="F118" s="219" t="s">
        <v>45</v>
      </c>
      <c r="G118" s="258">
        <f t="shared" ref="G118:H121" si="29">D724</f>
        <v>5.630886026786186E-2</v>
      </c>
      <c r="H118" s="258">
        <f t="shared" si="29"/>
        <v>0.10363360585726866</v>
      </c>
      <c r="I118" s="58"/>
      <c r="J118" s="58"/>
      <c r="K118" s="58"/>
      <c r="L118" s="10"/>
      <c r="M118" s="10"/>
    </row>
    <row r="119" spans="2:13" x14ac:dyDescent="0.3">
      <c r="B119" s="78"/>
      <c r="C119" s="46"/>
      <c r="D119" s="124">
        <f>$E$704</f>
        <v>1.2999999999999999E-2</v>
      </c>
      <c r="E119" s="124">
        <f>$F$704</f>
        <v>1.6000000000000001E-3</v>
      </c>
      <c r="F119" s="219" t="s">
        <v>45</v>
      </c>
      <c r="G119" s="258">
        <f t="shared" si="29"/>
        <v>3.9569840837969217E-2</v>
      </c>
      <c r="H119" s="258">
        <f t="shared" si="29"/>
        <v>8.7395653564962039E-2</v>
      </c>
      <c r="I119" s="58"/>
      <c r="J119" s="58"/>
      <c r="L119" s="10"/>
      <c r="M119" s="10"/>
    </row>
    <row r="120" spans="2:13" x14ac:dyDescent="0.3">
      <c r="B120" s="78"/>
      <c r="C120" s="46"/>
      <c r="D120" s="124">
        <f>$E$704</f>
        <v>1.2999999999999999E-2</v>
      </c>
      <c r="E120" s="124">
        <f>$F$704</f>
        <v>1.6000000000000001E-3</v>
      </c>
      <c r="F120" s="219" t="s">
        <v>45</v>
      </c>
      <c r="G120" s="258">
        <f t="shared" si="29"/>
        <v>0.28929007712238086</v>
      </c>
      <c r="H120" s="258">
        <f t="shared" si="29"/>
        <v>0.24828101631320773</v>
      </c>
      <c r="I120" s="58"/>
      <c r="J120" s="58"/>
      <c r="L120" s="10"/>
      <c r="M120" s="10"/>
    </row>
    <row r="121" spans="2:13" x14ac:dyDescent="0.3">
      <c r="B121" s="78"/>
      <c r="C121" s="46"/>
      <c r="D121" s="124">
        <f>$E$704</f>
        <v>1.2999999999999999E-2</v>
      </c>
      <c r="E121" s="124">
        <f>$F$704</f>
        <v>1.6000000000000001E-3</v>
      </c>
      <c r="F121" s="219" t="s">
        <v>45</v>
      </c>
      <c r="G121" s="258">
        <f t="shared" si="29"/>
        <v>0.22224664894619561</v>
      </c>
      <c r="H121" s="258">
        <f t="shared" si="29"/>
        <v>0.24651685770274545</v>
      </c>
      <c r="I121" s="58"/>
      <c r="J121" s="58"/>
      <c r="L121" s="10"/>
      <c r="M121" s="10"/>
    </row>
    <row r="122" spans="2:13" x14ac:dyDescent="0.3">
      <c r="B122" s="78">
        <f>B1091</f>
        <v>89</v>
      </c>
      <c r="C122" s="46" t="str">
        <f>D1091</f>
        <v>Goldstein et al. (2021)</v>
      </c>
      <c r="D122" s="124">
        <f>D1099</f>
        <v>-1.1534090909090908</v>
      </c>
      <c r="E122" s="124">
        <f>D1100</f>
        <v>0.30164870590402498</v>
      </c>
      <c r="F122" s="219" t="s">
        <v>52</v>
      </c>
      <c r="G122" s="258">
        <f>E1127</f>
        <v>-9.2460755649775406E-2</v>
      </c>
      <c r="H122" s="258">
        <f>F1127</f>
        <v>-5.8379460302434572E-2</v>
      </c>
      <c r="L122" s="10"/>
      <c r="M122" s="10"/>
    </row>
    <row r="123" spans="2:13" x14ac:dyDescent="0.3">
      <c r="B123" s="78"/>
      <c r="C123" s="46"/>
      <c r="D123" s="124">
        <f>D1102</f>
        <v>-1.2291666666666667</v>
      </c>
      <c r="E123" s="124">
        <f>D1103</f>
        <v>0.25214147554573096</v>
      </c>
      <c r="F123" s="219" t="s">
        <v>52</v>
      </c>
      <c r="G123" s="258">
        <f>D1136</f>
        <v>-9.5274589692339817E-2</v>
      </c>
      <c r="H123" s="258">
        <f>E1136</f>
        <v>-6.0224935641479682E-2</v>
      </c>
      <c r="I123" s="19"/>
      <c r="J123" s="19"/>
      <c r="K123" s="19"/>
      <c r="L123" s="10"/>
      <c r="M123" s="10"/>
    </row>
    <row r="124" spans="2:13" x14ac:dyDescent="0.3">
      <c r="B124" s="78"/>
      <c r="C124" s="46"/>
      <c r="D124" s="124">
        <f>D1104</f>
        <v>-1.1723484848484849</v>
      </c>
      <c r="E124" s="124">
        <f>D1105</f>
        <v>0.27862208713272546</v>
      </c>
      <c r="F124" s="219" t="s">
        <v>52</v>
      </c>
      <c r="G124" s="258">
        <f>D1137</f>
        <v>-9.31859935175402E-2</v>
      </c>
      <c r="H124" s="258">
        <f>E1137</f>
        <v>-5.8854709687329421E-2</v>
      </c>
      <c r="I124" s="19"/>
      <c r="J124" s="19"/>
      <c r="K124" s="19"/>
      <c r="L124" s="10"/>
      <c r="M124" s="10"/>
    </row>
    <row r="125" spans="2:13" x14ac:dyDescent="0.3">
      <c r="B125" s="78">
        <f>B1198</f>
        <v>99</v>
      </c>
      <c r="C125" s="46" t="str">
        <f>D1198</f>
        <v>Fuller et al. (2021)</v>
      </c>
      <c r="D125" s="124">
        <f>D1202</f>
        <v>-0.54585152838427953</v>
      </c>
      <c r="E125" s="124">
        <f>H1202</f>
        <v>0.14030612244897961</v>
      </c>
      <c r="F125" s="219" t="s">
        <v>52</v>
      </c>
      <c r="G125" s="258">
        <f>D1210</f>
        <v>-0.40984608372672188</v>
      </c>
      <c r="H125" s="258">
        <f>E1210</f>
        <v>-0.29707043601538513</v>
      </c>
      <c r="J125" s="19"/>
      <c r="K125" s="19"/>
      <c r="L125" s="10"/>
      <c r="M125" s="10"/>
    </row>
    <row r="126" spans="2:13" x14ac:dyDescent="0.3">
      <c r="B126" s="182">
        <f>B1212</f>
        <v>102</v>
      </c>
      <c r="C126" s="46" t="str">
        <f>D1212</f>
        <v>Ashraf (2020)</v>
      </c>
      <c r="D126" s="124">
        <f>C1217</f>
        <v>-0.19950000000000001</v>
      </c>
      <c r="E126" s="124">
        <f>F1217</f>
        <v>4.596324673040407E-2</v>
      </c>
      <c r="F126" s="219" t="s">
        <v>52</v>
      </c>
      <c r="G126" s="259">
        <f t="shared" ref="G126:H128" si="30">D1227</f>
        <v>-2.8140136545498032E-2</v>
      </c>
      <c r="H126" s="259">
        <f t="shared" si="30"/>
        <v>-1.9878026761774303E-2</v>
      </c>
      <c r="I126" s="26" t="s">
        <v>282</v>
      </c>
      <c r="J126" s="28"/>
      <c r="L126" s="10"/>
      <c r="M126" s="10"/>
    </row>
    <row r="127" spans="2:13" x14ac:dyDescent="0.3">
      <c r="B127" s="182"/>
      <c r="C127" s="183"/>
      <c r="D127" s="124">
        <f>C1218</f>
        <v>-7.2999999999999995E-2</v>
      </c>
      <c r="E127" s="124">
        <f>F1218</f>
        <v>6.5000000000000002E-2</v>
      </c>
      <c r="F127" s="219" t="s">
        <v>52</v>
      </c>
      <c r="G127" s="259">
        <f t="shared" si="30"/>
        <v>-1.0483959929378759E-2</v>
      </c>
      <c r="H127" s="259">
        <f t="shared" si="30"/>
        <v>-7.3665141449716174E-3</v>
      </c>
      <c r="I127" s="208"/>
      <c r="J127" s="28"/>
      <c r="L127" s="10"/>
      <c r="M127" s="10"/>
    </row>
    <row r="128" spans="2:13" x14ac:dyDescent="0.3">
      <c r="B128" s="182"/>
      <c r="C128" s="183"/>
      <c r="D128" s="124">
        <f>C1219</f>
        <v>-0.32600000000000001</v>
      </c>
      <c r="E128" s="124">
        <f>F1219</f>
        <v>4.8999999999999998E-4</v>
      </c>
      <c r="F128" s="219" t="s">
        <v>52</v>
      </c>
      <c r="G128" s="259">
        <f t="shared" si="30"/>
        <v>-4.5177271914182741E-2</v>
      </c>
      <c r="H128" s="259">
        <f t="shared" si="30"/>
        <v>-3.2078066012647878E-2</v>
      </c>
      <c r="I128" s="208"/>
      <c r="J128" s="28"/>
      <c r="L128" s="10"/>
      <c r="M128" s="10"/>
    </row>
    <row r="129" spans="2:14" x14ac:dyDescent="0.3">
      <c r="B129" s="182">
        <f>B1395</f>
        <v>137</v>
      </c>
      <c r="C129" s="183" t="str">
        <f>D1395</f>
        <v>Yang et al. (2021)</v>
      </c>
      <c r="D129" s="124">
        <f>D1399</f>
        <v>-1.7999999999999999E-2</v>
      </c>
      <c r="E129" s="124">
        <f>F1399</f>
        <v>4.9861495844875344E-3</v>
      </c>
      <c r="F129" s="68" t="s">
        <v>52</v>
      </c>
      <c r="G129" s="259">
        <f t="shared" ref="G129:H132" si="31">H1399</f>
        <v>-0.19681305004557051</v>
      </c>
      <c r="H129" s="259">
        <f t="shared" si="31"/>
        <v>-0.12976717159726825</v>
      </c>
      <c r="I129" s="208"/>
      <c r="J129" s="28"/>
      <c r="L129" s="10"/>
      <c r="M129" s="10"/>
    </row>
    <row r="130" spans="2:14" x14ac:dyDescent="0.3">
      <c r="B130" s="182"/>
      <c r="C130" s="183"/>
      <c r="D130" s="124">
        <f>D1400</f>
        <v>0.02</v>
      </c>
      <c r="E130" s="124">
        <f>F1400</f>
        <v>4.9627791563275434E-3</v>
      </c>
      <c r="F130" s="68" t="s">
        <v>52</v>
      </c>
      <c r="G130" s="259">
        <f t="shared" si="31"/>
        <v>0.37413003085477364</v>
      </c>
      <c r="H130" s="259">
        <f t="shared" si="31"/>
        <v>0.19859007736186551</v>
      </c>
      <c r="I130" s="208"/>
      <c r="J130" s="28"/>
      <c r="L130" s="10"/>
      <c r="M130" s="10"/>
    </row>
    <row r="131" spans="2:14" x14ac:dyDescent="0.3">
      <c r="B131" s="182"/>
      <c r="C131" s="183"/>
      <c r="D131" s="124">
        <f>D1401</f>
        <v>3.1E-2</v>
      </c>
      <c r="E131" s="124">
        <f>F1401</f>
        <v>5.1239669421487607E-3</v>
      </c>
      <c r="F131" s="68" t="s">
        <v>52</v>
      </c>
      <c r="G131" s="259">
        <f t="shared" si="31"/>
        <v>0.73014448639848939</v>
      </c>
      <c r="H131" s="259">
        <f t="shared" si="31"/>
        <v>0.34555803860125206</v>
      </c>
      <c r="I131" s="208"/>
      <c r="J131" s="28"/>
      <c r="L131" s="10"/>
      <c r="M131" s="10"/>
    </row>
    <row r="132" spans="2:14" x14ac:dyDescent="0.3">
      <c r="B132" s="182"/>
      <c r="C132" s="183"/>
      <c r="D132" s="124">
        <f>D1402</f>
        <v>1.9E-2</v>
      </c>
      <c r="E132" s="124">
        <f>F1402</f>
        <v>4.9479166666666673E-3</v>
      </c>
      <c r="F132" s="68" t="s">
        <v>52</v>
      </c>
      <c r="G132" s="259">
        <f t="shared" si="31"/>
        <v>0.34889688911750161</v>
      </c>
      <c r="H132" s="259">
        <f t="shared" si="31"/>
        <v>0.18680568571488454</v>
      </c>
      <c r="I132" s="208"/>
      <c r="J132" s="28"/>
      <c r="L132" s="10"/>
      <c r="M132" s="10"/>
    </row>
    <row r="133" spans="2:14" x14ac:dyDescent="0.3">
      <c r="B133" s="182">
        <f>B1418</f>
        <v>146</v>
      </c>
      <c r="C133" s="183" t="str">
        <f>D1418</f>
        <v>Hale et al. (2021)</v>
      </c>
      <c r="D133" s="399">
        <f t="shared" ref="D133:E136" si="32">E1422</f>
        <v>-6.0000000000000001E-3</v>
      </c>
      <c r="E133" s="400">
        <f t="shared" si="32"/>
        <v>1E-3</v>
      </c>
      <c r="F133" s="401" t="s">
        <v>45</v>
      </c>
      <c r="G133" s="259">
        <f t="shared" ref="G133:H136" si="33">D1432</f>
        <v>-0.17443174008191442</v>
      </c>
      <c r="H133" s="259">
        <f t="shared" si="33"/>
        <v>-0.16294862013386546</v>
      </c>
      <c r="L133" s="10"/>
      <c r="M133" s="10"/>
    </row>
    <row r="134" spans="2:14" x14ac:dyDescent="0.3">
      <c r="B134" s="182"/>
      <c r="C134" s="183"/>
      <c r="D134" s="399">
        <f t="shared" si="32"/>
        <v>-5.0000000000000001E-3</v>
      </c>
      <c r="E134" s="400">
        <f t="shared" si="32"/>
        <v>1E-3</v>
      </c>
      <c r="F134" s="401" t="s">
        <v>45</v>
      </c>
      <c r="G134" s="259">
        <f t="shared" si="33"/>
        <v>-0.14763130761625554</v>
      </c>
      <c r="H134" s="259">
        <f t="shared" si="33"/>
        <v>-0.13776278422469179</v>
      </c>
      <c r="L134" s="10"/>
      <c r="M134" s="10"/>
    </row>
    <row r="135" spans="2:14" x14ac:dyDescent="0.3">
      <c r="B135" s="182"/>
      <c r="C135" s="183"/>
      <c r="D135" s="399">
        <f t="shared" si="32"/>
        <v>-4.0000000000000001E-3</v>
      </c>
      <c r="E135" s="400">
        <f t="shared" si="32"/>
        <v>1E-3</v>
      </c>
      <c r="F135" s="401" t="s">
        <v>45</v>
      </c>
      <c r="G135" s="259">
        <f t="shared" si="33"/>
        <v>-0.11996085238540743</v>
      </c>
      <c r="H135" s="259">
        <f t="shared" si="33"/>
        <v>-0.1118191378086586</v>
      </c>
      <c r="L135" s="10"/>
      <c r="M135" s="10"/>
    </row>
    <row r="136" spans="2:14" x14ac:dyDescent="0.3">
      <c r="B136" s="182"/>
      <c r="C136" s="183"/>
      <c r="D136" s="399">
        <f t="shared" si="32"/>
        <v>-2.1000000000000001E-2</v>
      </c>
      <c r="E136" s="400">
        <f t="shared" si="32"/>
        <v>2E-3</v>
      </c>
      <c r="F136" s="401" t="s">
        <v>45</v>
      </c>
      <c r="G136" s="259">
        <f t="shared" si="33"/>
        <v>-0.48874748611964469</v>
      </c>
      <c r="H136" s="259">
        <f t="shared" si="33"/>
        <v>-0.46342256099637169</v>
      </c>
      <c r="L136" s="10"/>
      <c r="M136" s="10"/>
    </row>
    <row r="137" spans="2:14" x14ac:dyDescent="0.3">
      <c r="B137" s="75"/>
      <c r="C137" s="56" t="s">
        <v>58</v>
      </c>
      <c r="D137" s="402"/>
      <c r="E137" s="402"/>
      <c r="F137" s="403"/>
      <c r="G137" s="117"/>
      <c r="H137" s="117"/>
      <c r="L137" s="10"/>
      <c r="M137" s="10"/>
    </row>
    <row r="138" spans="2:14" x14ac:dyDescent="0.3">
      <c r="L138" s="10"/>
      <c r="M138" s="10"/>
    </row>
    <row r="139" spans="2:14" s="154" customFormat="1" ht="19.5" x14ac:dyDescent="0.4">
      <c r="B139" s="154" t="s">
        <v>87</v>
      </c>
      <c r="D139" s="227"/>
      <c r="L139" s="226"/>
      <c r="M139" s="226"/>
    </row>
    <row r="140" spans="2:14" x14ac:dyDescent="0.3">
      <c r="D140" s="58"/>
      <c r="F140" s="28"/>
      <c r="L140" s="10"/>
      <c r="M140" s="10"/>
    </row>
    <row r="141" spans="2:14" x14ac:dyDescent="0.3">
      <c r="C141" s="4" t="s">
        <v>88</v>
      </c>
    </row>
    <row r="142" spans="2:14" x14ac:dyDescent="0.3">
      <c r="C142" s="40"/>
      <c r="D142" s="5" t="s">
        <v>17</v>
      </c>
      <c r="E142" s="5" t="s">
        <v>18</v>
      </c>
      <c r="F142" s="5" t="s">
        <v>89</v>
      </c>
      <c r="G142" s="28"/>
    </row>
    <row r="143" spans="2:14" x14ac:dyDescent="0.3">
      <c r="C143" t="s">
        <v>90</v>
      </c>
      <c r="D143" s="20">
        <v>76.391666087864692</v>
      </c>
      <c r="E143" s="20">
        <v>74.089415216876617</v>
      </c>
      <c r="F143" s="41">
        <v>44.444444444444443</v>
      </c>
      <c r="G143" s="26"/>
      <c r="J143" s="97"/>
      <c r="K143" s="97"/>
      <c r="L143" s="111"/>
      <c r="M143" s="111"/>
      <c r="N143" s="111"/>
    </row>
    <row r="144" spans="2:14" x14ac:dyDescent="0.3">
      <c r="C144" t="s">
        <v>91</v>
      </c>
      <c r="D144" s="20">
        <v>747.78438100000005</v>
      </c>
      <c r="E144" s="20">
        <v>332.915074</v>
      </c>
      <c r="F144"/>
      <c r="G144" s="26"/>
      <c r="H144" s="26"/>
      <c r="I144" s="26"/>
      <c r="L144" s="111"/>
      <c r="M144" s="111"/>
      <c r="N144" s="111"/>
    </row>
    <row r="145" spans="2:14" x14ac:dyDescent="0.3">
      <c r="C145" t="s">
        <v>92</v>
      </c>
      <c r="D145" s="22"/>
      <c r="E145" s="22"/>
      <c r="F145"/>
      <c r="H145" s="26"/>
      <c r="L145" s="111"/>
      <c r="M145" s="111"/>
      <c r="N145" s="111"/>
    </row>
    <row r="146" spans="2:14" x14ac:dyDescent="0.3">
      <c r="C146" s="36" t="s">
        <v>93</v>
      </c>
      <c r="D146" s="91">
        <v>2.8379727357315194</v>
      </c>
      <c r="E146" s="91">
        <v>2.8684928995114221</v>
      </c>
      <c r="F146"/>
      <c r="H146" s="26"/>
      <c r="L146" s="111"/>
      <c r="M146" s="111"/>
      <c r="N146" s="111"/>
    </row>
    <row r="147" spans="2:14" x14ac:dyDescent="0.3">
      <c r="C147" s="36" t="s">
        <v>94</v>
      </c>
      <c r="D147" s="91">
        <v>2.3424151573498442</v>
      </c>
      <c r="E147" s="91">
        <v>2.5392568767533819</v>
      </c>
      <c r="F147"/>
      <c r="L147" s="111"/>
      <c r="M147" s="111"/>
      <c r="N147" s="111"/>
    </row>
    <row r="148" spans="2:14" x14ac:dyDescent="0.3">
      <c r="C148" s="36" t="s">
        <v>95</v>
      </c>
      <c r="D148" s="91">
        <v>1.9437258600919893</v>
      </c>
      <c r="E148" s="91">
        <v>1.895246303452931</v>
      </c>
      <c r="F148"/>
      <c r="L148" s="111"/>
      <c r="M148" s="111"/>
      <c r="N148" s="111"/>
    </row>
    <row r="149" spans="2:14" x14ac:dyDescent="0.3">
      <c r="C149" s="36" t="s">
        <v>96</v>
      </c>
      <c r="D149" s="91">
        <v>3.4416881178824816</v>
      </c>
      <c r="E149" s="91">
        <v>3.5119354545837385</v>
      </c>
      <c r="F149"/>
      <c r="M149" s="111"/>
      <c r="N149" s="111"/>
    </row>
    <row r="150" spans="2:14" x14ac:dyDescent="0.3">
      <c r="C150" s="36" t="s">
        <v>97</v>
      </c>
      <c r="D150" s="91">
        <v>0.76151448614592177</v>
      </c>
      <c r="E150" s="91">
        <v>0.5153736481990101</v>
      </c>
      <c r="F150"/>
      <c r="M150" s="111"/>
      <c r="N150" s="111"/>
    </row>
    <row r="151" spans="2:14" x14ac:dyDescent="0.3">
      <c r="C151" s="36" t="s">
        <v>98</v>
      </c>
      <c r="D151" s="91">
        <v>1.6398827562135752</v>
      </c>
      <c r="E151" s="91">
        <v>1.5813010566323149</v>
      </c>
      <c r="F151"/>
      <c r="M151" s="111"/>
      <c r="N151" s="111"/>
    </row>
    <row r="152" spans="2:14" x14ac:dyDescent="0.3">
      <c r="C152" s="36" t="s">
        <v>99</v>
      </c>
      <c r="D152" s="91">
        <v>1.6629459240319566</v>
      </c>
      <c r="E152" s="91">
        <v>1.3900832363181164</v>
      </c>
      <c r="F152"/>
      <c r="M152" s="111"/>
      <c r="N152" s="111"/>
    </row>
    <row r="153" spans="2:14" x14ac:dyDescent="0.3">
      <c r="C153" s="36" t="s">
        <v>100</v>
      </c>
      <c r="D153" s="91">
        <v>3.1145231255915267</v>
      </c>
      <c r="E153" s="91">
        <v>3</v>
      </c>
      <c r="F153"/>
      <c r="M153" s="111"/>
      <c r="N153" s="111"/>
    </row>
    <row r="154" spans="2:14" x14ac:dyDescent="0.3">
      <c r="C154" s="36" t="s">
        <v>101</v>
      </c>
      <c r="D154" s="91">
        <v>0.45525250999739281</v>
      </c>
      <c r="E154" s="91">
        <v>0.57867614824363389</v>
      </c>
      <c r="F154"/>
      <c r="M154" s="111"/>
      <c r="N154" s="111"/>
    </row>
    <row r="155" spans="2:14" x14ac:dyDescent="0.3">
      <c r="C155" s="36" t="s">
        <v>102</v>
      </c>
      <c r="D155" s="91">
        <v>2.2986466652041768</v>
      </c>
      <c r="E155" s="91">
        <v>2.3934071325968485</v>
      </c>
      <c r="F155"/>
      <c r="M155" s="111"/>
      <c r="N155" s="111"/>
    </row>
    <row r="156" spans="2:14" x14ac:dyDescent="0.3">
      <c r="C156" t="s">
        <v>103</v>
      </c>
      <c r="D156" s="22"/>
      <c r="E156" s="22"/>
      <c r="F156"/>
      <c r="G156" s="26"/>
      <c r="M156" s="111"/>
      <c r="N156" s="111"/>
    </row>
    <row r="157" spans="2:14" x14ac:dyDescent="0.3">
      <c r="B157" s="3">
        <v>1</v>
      </c>
      <c r="C157" s="36" t="s">
        <v>104</v>
      </c>
      <c r="D157" s="20">
        <v>187771</v>
      </c>
      <c r="E157" s="20">
        <v>127471</v>
      </c>
      <c r="F157"/>
      <c r="L157" s="111"/>
      <c r="M157" s="111"/>
      <c r="N157" s="111"/>
    </row>
    <row r="158" spans="2:14" x14ac:dyDescent="0.3">
      <c r="B158" s="3">
        <v>89</v>
      </c>
      <c r="C158" s="36" t="s">
        <v>105</v>
      </c>
      <c r="D158" s="20">
        <v>187771</v>
      </c>
      <c r="E158" s="20">
        <v>127471</v>
      </c>
      <c r="F158"/>
      <c r="L158" s="111"/>
      <c r="M158" s="111"/>
      <c r="N158" s="111"/>
    </row>
    <row r="159" spans="2:14" x14ac:dyDescent="0.3">
      <c r="B159" s="3">
        <v>89</v>
      </c>
      <c r="C159" s="36" t="s">
        <v>106</v>
      </c>
      <c r="D159" s="20">
        <v>542530</v>
      </c>
      <c r="E159" s="20">
        <v>352001</v>
      </c>
      <c r="F159"/>
      <c r="G159" s="143"/>
      <c r="H159" s="143"/>
      <c r="L159" s="111"/>
      <c r="M159" s="111"/>
      <c r="N159" s="111"/>
    </row>
    <row r="160" spans="2:14" x14ac:dyDescent="0.3">
      <c r="B160" s="3">
        <v>99</v>
      </c>
      <c r="C160" s="36" t="s">
        <v>107</v>
      </c>
      <c r="D160" s="20">
        <v>187771</v>
      </c>
      <c r="E160" s="20">
        <v>127471</v>
      </c>
      <c r="F160"/>
      <c r="L160" s="111"/>
      <c r="M160" s="111"/>
      <c r="N160" s="111"/>
    </row>
    <row r="161" spans="1:14" x14ac:dyDescent="0.3">
      <c r="B161" s="3">
        <v>102</v>
      </c>
      <c r="C161" s="36" t="s">
        <v>108</v>
      </c>
      <c r="D161" s="20">
        <v>164600</v>
      </c>
      <c r="E161" s="20">
        <v>97081</v>
      </c>
      <c r="F161"/>
      <c r="G161" s="26"/>
      <c r="H161" s="26"/>
      <c r="I161" s="26"/>
      <c r="J161" s="190"/>
      <c r="K161" s="58"/>
      <c r="L161" s="111"/>
      <c r="M161" s="111"/>
      <c r="N161" s="111"/>
    </row>
    <row r="162" spans="1:14" x14ac:dyDescent="0.3">
      <c r="B162" s="3">
        <v>111</v>
      </c>
      <c r="C162" s="36" t="s">
        <v>109</v>
      </c>
      <c r="D162" s="6">
        <v>193213</v>
      </c>
      <c r="E162" s="6">
        <v>137827</v>
      </c>
      <c r="F162"/>
    </row>
    <row r="163" spans="1:14" x14ac:dyDescent="0.3">
      <c r="B163" s="3">
        <v>137</v>
      </c>
      <c r="C163" s="36" t="s">
        <v>110</v>
      </c>
      <c r="D163" s="20">
        <v>410110</v>
      </c>
      <c r="E163" s="20">
        <v>279178</v>
      </c>
      <c r="F163"/>
      <c r="G163" s="26"/>
      <c r="H163" s="26"/>
      <c r="I163" s="26"/>
      <c r="J163" s="190"/>
      <c r="K163" s="58"/>
      <c r="L163" s="111"/>
      <c r="M163" s="111"/>
      <c r="N163" s="111"/>
    </row>
    <row r="164" spans="1:14" x14ac:dyDescent="0.3">
      <c r="C164" s="62"/>
    </row>
    <row r="167" spans="1:14" s="8" customFormat="1" ht="19.5" x14ac:dyDescent="0.4">
      <c r="A167" s="8" t="s">
        <v>111</v>
      </c>
      <c r="E167" s="72"/>
    </row>
    <row r="170" spans="1:14" x14ac:dyDescent="0.3">
      <c r="B170" s="4" t="s">
        <v>111</v>
      </c>
      <c r="H170" s="18"/>
      <c r="I170" s="18"/>
      <c r="J170" s="18"/>
    </row>
    <row r="171" spans="1:14" x14ac:dyDescent="0.3">
      <c r="B171" s="75" t="s">
        <v>9</v>
      </c>
      <c r="C171" s="284" t="s">
        <v>10</v>
      </c>
      <c r="D171" s="284" t="s">
        <v>112</v>
      </c>
      <c r="E171" s="285" t="s">
        <v>15</v>
      </c>
      <c r="F171" s="284" t="s">
        <v>113</v>
      </c>
      <c r="G171" s="284" t="s">
        <v>114</v>
      </c>
      <c r="H171" s="127" t="str">
        <f>I377</f>
        <v>Largest weight equal to 2nd largest</v>
      </c>
      <c r="I171" s="127" t="str">
        <f>J377</f>
        <v>Lowest weight equal to 2nd lowest</v>
      </c>
      <c r="J171" s="127" t="str">
        <f>K377</f>
        <v>Smallest (most negative) estimate equal to 2nd smallest</v>
      </c>
      <c r="K171" s="127" t="str">
        <f>L377</f>
        <v>Highest (least negative) estimate equal to 2nd highest</v>
      </c>
      <c r="L171" s="127" t="s">
        <v>978</v>
      </c>
    </row>
    <row r="172" spans="1:14" outlineLevel="1" x14ac:dyDescent="0.3">
      <c r="B172" s="80"/>
      <c r="C172" s="286" t="s">
        <v>115</v>
      </c>
      <c r="D172" s="287"/>
      <c r="E172" s="287"/>
      <c r="F172" s="287"/>
      <c r="G172" s="287"/>
      <c r="H172" s="10"/>
      <c r="I172" s="58"/>
      <c r="J172" s="10"/>
      <c r="K172" s="335"/>
      <c r="L172" s="26"/>
    </row>
    <row r="173" spans="1:14" outlineLevel="1" x14ac:dyDescent="0.3">
      <c r="B173" s="81">
        <f>B547</f>
        <v>2</v>
      </c>
      <c r="C173" s="288" t="str">
        <f>D547</f>
        <v>Chernozhukov et al. (2021)</v>
      </c>
      <c r="D173" s="289">
        <f>H552</f>
        <v>-0.17695473251028815</v>
      </c>
      <c r="E173" s="289">
        <f>ABS(E196/D196*D173)</f>
        <v>0.14259446883560367</v>
      </c>
      <c r="F173" s="290">
        <f>IF(E173=Input!$H$14,Input!$H$14,1/E173)</f>
        <v>7.0128947368421013</v>
      </c>
      <c r="G173" s="290"/>
      <c r="H173" s="166"/>
      <c r="I173" s="166"/>
      <c r="J173" s="166"/>
      <c r="L173" s="26">
        <f>IF(E173=Input!$H$14,Input!$H$14,1/E173^2)</f>
        <v>49.18069259002764</v>
      </c>
      <c r="M173" s="26"/>
    </row>
    <row r="174" spans="1:14" outlineLevel="1" x14ac:dyDescent="0.3">
      <c r="B174" s="81">
        <f>B737</f>
        <v>71</v>
      </c>
      <c r="C174" s="288" t="str">
        <f>D737</f>
        <v>Stokes et al. (2020)</v>
      </c>
      <c r="D174" s="289">
        <f>F748</f>
        <v>4.8995231350040705E-2</v>
      </c>
      <c r="E174" s="289">
        <f>ABS(E197/D197*D174)</f>
        <v>2.8033413309875559E-2</v>
      </c>
      <c r="F174" s="290">
        <f>IF(E174=Input!$H$14,Input!$H$14,1/E174)</f>
        <v>35.671717494627096</v>
      </c>
      <c r="G174" s="290"/>
      <c r="H174" s="166"/>
      <c r="I174" s="166"/>
      <c r="J174" s="166"/>
      <c r="K174" s="166"/>
      <c r="L174" s="26">
        <f>IF(E174=Input!$H$14,Input!$H$14,1/E174^2)</f>
        <v>1272.4714290164845</v>
      </c>
      <c r="M174" s="26"/>
    </row>
    <row r="175" spans="1:14" outlineLevel="1" x14ac:dyDescent="0.3">
      <c r="B175" s="81">
        <f>B1025</f>
        <v>75</v>
      </c>
      <c r="C175" s="288" t="str">
        <f>D1025</f>
        <v>Spiegel and Tookes (2021)</v>
      </c>
      <c r="D175" s="289">
        <f>S1030</f>
        <v>0.13071364795918367</v>
      </c>
      <c r="E175" s="289">
        <f>ABS(E198/D198*D175)</f>
        <v>6.5675637755102018E-2</v>
      </c>
      <c r="F175" s="290">
        <f>IF(E175=Input!$H$14,Input!$H$14,1/E175)</f>
        <v>15.226346240121817</v>
      </c>
      <c r="G175" s="290"/>
      <c r="H175" s="166"/>
      <c r="I175" s="166"/>
      <c r="J175" s="166"/>
      <c r="K175" s="164"/>
      <c r="L175" s="26">
        <f>IF(E175=Input!$H$14,Input!$H$14,1/E175^2)</f>
        <v>231.84161982407176</v>
      </c>
      <c r="M175" s="26"/>
    </row>
    <row r="176" spans="1:14" outlineLevel="1" x14ac:dyDescent="0.3">
      <c r="B176" s="81">
        <f>B1161</f>
        <v>92</v>
      </c>
      <c r="C176" s="288" t="str">
        <f>D1161</f>
        <v>Bonardi et al. (2020)</v>
      </c>
      <c r="D176" s="289">
        <f>D1164</f>
        <v>0</v>
      </c>
      <c r="E176" s="289" t="str">
        <f>Input!$H$14</f>
        <v>n/a</v>
      </c>
      <c r="F176" s="290" t="str">
        <f>IF(E176=Input!$H$14,Input!$H$14,1/E176)</f>
        <v>n/a</v>
      </c>
      <c r="G176" s="290"/>
      <c r="H176" s="166"/>
      <c r="I176" s="166"/>
      <c r="J176" s="166"/>
      <c r="K176" s="166"/>
      <c r="L176" s="26" t="str">
        <f>IF(E176=Input!$H$14,Input!$H$14,1/E176^2)</f>
        <v>n/a</v>
      </c>
      <c r="M176" s="26"/>
    </row>
    <row r="177" spans="2:36" outlineLevel="1" x14ac:dyDescent="0.3">
      <c r="B177" s="81">
        <f>B1181</f>
        <v>98</v>
      </c>
      <c r="C177" s="288" t="str">
        <f>D1181</f>
        <v>Guo et al. (2021)</v>
      </c>
      <c r="D177" s="289">
        <f>H1186</f>
        <v>4.5999999999999999E-2</v>
      </c>
      <c r="E177" s="289">
        <f>ABS(E200/D200*D177)</f>
        <v>0.14799999999999999</v>
      </c>
      <c r="F177" s="290">
        <f>IF(E177=Input!$H$14,Input!$H$14,1/E177)</f>
        <v>6.756756756756757</v>
      </c>
      <c r="G177" s="290"/>
      <c r="H177" s="166"/>
      <c r="I177" s="166"/>
      <c r="J177" s="166"/>
      <c r="K177" s="166"/>
      <c r="L177" s="26">
        <f>IF(E177=Input!$H$14,Input!$H$14,1/E177^2)</f>
        <v>45.653761869978091</v>
      </c>
      <c r="M177" s="26"/>
    </row>
    <row r="178" spans="2:36" outlineLevel="1" x14ac:dyDescent="0.3">
      <c r="B178" s="81">
        <f>B1231</f>
        <v>111</v>
      </c>
      <c r="C178" s="288" t="str">
        <f>D1231</f>
        <v>An et al. (2021)</v>
      </c>
      <c r="D178" s="289">
        <f>D1288</f>
        <v>0.15612949485277217</v>
      </c>
      <c r="E178" s="289">
        <f>ABS(E201/D201*D178)</f>
        <v>8.7208602498503457E-2</v>
      </c>
      <c r="F178" s="290">
        <f>IF(E178=Input!$H$14,Input!$H$14,1/E178)</f>
        <v>11.466758683779625</v>
      </c>
      <c r="G178" s="290"/>
      <c r="H178" s="166"/>
      <c r="I178" s="166"/>
      <c r="J178" s="166"/>
      <c r="K178" s="58">
        <f>(SUMPRODUCT(F173:F186,D173:D186)-F178*D178+F178*SMALL(D173:D186,2))/SUM(F173:F186)</f>
        <v>-4.0843134231075197E-2</v>
      </c>
      <c r="L178" s="26">
        <f>IF(E178=Input!$H$14,Input!$H$14,1/E178^2)</f>
        <v>131.48655471203543</v>
      </c>
      <c r="M178" s="26"/>
    </row>
    <row r="179" spans="2:36" outlineLevel="1" x14ac:dyDescent="0.3">
      <c r="B179" s="74"/>
      <c r="C179" s="291" t="s">
        <v>116</v>
      </c>
      <c r="D179" s="292" t="str">
        <f>TEXT(SUMPRODUCT($F$173:$F$178,D173:D178)/SUM($F$173:$F$178),"0.0%") &amp; " (" &amp; TEXT(AVERAGE(D173:D178),"0.0%") &amp; "/"&amp;TEXT(MEDIAN(D173:D178),"0.0%")&amp;")"</f>
        <v>6.0% (3.4%/4.7%)</v>
      </c>
      <c r="E179" s="292"/>
      <c r="F179" s="293"/>
      <c r="G179" s="293"/>
      <c r="H179" s="74"/>
      <c r="I179" s="74"/>
      <c r="J179" s="74"/>
      <c r="K179" s="74"/>
      <c r="L179" s="74"/>
      <c r="M179" s="26"/>
    </row>
    <row r="180" spans="2:36" outlineLevel="1" x14ac:dyDescent="0.3">
      <c r="B180" s="80"/>
      <c r="C180" s="286" t="s">
        <v>117</v>
      </c>
      <c r="D180" s="287"/>
      <c r="E180" s="287"/>
      <c r="F180" s="290"/>
      <c r="G180" s="290"/>
      <c r="H180" s="83"/>
      <c r="I180" s="83"/>
      <c r="J180" s="83"/>
      <c r="K180" s="83"/>
      <c r="L180" s="83"/>
    </row>
    <row r="181" spans="2:36" outlineLevel="1" x14ac:dyDescent="0.3">
      <c r="B181" s="82">
        <f>B576</f>
        <v>23</v>
      </c>
      <c r="C181" s="288" t="str">
        <f>D576</f>
        <v>Sears et al. (2020)</v>
      </c>
      <c r="D181" s="289">
        <f>D579</f>
        <v>-0.32151610007036957</v>
      </c>
      <c r="E181" s="289">
        <f>ABS(E204/D204*D181)</f>
        <v>0.17576213470513535</v>
      </c>
      <c r="F181" s="290">
        <f>IF(E181=Input!$H$14,Input!$H$14,1/E181)</f>
        <v>5.6895075931891395</v>
      </c>
      <c r="G181" s="290"/>
      <c r="H181" s="166"/>
      <c r="I181" s="166"/>
      <c r="J181" s="166"/>
      <c r="K181" s="166"/>
      <c r="L181" s="26">
        <f>IF(E181=Input!$H$14,Input!$H$14,1/E181^2)</f>
        <v>32.370496652956874</v>
      </c>
      <c r="M181" s="26"/>
      <c r="AJ181" s="18"/>
    </row>
    <row r="182" spans="2:36" outlineLevel="1" x14ac:dyDescent="0.3">
      <c r="B182" s="82">
        <f>B607</f>
        <v>30</v>
      </c>
      <c r="C182" s="288" t="str">
        <f>D607</f>
        <v>Alderman and Harjoto (2020)</v>
      </c>
      <c r="D182" s="289">
        <f>D609</f>
        <v>-0.01</v>
      </c>
      <c r="E182" s="289">
        <f>D610</f>
        <v>5.9171597633136102E-3</v>
      </c>
      <c r="F182" s="290">
        <f>IF(E182=Input!$H$14,Input!$H$14,1/E182)</f>
        <v>168.99999999999997</v>
      </c>
      <c r="G182" s="290"/>
      <c r="H182" s="58">
        <f>(SUMPRODUCT(F173:F186,D173:D186)-F182*D182+LARGE(F173:F186,2)*D182)/(SUM(F173:F186)-F182+LARGE(F173:F186,2))</f>
        <v>-2.8647809572784708E-2</v>
      </c>
      <c r="I182" s="164"/>
      <c r="J182" s="164"/>
      <c r="K182" s="164"/>
      <c r="L182" s="26">
        <f>IF(E182=Input!$H$14,Input!$H$14,1/E182^2)</f>
        <v>28560.999999999993</v>
      </c>
      <c r="M182" s="26"/>
      <c r="AJ182" s="18"/>
    </row>
    <row r="183" spans="2:36" outlineLevel="1" x14ac:dyDescent="0.3">
      <c r="B183" s="82">
        <f>B617</f>
        <v>48</v>
      </c>
      <c r="C183" s="288" t="str">
        <f>D617</f>
        <v>Berry et al. (2020)</v>
      </c>
      <c r="D183" s="289">
        <f>E620</f>
        <v>1.1261750695743089E-2</v>
      </c>
      <c r="E183" s="289" t="str">
        <f>Input!$H$14</f>
        <v>n/a</v>
      </c>
      <c r="F183" s="290" t="str">
        <f>IF(E183=Input!$H$14,Input!$H$14,1/E183)</f>
        <v>n/a</v>
      </c>
      <c r="G183" s="290"/>
      <c r="H183" s="166"/>
      <c r="I183" s="166"/>
      <c r="J183" s="166"/>
      <c r="K183" s="166"/>
      <c r="L183" s="26" t="str">
        <f>IF(E183=Input!$H$14,Input!$H$14,1/E183^2)</f>
        <v>n/a</v>
      </c>
      <c r="M183" s="26"/>
      <c r="AJ183" s="18"/>
    </row>
    <row r="184" spans="2:36" outlineLevel="1" x14ac:dyDescent="0.3">
      <c r="B184" s="82">
        <f>B730</f>
        <v>64</v>
      </c>
      <c r="C184" s="288" t="str">
        <f>D730</f>
        <v>Fowler et al. (2021)</v>
      </c>
      <c r="D184" s="289">
        <f>D733</f>
        <v>-0.35</v>
      </c>
      <c r="E184" s="289">
        <f>ABS(E207/D207*D184)</f>
        <v>6.968641114982578E-2</v>
      </c>
      <c r="F184" s="290">
        <f>IF(E184=Input!$H$14,Input!$H$14,1/E184)</f>
        <v>14.350000000000001</v>
      </c>
      <c r="G184" s="290"/>
      <c r="H184" s="166"/>
      <c r="I184" s="166"/>
      <c r="J184" s="166"/>
      <c r="K184" s="166"/>
      <c r="L184" s="26">
        <f>IF(E184=Input!$H$14,Input!$H$14,1/E184^2)</f>
        <v>205.92250000000004</v>
      </c>
      <c r="M184" s="26"/>
      <c r="AJ184" s="18"/>
    </row>
    <row r="185" spans="2:36" outlineLevel="1" x14ac:dyDescent="0.3">
      <c r="B185" s="82">
        <f>B1325</f>
        <v>115</v>
      </c>
      <c r="C185" s="288" t="str">
        <f>D1325</f>
        <v>Gibson (2020)</v>
      </c>
      <c r="D185" s="289">
        <f>L1329</f>
        <v>-6.0069444444444453E-2</v>
      </c>
      <c r="E185" s="289">
        <f>ABS(E208/D208*D185)</f>
        <v>0.24514577421869621</v>
      </c>
      <c r="F185" s="290">
        <f>IF(E185=Input!$H$14,Input!$H$14,1/E185)</f>
        <v>4.0792055387742199</v>
      </c>
      <c r="G185" s="290"/>
      <c r="H185" s="166"/>
      <c r="I185" s="166"/>
      <c r="J185" s="166"/>
      <c r="K185" s="166"/>
      <c r="L185" s="26">
        <f>IF(E185=Input!$H$14,Input!$H$14,1/E185^2)</f>
        <v>16.639917827566276</v>
      </c>
      <c r="M185" s="26"/>
      <c r="AJ185" s="18"/>
    </row>
    <row r="186" spans="2:36" outlineLevel="1" x14ac:dyDescent="0.3">
      <c r="B186" s="82">
        <f>B1013</f>
        <v>74</v>
      </c>
      <c r="C186" s="288" t="str">
        <f>D1013</f>
        <v>Dave et al. (2020)</v>
      </c>
      <c r="D186" s="289">
        <f>D1016</f>
        <v>-0.40389417076968986</v>
      </c>
      <c r="E186" s="289">
        <f>ABS(E209/D209*D186)</f>
        <v>0.36129664144631723</v>
      </c>
      <c r="F186" s="290">
        <f>IF(E186=Input!$H$14,Input!$H$14,1/E186)</f>
        <v>2.7678087346643205</v>
      </c>
      <c r="G186" s="290"/>
      <c r="H186" s="166"/>
      <c r="I186" s="164">
        <f>(SUMPRODUCT(F173:F186,D173:D186)-F186*D186+SMALL(F173:F186,2)*D186)/(SUM(F173:F186)-F186+SMALL(F173:F186,2))</f>
        <v>-2.1351991008599788E-2</v>
      </c>
      <c r="J186" s="164">
        <f>(SUMPRODUCT(F173:F186,D173:D186)-F186*D186+F186*LARGE(D173:D186,2))/SUM(F173:F186)</f>
        <v>-1.406815331584663E-2</v>
      </c>
      <c r="K186" s="166"/>
      <c r="L186" s="26">
        <f>IF(E186=Input!$H$14,Input!$H$14,1/E186^2)</f>
        <v>7.6607651916841073</v>
      </c>
      <c r="M186" s="26"/>
      <c r="AJ186" s="18"/>
    </row>
    <row r="187" spans="2:36" outlineLevel="1" x14ac:dyDescent="0.3">
      <c r="B187" s="83"/>
      <c r="C187" s="291" t="s">
        <v>118</v>
      </c>
      <c r="D187" s="294" t="str">
        <f>TEXT(SUMPRODUCT($F$181:$F$186,D181:D186)/SUM($F$181:$F$186),"0.0%") &amp; " (" &amp; TEXT(AVERAGE(D181:D186),"0.0%") &amp; "/"&amp;TEXT(MEDIAN(D181:D186),"0.0%")&amp;")"</f>
        <v>-5.1% (-18.9%/-19.1%)</v>
      </c>
      <c r="E187" s="294"/>
      <c r="F187" s="295"/>
      <c r="G187" s="295"/>
      <c r="H187" s="167"/>
      <c r="I187" s="167"/>
      <c r="J187" s="167"/>
      <c r="K187" s="167"/>
      <c r="L187" s="19"/>
      <c r="M187" s="26"/>
    </row>
    <row r="188" spans="2:36" x14ac:dyDescent="0.3">
      <c r="B188" s="179"/>
      <c r="C188" s="296" t="s">
        <v>119</v>
      </c>
      <c r="D188" s="297" t="str">
        <f>TEXT(SUMPRODUCT($F$173:$F$187,D173:D187)/SUM($F$173:$F$187),"0.0%") &amp; " (" &amp; TEXT(AVERAGE(D173:D187),"0.0%") &amp; "/"&amp;TEXT(MEDIAN(D173:D187),"0.0%") &amp; "/" &amp; TEXT(SUMPRODUCT($L$173:$L$187,D173:D187)/SUM($L$173:$L$187),"0.0%")&amp;")"</f>
        <v>-2.0% (-7.7%/-0.5%/-0.9%)</v>
      </c>
      <c r="E188" s="297"/>
      <c r="F188" s="297"/>
      <c r="G188" s="297"/>
      <c r="H188" s="164">
        <f>SUM(H172:H187)</f>
        <v>-2.8647809572784708E-2</v>
      </c>
      <c r="I188" s="164">
        <f>SUM(I172:I187)</f>
        <v>-2.1351991008599788E-2</v>
      </c>
      <c r="J188" s="164">
        <f>SUM(J172:J187)</f>
        <v>-1.406815331584663E-2</v>
      </c>
      <c r="K188" s="178">
        <f>SUM(K174:K187)</f>
        <v>-4.0843134231075197E-2</v>
      </c>
      <c r="L188" s="178"/>
      <c r="M188" s="26"/>
    </row>
    <row r="189" spans="2:36" x14ac:dyDescent="0.3">
      <c r="B189" s="74"/>
      <c r="C189" s="298" t="s">
        <v>6</v>
      </c>
      <c r="D189" s="299" t="str">
        <f>TEXT(MIN(H188:K188),"0.0%") &amp;" to "&amp;TEXT(MAX(H188:K188),"0.0%")&amp;" ("&amp;TEXT(D240,"0.0%")&amp;")"</f>
        <v>-4.1% to -1.4% (-1.8%)</v>
      </c>
      <c r="E189" s="300"/>
      <c r="F189" s="300"/>
      <c r="G189" s="300"/>
      <c r="H189" s="167"/>
      <c r="I189" s="167"/>
      <c r="J189" s="167"/>
      <c r="K189" s="167"/>
      <c r="L189" s="167"/>
      <c r="M189" s="26"/>
    </row>
    <row r="190" spans="2:36" x14ac:dyDescent="0.3">
      <c r="C190" s="179" t="s">
        <v>7</v>
      </c>
      <c r="D190" s="211">
        <f>SUMPRODUCT(D173:D187,F173:F187)/SUM(F173:F187)</f>
        <v>-1.9507778246493915E-2</v>
      </c>
      <c r="E190" s="211">
        <f>AVERAGE(D173:D186)</f>
        <v>-7.7444526911421049E-2</v>
      </c>
      <c r="F190" s="211">
        <f>MEDIAN(D173:D187)</f>
        <v>-5.0000000000000001E-3</v>
      </c>
      <c r="G190" s="10"/>
      <c r="L190" s="58">
        <f>SUMPRODUCT(D173:D187,L173:L187)/SUM(L173:L187)</f>
        <v>-8.6930051090610121E-3</v>
      </c>
      <c r="M190" s="26"/>
    </row>
    <row r="191" spans="2:36" x14ac:dyDescent="0.3">
      <c r="C191" s="212"/>
      <c r="D191" s="213">
        <f>MAX(H188:K188)</f>
        <v>-1.406815331584663E-2</v>
      </c>
      <c r="E191" s="213">
        <f>MIN(I188:L188)</f>
        <v>-4.0843134231075197E-2</v>
      </c>
      <c r="F191" s="213"/>
      <c r="G191" s="10"/>
      <c r="L191" s="26"/>
    </row>
    <row r="192" spans="2:36" x14ac:dyDescent="0.3">
      <c r="B192" s="26"/>
      <c r="D192" s="26"/>
      <c r="E192" s="26"/>
      <c r="F192" s="10"/>
      <c r="G192" s="10"/>
      <c r="H192" s="10"/>
    </row>
    <row r="193" spans="2:30" x14ac:dyDescent="0.3">
      <c r="B193" s="4" t="s">
        <v>8</v>
      </c>
    </row>
    <row r="194" spans="2:30" x14ac:dyDescent="0.3">
      <c r="B194" s="75" t="s">
        <v>9</v>
      </c>
      <c r="C194" s="52" t="s">
        <v>10</v>
      </c>
      <c r="D194" s="52" t="s">
        <v>120</v>
      </c>
      <c r="E194" s="126" t="s">
        <v>121</v>
      </c>
      <c r="L194" s="4" t="s">
        <v>13</v>
      </c>
      <c r="T194" s="4" t="s">
        <v>14</v>
      </c>
    </row>
    <row r="195" spans="2:30" x14ac:dyDescent="0.3">
      <c r="B195" s="80"/>
      <c r="C195" t="s">
        <v>115</v>
      </c>
      <c r="D195" s="69"/>
      <c r="E195" s="69"/>
      <c r="K195" s="5"/>
      <c r="L195" s="5" t="s">
        <v>19</v>
      </c>
      <c r="M195" s="5" t="s">
        <v>122</v>
      </c>
      <c r="N195" s="5" t="s">
        <v>21</v>
      </c>
      <c r="O195" s="5" t="s">
        <v>22</v>
      </c>
      <c r="P195" s="5" t="s">
        <v>23</v>
      </c>
      <c r="Q195" s="5" t="s">
        <v>24</v>
      </c>
      <c r="R195" s="5" t="s">
        <v>25</v>
      </c>
      <c r="S195" s="5" t="s">
        <v>26</v>
      </c>
      <c r="T195" s="5" t="s">
        <v>27</v>
      </c>
      <c r="U195" s="5" t="s">
        <v>28</v>
      </c>
      <c r="V195" s="5" t="s">
        <v>29</v>
      </c>
      <c r="W195" s="5" t="s">
        <v>30</v>
      </c>
      <c r="X195" s="5" t="s">
        <v>31</v>
      </c>
      <c r="Y195" s="5" t="s">
        <v>32</v>
      </c>
      <c r="Z195" s="5" t="s">
        <v>33</v>
      </c>
      <c r="AA195" s="136" t="s">
        <v>34</v>
      </c>
      <c r="AB195" s="5" t="s">
        <v>35</v>
      </c>
      <c r="AC195" s="5" t="s">
        <v>36</v>
      </c>
      <c r="AD195" s="5" t="s">
        <v>37</v>
      </c>
    </row>
    <row r="196" spans="2:30" x14ac:dyDescent="0.3">
      <c r="B196" s="81">
        <f>B173</f>
        <v>2</v>
      </c>
      <c r="C196" s="36" t="str">
        <f>C173</f>
        <v>Chernozhukov et al. (2021)</v>
      </c>
      <c r="D196" s="146">
        <f>D552</f>
        <v>0.215</v>
      </c>
      <c r="E196" s="146">
        <f>G552</f>
        <v>0.17325227963525838</v>
      </c>
      <c r="F196" s="99"/>
      <c r="G196" s="99"/>
      <c r="H196" s="10"/>
      <c r="K196" s="55" t="str">
        <f>C173</f>
        <v>Chernozhukov et al. (2021)</v>
      </c>
      <c r="L196" s="55">
        <v>43985</v>
      </c>
      <c r="M196" s="55" t="s">
        <v>49</v>
      </c>
      <c r="N196" s="29" t="s">
        <v>40</v>
      </c>
      <c r="O196" s="29" t="s">
        <v>41</v>
      </c>
      <c r="P196" s="29" t="s">
        <v>42</v>
      </c>
      <c r="Q196" s="29" t="s">
        <v>42</v>
      </c>
      <c r="R196" s="29" t="s">
        <v>123</v>
      </c>
      <c r="S196" s="29" t="s">
        <v>57</v>
      </c>
      <c r="T196">
        <f>IF(O196=Input!$J$5,1,0)</f>
        <v>1</v>
      </c>
      <c r="U196">
        <f>IF(L196&gt;Input!$V$5,1,0)</f>
        <v>1</v>
      </c>
      <c r="V196">
        <f>INDEX(Input!$Y$5:$Y$10,MATCH(M196,Input!$X$5:$X$10,0))</f>
        <v>0</v>
      </c>
      <c r="W196">
        <f>IF(P196=Input!$AD$5,1,0)</f>
        <v>1</v>
      </c>
      <c r="X196">
        <f>IF(Q196=Input!$AD$5,1,0)</f>
        <v>1</v>
      </c>
      <c r="Y196">
        <f>IFERROR(INDEX(Input!$Q$5:$Q$14,MATCH(R196,Input!$P$5:$P$14,0)),0)</f>
        <v>0</v>
      </c>
      <c r="Z196">
        <f>IFERROR(INDEX(Input!$AB$5:$AB$9,MATCH(S196,Input!$AA$5:$AA$9,0)),0)</f>
        <v>1</v>
      </c>
      <c r="AA196" s="114">
        <f>INDEX(Input!$D$4:$D$28,MATCH(N196,Input!$C$4:$C$28,0))</f>
        <v>1</v>
      </c>
      <c r="AB196">
        <f>IF(MIN(U196,W196,X196,Z196)=1,1,0)</f>
        <v>1</v>
      </c>
      <c r="AC196" s="11">
        <f>(SUM(T196:AA196)/COUNT(T196:AA196))^2</f>
        <v>0.5625</v>
      </c>
      <c r="AD196" s="21">
        <f>IFERROR(F173*AC196,"")</f>
        <v>3.9447532894736819</v>
      </c>
    </row>
    <row r="197" spans="2:30" x14ac:dyDescent="0.3">
      <c r="B197" s="81">
        <f>B174</f>
        <v>71</v>
      </c>
      <c r="C197" s="36" t="str">
        <f>C174</f>
        <v>Stokes et al. (2020)</v>
      </c>
      <c r="D197" s="146">
        <f>F748</f>
        <v>4.8995231350040705E-2</v>
      </c>
      <c r="E197" s="146">
        <f>I748</f>
        <v>2.8033413309875563E-2</v>
      </c>
      <c r="F197" s="99"/>
      <c r="G197" s="99"/>
      <c r="H197" s="10"/>
      <c r="K197" s="55" t="str">
        <f>C174</f>
        <v>Stokes et al. (2020)</v>
      </c>
      <c r="L197" s="55">
        <v>43983</v>
      </c>
      <c r="M197" s="55" t="s">
        <v>49</v>
      </c>
      <c r="N197" s="29" t="s">
        <v>40</v>
      </c>
      <c r="O197" s="29" t="s">
        <v>54</v>
      </c>
      <c r="P197" s="29" t="s">
        <v>42</v>
      </c>
      <c r="Q197" s="29" t="s">
        <v>42</v>
      </c>
      <c r="R197" s="29" t="s">
        <v>124</v>
      </c>
      <c r="S197" s="29" t="s">
        <v>57</v>
      </c>
      <c r="T197">
        <f>IF(O197=Input!$J$5,1,0)</f>
        <v>0</v>
      </c>
      <c r="U197">
        <f>IF(L197&gt;Input!$V$5,1,0)</f>
        <v>1</v>
      </c>
      <c r="V197">
        <f>INDEX(Input!$Y$5:$Y$10,MATCH(M197,Input!$X$5:$X$10,0))</f>
        <v>0</v>
      </c>
      <c r="W197">
        <f>IF(P197=Input!$AD$5,1,0)</f>
        <v>1</v>
      </c>
      <c r="X197">
        <f>IF(Q197=Input!$AD$5,1,0)</f>
        <v>1</v>
      </c>
      <c r="Y197">
        <f>IFERROR(INDEX(Input!$Q$5:$Q$14,MATCH(R197,Input!$P$5:$P$14,0)),0)</f>
        <v>1</v>
      </c>
      <c r="Z197">
        <f>IFERROR(INDEX(Input!$AB$5:$AB$9,MATCH(S197,Input!$AA$5:$AA$9,0)),0)</f>
        <v>1</v>
      </c>
      <c r="AA197" s="114">
        <f>INDEX(Input!$D$4:$D$28,MATCH(N197,Input!$C$4:$C$28,0))</f>
        <v>1</v>
      </c>
      <c r="AB197">
        <f t="shared" ref="AB197:AB201" si="34">IF(MIN(U197,W197,X197,Z197)=1,1,0)</f>
        <v>1</v>
      </c>
      <c r="AC197" s="11">
        <f t="shared" ref="AC197:AC209" si="35">(SUM(T197:AA197)/COUNT(T197:AA197))^2</f>
        <v>0.5625</v>
      </c>
      <c r="AD197" s="21">
        <f>IFERROR(F174*AC197,"")</f>
        <v>20.065341090727742</v>
      </c>
    </row>
    <row r="198" spans="2:30" x14ac:dyDescent="0.3">
      <c r="B198" s="81">
        <f t="shared" ref="B198:C201" si="36">B175</f>
        <v>75</v>
      </c>
      <c r="C198" s="36" t="str">
        <f t="shared" si="36"/>
        <v>Spiegel and Tookes (2021)</v>
      </c>
      <c r="D198" s="146">
        <f>O1030</f>
        <v>5.1250000000000004E-2</v>
      </c>
      <c r="E198" s="146">
        <f>P1030</f>
        <v>2.5749999999999999E-2</v>
      </c>
      <c r="F198" s="99"/>
      <c r="G198" s="99"/>
      <c r="H198" s="10"/>
      <c r="K198" s="55" t="str">
        <f t="shared" ref="K198:K201" si="37">C175</f>
        <v>Spiegel and Tookes (2021)</v>
      </c>
      <c r="L198" s="55">
        <v>44196</v>
      </c>
      <c r="M198" s="55" t="s">
        <v>46</v>
      </c>
      <c r="N198" s="29" t="s">
        <v>125</v>
      </c>
      <c r="O198" s="29" t="s">
        <v>41</v>
      </c>
      <c r="P198" s="29" t="s">
        <v>42</v>
      </c>
      <c r="Q198" s="29" t="s">
        <v>50</v>
      </c>
      <c r="R198" s="29" t="s">
        <v>77</v>
      </c>
      <c r="S198" s="29" t="s">
        <v>57</v>
      </c>
      <c r="T198">
        <f>IF(O198=Input!$J$5,1,0)</f>
        <v>1</v>
      </c>
      <c r="U198">
        <f>IF(L198&gt;Input!$V$5,1,0)</f>
        <v>1</v>
      </c>
      <c r="V198">
        <f>INDEX(Input!$Y$5:$Y$10,MATCH(M198,Input!$X$5:$X$10,0))</f>
        <v>1</v>
      </c>
      <c r="W198">
        <f>IF(P198=Input!$AD$5,1,0)</f>
        <v>1</v>
      </c>
      <c r="X198">
        <f>IF(Q198=Input!$AD$5,1,0)</f>
        <v>0</v>
      </c>
      <c r="Y198">
        <f>IFERROR(INDEX(Input!$Q$5:$Q$14,MATCH(R198,Input!$P$5:$P$14,0)),0)</f>
        <v>0</v>
      </c>
      <c r="Z198">
        <f>IFERROR(INDEX(Input!$AB$5:$AB$9,MATCH(S198,Input!$AA$5:$AA$9,0)),0)</f>
        <v>1</v>
      </c>
      <c r="AA198" s="114">
        <f>INDEX(Input!$D$4:$D$28,MATCH(N198,Input!$C$4:$C$28,0))</f>
        <v>1</v>
      </c>
      <c r="AB198">
        <f t="shared" si="34"/>
        <v>0</v>
      </c>
      <c r="AC198" s="11">
        <f t="shared" si="35"/>
        <v>0.5625</v>
      </c>
      <c r="AD198" s="21">
        <f t="shared" ref="AD198" si="38">IFERROR(F175*AC198,"")</f>
        <v>8.5648197600685219</v>
      </c>
    </row>
    <row r="199" spans="2:30" x14ac:dyDescent="0.3">
      <c r="B199" s="81">
        <f t="shared" si="36"/>
        <v>92</v>
      </c>
      <c r="C199" s="36" t="str">
        <f t="shared" si="36"/>
        <v>Bonardi et al. (2020)</v>
      </c>
      <c r="D199" s="146"/>
      <c r="E199" s="146" t="str">
        <f>Input!$H$14</f>
        <v>n/a</v>
      </c>
      <c r="F199" s="99"/>
      <c r="G199" s="19"/>
      <c r="H199" s="19"/>
      <c r="K199" s="55" t="str">
        <f t="shared" si="37"/>
        <v>Bonardi et al. (2020)</v>
      </c>
      <c r="L199" s="55">
        <v>43934</v>
      </c>
      <c r="M199" s="55" t="s">
        <v>39</v>
      </c>
      <c r="N199" s="29" t="s">
        <v>40</v>
      </c>
      <c r="O199" s="29" t="s">
        <v>54</v>
      </c>
      <c r="P199" s="29" t="s">
        <v>42</v>
      </c>
      <c r="Q199" s="29" t="s">
        <v>42</v>
      </c>
      <c r="R199" s="29" t="s">
        <v>77</v>
      </c>
      <c r="S199" s="29" t="s">
        <v>126</v>
      </c>
      <c r="T199">
        <f>IF(O199=Input!$J$5,1,0)</f>
        <v>0</v>
      </c>
      <c r="U199">
        <f>IF(L199&gt;Input!$V$5,1,0)</f>
        <v>0</v>
      </c>
      <c r="V199">
        <f>INDEX(Input!$Y$5:$Y$10,MATCH(M199,Input!$X$5:$X$10,0))</f>
        <v>0</v>
      </c>
      <c r="W199">
        <f>IF(P199=Input!$AD$5,1,0)</f>
        <v>1</v>
      </c>
      <c r="X199">
        <f>IF(Q199=Input!$AD$5,1,0)</f>
        <v>1</v>
      </c>
      <c r="Y199">
        <f>IFERROR(INDEX(Input!$Q$5:$Q$14,MATCH(R199,Input!$P$5:$P$14,0)),0)</f>
        <v>0</v>
      </c>
      <c r="Z199">
        <f>IFERROR(INDEX(Input!$AB$5:$AB$9,MATCH(S199,Input!$AA$5:$AA$9,0)),0)</f>
        <v>1</v>
      </c>
      <c r="AA199" s="114">
        <f>INDEX(Input!$D$4:$D$28,MATCH(N199,Input!$C$4:$C$28,0))</f>
        <v>1</v>
      </c>
      <c r="AB199">
        <f t="shared" ref="AB199" si="39">IF(MIN(U199,W199,X199,Z199)=1,1,0)</f>
        <v>0</v>
      </c>
      <c r="AC199" s="11">
        <f t="shared" ref="AC199" si="40">(SUM(T199:AA199)/COUNT(T199:AA199))^2</f>
        <v>0.25</v>
      </c>
      <c r="AD199" s="21" t="str">
        <f>IFERROR(F176*AC199,"")</f>
        <v/>
      </c>
    </row>
    <row r="200" spans="2:30" x14ac:dyDescent="0.3">
      <c r="B200" s="81">
        <f t="shared" si="36"/>
        <v>98</v>
      </c>
      <c r="C200" s="36" t="str">
        <f t="shared" si="36"/>
        <v>Guo et al. (2021)</v>
      </c>
      <c r="D200" s="146">
        <f>D1186</f>
        <v>4.5999999999999999E-2</v>
      </c>
      <c r="E200" s="146">
        <f>G1186</f>
        <v>0.14799999999999999</v>
      </c>
      <c r="F200" s="99"/>
      <c r="G200" s="99"/>
      <c r="H200" s="10"/>
      <c r="K200" s="55" t="str">
        <f t="shared" si="37"/>
        <v>Guo et al. (2021)</v>
      </c>
      <c r="L200" s="55">
        <v>43928</v>
      </c>
      <c r="M200" s="55" t="s">
        <v>49</v>
      </c>
      <c r="N200" s="29" t="s">
        <v>127</v>
      </c>
      <c r="O200" s="29" t="s">
        <v>41</v>
      </c>
      <c r="P200" s="29" t="s">
        <v>50</v>
      </c>
      <c r="Q200" s="29" t="s">
        <v>42</v>
      </c>
      <c r="R200" s="29" t="s">
        <v>77</v>
      </c>
      <c r="S200" s="29" t="s">
        <v>48</v>
      </c>
      <c r="T200">
        <f>IF(O200=Input!$J$5,1,0)</f>
        <v>1</v>
      </c>
      <c r="U200">
        <f>IF(L200&gt;Input!$V$5,1,0)</f>
        <v>0</v>
      </c>
      <c r="V200">
        <f>INDEX(Input!$Y$5:$Y$10,MATCH(M200,Input!$X$5:$X$10,0))</f>
        <v>0</v>
      </c>
      <c r="W200">
        <f>IF(P200=Input!$AD$5,1,0)</f>
        <v>0</v>
      </c>
      <c r="X200">
        <f>IF(Q200=Input!$AD$5,1,0)</f>
        <v>1</v>
      </c>
      <c r="Y200">
        <f>IFERROR(INDEX(Input!$Q$5:$Q$14,MATCH(R200,Input!$P$5:$P$14,0)),0)</f>
        <v>0</v>
      </c>
      <c r="Z200">
        <f>IFERROR(INDEX(Input!$AB$5:$AB$9,MATCH(S200,Input!$AA$5:$AA$9,0)),0)</f>
        <v>0</v>
      </c>
      <c r="AA200" s="114">
        <f>INDEX(Input!$D$4:$D$28,MATCH(N200,Input!$C$4:$C$28,0))</f>
        <v>1</v>
      </c>
      <c r="AB200">
        <f t="shared" si="34"/>
        <v>0</v>
      </c>
      <c r="AC200" s="11">
        <f t="shared" si="35"/>
        <v>0.140625</v>
      </c>
      <c r="AD200" s="21">
        <f t="shared" ref="AD200:AD201" si="41">IFERROR(F177*AC200,"")</f>
        <v>0.95016891891891897</v>
      </c>
    </row>
    <row r="201" spans="2:30" x14ac:dyDescent="0.3">
      <c r="B201" s="81">
        <f t="shared" si="36"/>
        <v>111</v>
      </c>
      <c r="C201" s="36" t="str">
        <f t="shared" si="36"/>
        <v>An et al. (2021)</v>
      </c>
      <c r="D201" s="146">
        <f>H1238</f>
        <v>43.569000000000003</v>
      </c>
      <c r="E201" s="146">
        <f>I1238</f>
        <v>24.336155098946914</v>
      </c>
      <c r="F201" s="99"/>
      <c r="G201" s="99"/>
      <c r="H201" s="10"/>
      <c r="K201" s="55" t="str">
        <f t="shared" si="37"/>
        <v>An et al. (2021)</v>
      </c>
      <c r="L201" s="55">
        <v>44027</v>
      </c>
      <c r="M201" s="55" t="s">
        <v>49</v>
      </c>
      <c r="N201" s="29" t="s">
        <v>128</v>
      </c>
      <c r="O201" s="29" t="s">
        <v>41</v>
      </c>
      <c r="P201" s="29" t="s">
        <v>42</v>
      </c>
      <c r="Q201" s="29" t="s">
        <v>42</v>
      </c>
      <c r="R201" s="29" t="s">
        <v>129</v>
      </c>
      <c r="S201" s="29" t="s">
        <v>48</v>
      </c>
      <c r="T201">
        <f>IF(O201=Input!$J$5,1,0)</f>
        <v>1</v>
      </c>
      <c r="U201">
        <f>IF(L201&gt;Input!$V$5,1,0)</f>
        <v>1</v>
      </c>
      <c r="V201">
        <f>INDEX(Input!$Y$5:$Y$10,MATCH(M201,Input!$X$5:$X$10,0))</f>
        <v>0</v>
      </c>
      <c r="W201">
        <f>IF(P201=Input!$AD$5,1,0)</f>
        <v>1</v>
      </c>
      <c r="X201">
        <f>IF(Q201=Input!$AD$5,1,0)</f>
        <v>1</v>
      </c>
      <c r="Y201">
        <f>IFERROR(INDEX(Input!$Q$5:$Q$14,MATCH(R201,Input!$P$5:$P$14,0)),0)</f>
        <v>1</v>
      </c>
      <c r="Z201">
        <f>IFERROR(INDEX(Input!$AB$5:$AB$9,MATCH(S201,Input!$AA$5:$AA$9,0)),0)</f>
        <v>0</v>
      </c>
      <c r="AA201" s="114">
        <f>INDEX(Input!$D$4:$D$28,MATCH(N201,Input!$C$4:$C$28,0))</f>
        <v>1</v>
      </c>
      <c r="AB201">
        <f t="shared" si="34"/>
        <v>0</v>
      </c>
      <c r="AC201" s="11">
        <f t="shared" si="35"/>
        <v>0.5625</v>
      </c>
      <c r="AD201" s="21">
        <f t="shared" si="41"/>
        <v>6.4500517596260396</v>
      </c>
    </row>
    <row r="202" spans="2:30" x14ac:dyDescent="0.3">
      <c r="B202" s="74"/>
      <c r="C202" s="12"/>
      <c r="D202" s="147"/>
      <c r="E202" s="147"/>
      <c r="F202" s="99"/>
      <c r="G202" s="99"/>
      <c r="H202" s="10"/>
      <c r="K202" s="55"/>
      <c r="L202" s="55"/>
      <c r="M202" s="55"/>
      <c r="N202" s="29"/>
      <c r="O202" s="29"/>
      <c r="P202" s="29"/>
      <c r="Q202" s="29"/>
      <c r="R202" s="29"/>
      <c r="S202" s="29"/>
      <c r="T202"/>
      <c r="U202"/>
      <c r="V202"/>
      <c r="W202"/>
      <c r="X202"/>
      <c r="Y202"/>
      <c r="Z202"/>
      <c r="AA202" s="114"/>
      <c r="AB202"/>
      <c r="AC202" s="11"/>
      <c r="AD202" s="21"/>
    </row>
    <row r="203" spans="2:30" x14ac:dyDescent="0.3">
      <c r="B203" s="80"/>
      <c r="C203" t="s">
        <v>117</v>
      </c>
      <c r="D203" s="146"/>
      <c r="E203" s="146"/>
      <c r="F203" s="99"/>
      <c r="G203" s="99"/>
      <c r="H203" s="10"/>
      <c r="K203" s="55"/>
      <c r="L203" s="55"/>
      <c r="M203" s="55"/>
      <c r="N203" s="29"/>
      <c r="O203" s="29"/>
      <c r="P203" s="29"/>
      <c r="Q203" s="29"/>
      <c r="R203" s="29"/>
      <c r="S203" s="29"/>
      <c r="T203"/>
      <c r="U203"/>
      <c r="V203"/>
      <c r="W203"/>
      <c r="X203"/>
      <c r="Y203"/>
      <c r="Z203"/>
      <c r="AA203" s="114"/>
      <c r="AB203"/>
      <c r="AC203" s="11"/>
      <c r="AD203" s="21"/>
    </row>
    <row r="204" spans="2:30" x14ac:dyDescent="0.3">
      <c r="B204" s="81">
        <f t="shared" ref="B204:C209" si="42">B181</f>
        <v>23</v>
      </c>
      <c r="C204" s="36" t="str">
        <f t="shared" si="42"/>
        <v>Sears et al. (2020)</v>
      </c>
      <c r="D204" s="146">
        <f>F579</f>
        <v>-0.15000000000000002</v>
      </c>
      <c r="E204" s="146">
        <f>H579</f>
        <v>8.2000000000000003E-2</v>
      </c>
      <c r="F204" s="99"/>
      <c r="G204" s="99"/>
      <c r="H204" s="10"/>
      <c r="K204" s="55" t="str">
        <f t="shared" ref="K204:K209" si="43">C181</f>
        <v>Sears et al. (2020)</v>
      </c>
      <c r="L204" s="55">
        <v>43950</v>
      </c>
      <c r="M204" s="55" t="s">
        <v>130</v>
      </c>
      <c r="N204" s="29" t="s">
        <v>40</v>
      </c>
      <c r="O204" s="29" t="s">
        <v>54</v>
      </c>
      <c r="P204" s="29" t="s">
        <v>50</v>
      </c>
      <c r="Q204" s="29" t="s">
        <v>42</v>
      </c>
      <c r="R204" s="29" t="s">
        <v>131</v>
      </c>
      <c r="S204" s="29" t="s">
        <v>126</v>
      </c>
      <c r="T204">
        <f>IF(O204=Input!$J$5,1,0)</f>
        <v>0</v>
      </c>
      <c r="U204">
        <f>IF(L204&gt;Input!$V$5,1,0)</f>
        <v>0</v>
      </c>
      <c r="V204">
        <f>INDEX(Input!$Y$5:$Y$10,MATCH(M204,Input!$X$5:$X$10,0))</f>
        <v>1</v>
      </c>
      <c r="W204">
        <f>IF(P204=Input!$AD$5,1,0)</f>
        <v>0</v>
      </c>
      <c r="X204">
        <f>IF(Q204=Input!$AD$5,1,0)</f>
        <v>1</v>
      </c>
      <c r="Y204">
        <f>IFERROR(INDEX(Input!$Q$5:$Q$14,MATCH(R204,Input!$P$5:$P$14,0)),0)</f>
        <v>1</v>
      </c>
      <c r="Z204">
        <f>IFERROR(INDEX(Input!$AB$5:$AB$9,MATCH(S204,Input!$AA$5:$AA$9,0)),0)</f>
        <v>1</v>
      </c>
      <c r="AA204" s="114">
        <f>INDEX(Input!$D$4:$D$28,MATCH(N204,Input!$C$4:$C$28,0))</f>
        <v>1</v>
      </c>
      <c r="AB204">
        <f t="shared" ref="AB204:AB206" si="44">IF(MIN(U204,W204,X204,Z204)=1,1,0)</f>
        <v>0</v>
      </c>
      <c r="AC204" s="11">
        <f t="shared" si="35"/>
        <v>0.390625</v>
      </c>
      <c r="AD204" s="21">
        <f t="shared" ref="AD204:AD209" si="45">IFERROR(F181*AC204,"")</f>
        <v>2.2224639035895075</v>
      </c>
    </row>
    <row r="205" spans="2:30" x14ac:dyDescent="0.3">
      <c r="B205" s="81">
        <f t="shared" si="42"/>
        <v>30</v>
      </c>
      <c r="C205" s="36" t="str">
        <f t="shared" si="42"/>
        <v>Alderman and Harjoto (2020)</v>
      </c>
      <c r="D205" s="150">
        <f>D611</f>
        <v>-1E-4</v>
      </c>
      <c r="E205" s="150">
        <f>D613</f>
        <v>5.9171597633136101E-5</v>
      </c>
      <c r="F205" s="99"/>
      <c r="G205" s="99"/>
      <c r="H205" s="10"/>
      <c r="K205" s="55" t="str">
        <f t="shared" si="43"/>
        <v>Alderman and Harjoto (2020)</v>
      </c>
      <c r="L205" s="55">
        <v>43993</v>
      </c>
      <c r="M205" s="55" t="s">
        <v>49</v>
      </c>
      <c r="N205" s="29" t="s">
        <v>40</v>
      </c>
      <c r="O205" s="29" t="s">
        <v>41</v>
      </c>
      <c r="P205" s="29" t="s">
        <v>50</v>
      </c>
      <c r="Q205" s="29" t="s">
        <v>50</v>
      </c>
      <c r="R205" s="29" t="s">
        <v>129</v>
      </c>
      <c r="S205" s="29" t="s">
        <v>48</v>
      </c>
      <c r="T205">
        <f>IF(O205=Input!$J$5,1,0)</f>
        <v>1</v>
      </c>
      <c r="U205">
        <f>IF(L205&gt;Input!$V$5,1,0)</f>
        <v>1</v>
      </c>
      <c r="V205">
        <f>INDEX(Input!$Y$5:$Y$10,MATCH(M205,Input!$X$5:$X$10,0))</f>
        <v>0</v>
      </c>
      <c r="W205">
        <f>IF(P205=Input!$AD$5,1,0)</f>
        <v>0</v>
      </c>
      <c r="X205">
        <f>IF(Q205=Input!$AD$5,1,0)</f>
        <v>0</v>
      </c>
      <c r="Y205">
        <f>IFERROR(INDEX(Input!$Q$5:$Q$14,MATCH(R205,Input!$P$5:$P$14,0)),0)</f>
        <v>1</v>
      </c>
      <c r="Z205">
        <f>IFERROR(INDEX(Input!$AB$5:$AB$9,MATCH(S205,Input!$AA$5:$AA$9,0)),0)</f>
        <v>0</v>
      </c>
      <c r="AA205" s="114">
        <f>INDEX(Input!$D$4:$D$28,MATCH(N205,Input!$C$4:$C$28,0))</f>
        <v>1</v>
      </c>
      <c r="AB205">
        <f t="shared" si="44"/>
        <v>0</v>
      </c>
      <c r="AC205" s="11">
        <f t="shared" si="35"/>
        <v>0.25</v>
      </c>
      <c r="AD205" s="21">
        <f t="shared" si="45"/>
        <v>42.249999999999993</v>
      </c>
    </row>
    <row r="206" spans="2:30" x14ac:dyDescent="0.3">
      <c r="B206" s="81">
        <f t="shared" si="42"/>
        <v>48</v>
      </c>
      <c r="C206" s="36" t="str">
        <f t="shared" si="42"/>
        <v>Berry et al. (2020)</v>
      </c>
      <c r="D206" s="146"/>
      <c r="E206" s="146" t="str">
        <f>Input!$H$14</f>
        <v>n/a</v>
      </c>
      <c r="F206" s="99"/>
      <c r="G206" s="99"/>
      <c r="H206" s="10"/>
      <c r="K206" s="55" t="str">
        <f t="shared" si="43"/>
        <v>Berry et al. (2020)</v>
      </c>
      <c r="L206" s="55">
        <v>43981</v>
      </c>
      <c r="M206" s="55" t="s">
        <v>132</v>
      </c>
      <c r="N206" s="29" t="s">
        <v>128</v>
      </c>
      <c r="O206" s="29" t="s">
        <v>41</v>
      </c>
      <c r="P206" s="29" t="s">
        <v>50</v>
      </c>
      <c r="Q206" s="29" t="s">
        <v>42</v>
      </c>
      <c r="R206" s="29" t="s">
        <v>123</v>
      </c>
      <c r="S206" s="29" t="s">
        <v>55</v>
      </c>
      <c r="T206">
        <f>IF(O206=Input!$J$5,1,0)</f>
        <v>1</v>
      </c>
      <c r="U206">
        <f>IF(L206&gt;Input!$V$5,1,0)</f>
        <v>0</v>
      </c>
      <c r="V206">
        <f>INDEX(Input!$Y$5:$Y$10,MATCH(M206,Input!$X$5:$X$10,0))</f>
        <v>0</v>
      </c>
      <c r="W206">
        <f>IF(P206=Input!$AD$5,1,0)</f>
        <v>0</v>
      </c>
      <c r="X206">
        <f>IF(Q206=Input!$AD$5,1,0)</f>
        <v>1</v>
      </c>
      <c r="Y206">
        <f>IFERROR(INDEX(Input!$Q$5:$Q$14,MATCH(R206,Input!$P$5:$P$14,0)),0)</f>
        <v>0</v>
      </c>
      <c r="Z206">
        <f>IFERROR(INDEX(Input!$AB$5:$AB$9,MATCH(S206,Input!$AA$5:$AA$9,0)),0)</f>
        <v>1</v>
      </c>
      <c r="AA206" s="114">
        <f>INDEX(Input!$D$4:$D$28,MATCH(N206,Input!$C$4:$C$28,0))</f>
        <v>1</v>
      </c>
      <c r="AB206">
        <f t="shared" si="44"/>
        <v>0</v>
      </c>
      <c r="AC206" s="11">
        <f t="shared" ref="AC206" si="46">(SUM(T206:AA206)/COUNT(T206:AA206))^2</f>
        <v>0.25</v>
      </c>
      <c r="AD206" s="21" t="str">
        <f t="shared" si="45"/>
        <v/>
      </c>
    </row>
    <row r="207" spans="2:30" x14ac:dyDescent="0.3">
      <c r="B207" s="81">
        <f t="shared" si="42"/>
        <v>64</v>
      </c>
      <c r="C207" s="36" t="str">
        <f t="shared" si="42"/>
        <v>Fowler et al. (2021)</v>
      </c>
      <c r="D207" s="148">
        <f>E733</f>
        <v>41000</v>
      </c>
      <c r="E207" s="148">
        <f>H733</f>
        <v>8163.2653061224491</v>
      </c>
      <c r="F207" s="99"/>
      <c r="G207" s="99"/>
      <c r="H207" s="10"/>
      <c r="K207" s="55" t="str">
        <f t="shared" si="43"/>
        <v>Fowler et al. (2021)</v>
      </c>
      <c r="L207" s="55">
        <v>43958</v>
      </c>
      <c r="M207" s="55" t="s">
        <v>39</v>
      </c>
      <c r="N207" s="29" t="s">
        <v>133</v>
      </c>
      <c r="O207" s="29" t="s">
        <v>41</v>
      </c>
      <c r="P207" s="29" t="s">
        <v>50</v>
      </c>
      <c r="Q207" s="29" t="s">
        <v>42</v>
      </c>
      <c r="R207" s="29" t="s">
        <v>131</v>
      </c>
      <c r="S207" s="29" t="s">
        <v>57</v>
      </c>
      <c r="T207">
        <f>IF(O207=Input!$J$5,1,0)</f>
        <v>1</v>
      </c>
      <c r="U207">
        <f>IF(L207&gt;Input!$V$5,1,0)</f>
        <v>0</v>
      </c>
      <c r="V207">
        <f>INDEX(Input!$Y$5:$Y$10,MATCH(M207,Input!$X$5:$X$10,0))</f>
        <v>0</v>
      </c>
      <c r="W207">
        <f>IF(P207=Input!$AD$5,1,0)</f>
        <v>0</v>
      </c>
      <c r="X207">
        <f>IF(Q207=Input!$AD$5,1,0)</f>
        <v>1</v>
      </c>
      <c r="Y207">
        <f>IFERROR(INDEX(Input!$Q$5:$Q$14,MATCH(R207,Input!$P$5:$P$14,0)),0)</f>
        <v>1</v>
      </c>
      <c r="Z207">
        <f>IFERROR(INDEX(Input!$AB$5:$AB$9,MATCH(S207,Input!$AA$5:$AA$9,0)),0)</f>
        <v>1</v>
      </c>
      <c r="AA207" s="114">
        <f>INDEX(Input!$D$4:$D$28,MATCH(N207,Input!$C$4:$C$28,0))</f>
        <v>1</v>
      </c>
      <c r="AB207">
        <f t="shared" ref="AB207:AB209" si="47">IF(MIN(U207,W207,X207,Z207)=1,1,0)</f>
        <v>0</v>
      </c>
      <c r="AC207" s="11">
        <f t="shared" si="35"/>
        <v>0.390625</v>
      </c>
      <c r="AD207" s="21">
        <f t="shared" si="45"/>
        <v>5.6054687500000009</v>
      </c>
    </row>
    <row r="208" spans="2:30" x14ac:dyDescent="0.3">
      <c r="B208" s="81">
        <f t="shared" si="42"/>
        <v>115</v>
      </c>
      <c r="C208" s="36" t="str">
        <f t="shared" si="42"/>
        <v>Gibson (2020)</v>
      </c>
      <c r="D208" s="146">
        <f>L1329</f>
        <v>-6.0069444444444453E-2</v>
      </c>
      <c r="E208" s="146">
        <f>L1330</f>
        <v>0.24514577421869618</v>
      </c>
      <c r="F208" s="99"/>
      <c r="G208" s="99"/>
      <c r="H208" s="10"/>
      <c r="K208" s="55" t="str">
        <f t="shared" si="43"/>
        <v>Gibson (2020)</v>
      </c>
      <c r="L208" s="55">
        <v>43983</v>
      </c>
      <c r="M208" s="55" t="s">
        <v>130</v>
      </c>
      <c r="N208" s="29" t="s">
        <v>40</v>
      </c>
      <c r="O208" s="29" t="s">
        <v>41</v>
      </c>
      <c r="P208" s="29" t="s">
        <v>42</v>
      </c>
      <c r="Q208" s="29" t="s">
        <v>42</v>
      </c>
      <c r="R208" s="29" t="s">
        <v>134</v>
      </c>
      <c r="S208" s="29" t="s">
        <v>44</v>
      </c>
      <c r="T208">
        <f>IF(O208=Input!$J$5,1,0)</f>
        <v>1</v>
      </c>
      <c r="U208">
        <f>IF(L208&gt;Input!$V$5,1,0)</f>
        <v>1</v>
      </c>
      <c r="V208">
        <f>INDEX(Input!$Y$5:$Y$10,MATCH(M208,Input!$X$5:$X$10,0))</f>
        <v>1</v>
      </c>
      <c r="W208">
        <f>IF(P208=Input!$AD$5,1,0)</f>
        <v>1</v>
      </c>
      <c r="X208">
        <f>IF(Q208=Input!$AD$5,1,0)</f>
        <v>1</v>
      </c>
      <c r="Y208">
        <f>IFERROR(INDEX(Input!$Q$5:$Q$14,MATCH(R208,Input!$P$5:$P$14,0)),0)</f>
        <v>0</v>
      </c>
      <c r="Z208">
        <f>IFERROR(INDEX(Input!$AB$5:$AB$9,MATCH(S208,Input!$AA$5:$AA$9,0)),0)</f>
        <v>1</v>
      </c>
      <c r="AA208" s="114">
        <f>INDEX(Input!$D$4:$D$28,MATCH(N208,Input!$C$4:$C$28,0))</f>
        <v>1</v>
      </c>
      <c r="AB208">
        <f t="shared" si="47"/>
        <v>1</v>
      </c>
      <c r="AC208" s="11">
        <f t="shared" si="35"/>
        <v>0.765625</v>
      </c>
      <c r="AD208" s="21">
        <f t="shared" si="45"/>
        <v>3.1231417406240123</v>
      </c>
    </row>
    <row r="209" spans="2:30" x14ac:dyDescent="0.3">
      <c r="B209" s="81">
        <f t="shared" si="42"/>
        <v>74</v>
      </c>
      <c r="C209" s="36" t="str">
        <f t="shared" si="42"/>
        <v>Dave et al. (2020)</v>
      </c>
      <c r="D209" s="146">
        <f>I1020</f>
        <v>-0.52140000000000009</v>
      </c>
      <c r="E209" s="146">
        <f>I1021</f>
        <v>0.46640947674763217</v>
      </c>
      <c r="F209" s="320"/>
      <c r="G209" s="99"/>
      <c r="H209" s="10"/>
      <c r="K209" s="54" t="str">
        <f t="shared" si="43"/>
        <v>Dave et al. (2020)</v>
      </c>
      <c r="L209" s="54">
        <v>43941</v>
      </c>
      <c r="M209" s="54" t="s">
        <v>130</v>
      </c>
      <c r="N209" s="30" t="s">
        <v>40</v>
      </c>
      <c r="O209" s="30" t="s">
        <v>41</v>
      </c>
      <c r="P209" s="30" t="s">
        <v>42</v>
      </c>
      <c r="Q209" s="30" t="s">
        <v>42</v>
      </c>
      <c r="R209" s="30" t="s">
        <v>131</v>
      </c>
      <c r="S209" s="30" t="s">
        <v>126</v>
      </c>
      <c r="T209" s="12">
        <f>IF(O209=Input!$J$5,1,0)</f>
        <v>1</v>
      </c>
      <c r="U209" s="12">
        <f>IF(L209&gt;Input!$V$5,1,0)</f>
        <v>0</v>
      </c>
      <c r="V209" s="12">
        <f>INDEX(Input!$Y$5:$Y$10,MATCH(M209,Input!$X$5:$X$10,0))</f>
        <v>1</v>
      </c>
      <c r="W209" s="12">
        <f>IF(P209=Input!$AD$5,1,0)</f>
        <v>1</v>
      </c>
      <c r="X209" s="12">
        <f>IF(Q209=Input!$AD$5,1,0)</f>
        <v>1</v>
      </c>
      <c r="Y209" s="12">
        <f>IFERROR(INDEX(Input!$Q$5:$Q$14,MATCH(R209,Input!$P$5:$P$14,0)),0)</f>
        <v>1</v>
      </c>
      <c r="Z209" s="12">
        <f>IFERROR(INDEX(Input!$AB$5:$AB$9,MATCH(S209,Input!$AA$5:$AA$9,0)),0)</f>
        <v>1</v>
      </c>
      <c r="AA209" s="42">
        <f>INDEX(Input!$D$4:$D$28,MATCH(N209,Input!$C$4:$C$28,0))</f>
        <v>1</v>
      </c>
      <c r="AB209" s="12">
        <f t="shared" si="47"/>
        <v>0</v>
      </c>
      <c r="AC209" s="13">
        <f t="shared" si="35"/>
        <v>0.765625</v>
      </c>
      <c r="AD209" s="38">
        <f t="shared" si="45"/>
        <v>2.1191035624773704</v>
      </c>
    </row>
    <row r="210" spans="2:30" x14ac:dyDescent="0.3">
      <c r="B210" s="83"/>
      <c r="C210" s="12"/>
      <c r="D210" s="70"/>
      <c r="E210" s="70"/>
    </row>
    <row r="212" spans="2:30" x14ac:dyDescent="0.3">
      <c r="C212" s="5"/>
      <c r="D212" s="130" t="s">
        <v>59</v>
      </c>
      <c r="E212" s="129" t="s">
        <v>60</v>
      </c>
      <c r="F212" s="129" t="s">
        <v>61</v>
      </c>
    </row>
    <row r="213" spans="2:30" x14ac:dyDescent="0.3">
      <c r="C213" s="53" t="str">
        <f>C37</f>
        <v>Peer-reviewed vs. working papers</v>
      </c>
      <c r="D213" s="71"/>
      <c r="E213" s="71"/>
      <c r="F213" s="71"/>
    </row>
    <row r="214" spans="2:30" x14ac:dyDescent="0.3">
      <c r="B214" s="61">
        <v>1</v>
      </c>
      <c r="C214" s="57" t="str">
        <f>G214&amp;" ["&amp;COUNTIFS($T$196:$T$209,B214)&amp;"]"</f>
        <v>Peer-reviewed [9]</v>
      </c>
      <c r="D214" s="51">
        <f>SUMPRODUCT($D$173:$D$186,$F$173:$F$186,$T$196:$T$209)/SUMPRODUCT($F$173:$F$186,$T$196:$T$209)</f>
        <v>-2.2652415750742318E-2</v>
      </c>
      <c r="E214" s="51">
        <f>AVERAGEIF($T$196:$T$209,$B214,$D$173:$D$186)</f>
        <v>-7.2979272690747055E-2</v>
      </c>
      <c r="F214" s="51" cm="1">
        <f t="array" ref="F214">MEDIAN(IF($T$196:$T$209=$B214,$D$173:$D$186))</f>
        <v>-0.01</v>
      </c>
      <c r="G214" s="221" t="str">
        <f>G38</f>
        <v>Peer-reviewed</v>
      </c>
      <c r="H214" s="58"/>
      <c r="N214" s="58"/>
      <c r="O214" s="58"/>
      <c r="P214" s="58"/>
    </row>
    <row r="215" spans="2:30" x14ac:dyDescent="0.3">
      <c r="B215" s="61">
        <v>0</v>
      </c>
      <c r="C215" s="57" t="str">
        <f>G215&amp;" ["&amp;COUNTIFS($T$196:$T$209,B215)&amp;"]"</f>
        <v>Working paper [3]</v>
      </c>
      <c r="D215" s="51">
        <f>SUMPRODUCT($D$173:$D$186,$F$173:$F$186,1-$T$196:$T$209)/SUMPRODUCT($F$173:$F$186,1-$T$196:$T$209)</f>
        <v>-1.9710306260825048E-3</v>
      </c>
      <c r="E215" s="51">
        <f>AVERAGEIF($T$196:$T$209,$B215,$D$173:$D$186)</f>
        <v>-9.0840289573442964E-2</v>
      </c>
      <c r="F215" s="51" cm="1">
        <f t="array" ref="F215">MEDIAN(IF($T$196:$T$209=$B215,$D$173:$D$186))</f>
        <v>0</v>
      </c>
      <c r="G215" s="221" t="str">
        <f>G39</f>
        <v>Working paper</v>
      </c>
      <c r="N215" s="58"/>
      <c r="O215" s="58"/>
      <c r="P215" s="58"/>
    </row>
    <row r="216" spans="2:30" x14ac:dyDescent="0.3">
      <c r="B216" s="60"/>
      <c r="C216" s="53" t="str">
        <f>C40</f>
        <v>Long vs. short data period</v>
      </c>
      <c r="D216" s="131"/>
      <c r="E216" s="131"/>
      <c r="F216" s="131"/>
      <c r="G216" s="10"/>
      <c r="N216" s="58"/>
      <c r="O216" s="58"/>
      <c r="P216" s="58"/>
    </row>
    <row r="217" spans="2:30" x14ac:dyDescent="0.3">
      <c r="B217" s="61">
        <v>1</v>
      </c>
      <c r="C217" s="57" t="str">
        <f>G217&amp;" ["&amp;COUNTIFS($U$196:$U$209,B217)&amp;"]"</f>
        <v>Data serie ends after 31 May 2020 [6]</v>
      </c>
      <c r="D217" s="51">
        <f>SUMPRODUCT($D$173:$D$186,$F$173:$F$186,$U$196:$U$209)/SUMPRODUCT($F$173:$F$186,$U$196:$U$209)</f>
        <v>9.7020699818642937E-3</v>
      </c>
      <c r="E217" s="51">
        <f>AVERAGEIF($U$196:$U$209,$B217,$D$173:$D$186)</f>
        <v>1.4802366201210651E-2</v>
      </c>
      <c r="F217" s="51" cm="1">
        <f t="array" ref="F217">MEDIAN(IF($U$196:$U$209=$B217,$D$173:$D$186))</f>
        <v>1.9497615675020355E-2</v>
      </c>
      <c r="G217" s="221" t="str">
        <f>G41</f>
        <v>Data serie ends after 31 May 2020</v>
      </c>
      <c r="H217" s="58"/>
      <c r="N217" s="58"/>
      <c r="O217" s="58"/>
      <c r="P217" s="58"/>
    </row>
    <row r="218" spans="2:30" x14ac:dyDescent="0.3">
      <c r="B218" s="61">
        <v>0</v>
      </c>
      <c r="C218" s="57" t="str">
        <f>G218&amp;" ["&amp;COUNTIFS($U$196:$U$209,B218)&amp;"]"</f>
        <v>Data serie ends before 31 May 2020 [6]</v>
      </c>
      <c r="D218" s="51" cm="1">
        <f t="array" ref="D218">SUMPRODUCT($D$173:$D$186,$F$173:$F$186,1-$U$196:$U$209)/SUMPRODUCT($F$173:$F$186,1-$U$196:$U$209)</f>
        <v>-0.25905967941864338</v>
      </c>
      <c r="E218" s="51">
        <f>AVERAGEIF($U$196:$U$209,$B218,$D$173:$D$186)</f>
        <v>-0.16969142002405271</v>
      </c>
      <c r="F218" s="51" cm="1">
        <f t="array" ref="F218">MEDIAN(IF($U$196:$U$209=$B218,$D$173:$D$186))</f>
        <v>0</v>
      </c>
      <c r="G218" s="221" t="str">
        <f>G42</f>
        <v>Data serie ends before 31 May 2020</v>
      </c>
      <c r="N218" s="58"/>
      <c r="O218" s="58"/>
      <c r="P218" s="58"/>
    </row>
    <row r="219" spans="2:30" x14ac:dyDescent="0.3">
      <c r="B219" s="60"/>
      <c r="C219" s="53" t="str">
        <f>C43</f>
        <v>No early effect on deaths</v>
      </c>
      <c r="D219" s="131"/>
      <c r="E219" s="131"/>
      <c r="F219" s="131"/>
      <c r="G219" s="10"/>
      <c r="N219" s="58"/>
      <c r="O219" s="58"/>
      <c r="P219" s="58"/>
    </row>
    <row r="220" spans="2:30" x14ac:dyDescent="0.3">
      <c r="B220" s="61">
        <v>1</v>
      </c>
      <c r="C220" s="57" t="str">
        <f>G220&amp;" ["&amp;COUNTIFS($V$196:$V$209,B220)&amp;"]"</f>
        <v>Does not find an effect within the first 14 days [4]</v>
      </c>
      <c r="D220" s="51">
        <f>SUMPRODUCT($D$173:$D$186,$F$173:$F$186,$V$196:$V$209)/SUMPRODUCT($F$173:$F$186,$V$196:$V$209)</f>
        <v>-4.3292157357474971E-2</v>
      </c>
      <c r="E220" s="51">
        <f>AVERAGEIF($V$196:$V$209,$B220,$D$173:$D$186)</f>
        <v>-0.16369151683133004</v>
      </c>
      <c r="F220" s="51" cm="1">
        <f t="array" ref="F220">MEDIAN(IF($V$196:$V$209=$B220,$D$173:$D$186))</f>
        <v>-0.19079277225740701</v>
      </c>
      <c r="G220" s="221" t="str">
        <f>G44</f>
        <v>Does not find an effect within the first 14 days</v>
      </c>
      <c r="H220" s="58"/>
      <c r="N220" s="58"/>
      <c r="O220" s="58"/>
      <c r="P220" s="58"/>
    </row>
    <row r="221" spans="2:30" x14ac:dyDescent="0.3">
      <c r="B221" s="61">
        <v>0</v>
      </c>
      <c r="C221" s="57" t="str">
        <f>G221&amp;" ["&amp;COUNTIFS($V$196:$V$209,B221)&amp;"]"</f>
        <v>Finds effect within the first 14 days (including n/a) [8]</v>
      </c>
      <c r="D221" s="51">
        <f>SUMPRODUCT($D$173:$D$186,$F$173:$F$186,1-$V$196:$V$209)/SUMPRODUCT($F$173:$F$186,1-$V$196:$V$209)</f>
        <v>-1.6804398070151178E-2</v>
      </c>
      <c r="E221" s="51">
        <f>AVERAGEIF($V$196:$V$209,$B221,$D$173:$D$186)</f>
        <v>-3.4321031951466519E-2</v>
      </c>
      <c r="F221" s="51" cm="1">
        <f t="array" ref="F221">MEDIAN(IF($V$196:$V$209=$B221,$D$173:$D$186))</f>
        <v>0</v>
      </c>
      <c r="G221" s="221" t="str">
        <f>G45</f>
        <v>Finds effect within the first 14 days (including n/a)</v>
      </c>
      <c r="N221" s="58"/>
      <c r="O221" s="58"/>
      <c r="P221" s="58"/>
    </row>
    <row r="222" spans="2:30" x14ac:dyDescent="0.3">
      <c r="B222" s="60"/>
      <c r="C222" s="53" t="str">
        <f>C46</f>
        <v>Lagged vs. no lag of policy implementation</v>
      </c>
      <c r="D222" s="131"/>
      <c r="E222" s="131"/>
      <c r="F222" s="131"/>
      <c r="G222" s="10"/>
      <c r="N222" s="58"/>
      <c r="O222" s="58"/>
      <c r="P222" s="58"/>
    </row>
    <row r="223" spans="2:30" x14ac:dyDescent="0.3">
      <c r="B223" s="61">
        <v>1</v>
      </c>
      <c r="C223" s="57" t="str">
        <f>G223&amp;" ["&amp;COUNTIFS($W$196:$W$209,B223)&amp;"]"</f>
        <v>Lagged policy implementation [7]</v>
      </c>
      <c r="D223" s="51">
        <f>SUMPRODUCT($D$173:$D$186,$F$173:$F$186,$W$196:$W$209)/SUMPRODUCT($F$173:$F$186,$W$196:$W$209)</f>
        <v>3.8365923539671706E-2</v>
      </c>
      <c r="E223" s="51">
        <f>AVERAGEIF($W$196:$W$209,$B223,$D$173:$D$186)</f>
        <v>-4.3582853366060846E-2</v>
      </c>
      <c r="F223" s="51" cm="1">
        <f t="array" ref="F223">MEDIAN(IF($W$196:$W$209=$B223,$D$173:$D$186))</f>
        <v>0</v>
      </c>
      <c r="G223" s="221" t="str">
        <f>G47</f>
        <v>Lagged policy implementation</v>
      </c>
      <c r="H223" s="58"/>
      <c r="N223" s="58"/>
      <c r="O223" s="58"/>
      <c r="P223" s="58"/>
    </row>
    <row r="224" spans="2:30" x14ac:dyDescent="0.3">
      <c r="B224" s="61">
        <v>0</v>
      </c>
      <c r="C224" s="57" t="str">
        <f>G224&amp;" ["&amp;COUNTIFS($W$196:$W$209,B224)&amp;"]"</f>
        <v>No lag of policy implementation [5]</v>
      </c>
      <c r="D224" s="51" cm="1">
        <f t="array" ref="D224">SUMPRODUCT($D$173:$D$186,$F$173:$F$186,1-$W$196:$W$209)/SUMPRODUCT($F$173:$F$186,1-$W$196:$W$209)</f>
        <v>-4.2038378562529462E-2</v>
      </c>
      <c r="E224" s="51">
        <f>AVERAGEIF($W$196:$W$209,$B224,$D$173:$D$186)</f>
        <v>-0.12485086987492529</v>
      </c>
      <c r="F224" s="51" cm="1">
        <f t="array" ref="F224">MEDIAN(IF($W$196:$W$209=$B224,$D$173:$D$186))</f>
        <v>-5.0000000000000001E-3</v>
      </c>
      <c r="G224" s="221" t="str">
        <f>G48</f>
        <v>No lag of policy implementation</v>
      </c>
      <c r="N224" s="58"/>
      <c r="O224" s="58"/>
      <c r="P224" s="58"/>
    </row>
    <row r="225" spans="2:18" x14ac:dyDescent="0.3">
      <c r="B225" s="60"/>
      <c r="C225" s="53" t="str">
        <f>C49</f>
        <v>Panel vs. no panel estimation</v>
      </c>
      <c r="D225" s="131"/>
      <c r="E225" s="131"/>
      <c r="F225" s="131"/>
      <c r="G225" s="10"/>
      <c r="N225" s="58"/>
      <c r="O225" s="58"/>
      <c r="P225" s="58"/>
    </row>
    <row r="226" spans="2:18" x14ac:dyDescent="0.3">
      <c r="B226" s="61">
        <v>1</v>
      </c>
      <c r="C226" s="57" t="str">
        <f>G226&amp;" ["&amp;COUNTIFS($X$196:$X$209,B226)&amp;"]"</f>
        <v>Panel estimation [10]</v>
      </c>
      <c r="D226" s="51">
        <f>SUMPRODUCT($D$173:$D$186,$F$173:$F$186,$X$196:$X$209)/SUMPRODUCT($F$173:$F$186,$X$196:$X$209)</f>
        <v>-6.3862849907625696E-2</v>
      </c>
      <c r="E226" s="51">
        <f>AVERAGEIF($X$196:$X$209,$B226,$D$173:$D$186)</f>
        <v>-0.10500479708962362</v>
      </c>
      <c r="F226" s="51" cm="1">
        <f t="array" ref="F226">MEDIAN(IF($X$196:$X$209=$B226,$D$173:$D$186))</f>
        <v>-3.0034722222222227E-2</v>
      </c>
      <c r="G226" s="221" t="str">
        <f>G50</f>
        <v>Panel estimation</v>
      </c>
      <c r="H226" s="58"/>
      <c r="N226" s="58"/>
      <c r="O226" s="58"/>
      <c r="P226" s="58"/>
    </row>
    <row r="227" spans="2:18" x14ac:dyDescent="0.3">
      <c r="B227" s="61">
        <v>0</v>
      </c>
      <c r="C227" s="57" t="str">
        <f>G227&amp;" ["&amp;COUNTIFS($X$196:$X$209,B227)&amp;"]"</f>
        <v>No panel estimation [2]</v>
      </c>
      <c r="D227" s="51" cm="1">
        <f t="array" ref="D227">SUMPRODUCT($D$173:$D$186,$F$173:$F$186,1-$X$196:$X$209)/SUMPRODUCT($F$173:$F$186,1-$X$196:$X$209)</f>
        <v>1.6300125810698202E-3</v>
      </c>
      <c r="E227" s="51">
        <f>AVERAGEIF($X$196:$X$209,$B227,$D$173:$D$186)</f>
        <v>6.0356823979591835E-2</v>
      </c>
      <c r="F227" s="51" cm="1">
        <f t="array" ref="F227">MEDIAN(IF($X$196:$X$209=$B227,$D$173:$D$186))</f>
        <v>0</v>
      </c>
      <c r="G227" s="221" t="str">
        <f>G51</f>
        <v>No panel estimation</v>
      </c>
      <c r="N227" s="58"/>
      <c r="O227" s="58"/>
      <c r="P227" s="58"/>
    </row>
    <row r="228" spans="2:18" x14ac:dyDescent="0.3">
      <c r="B228" s="60"/>
      <c r="C228" s="53" t="str">
        <f>C52</f>
        <v>Verified vs. unverified data</v>
      </c>
      <c r="D228" s="131"/>
      <c r="E228" s="131"/>
      <c r="F228" s="131"/>
      <c r="G228" s="10"/>
      <c r="N228" s="58"/>
      <c r="O228" s="58"/>
      <c r="P228" s="58"/>
    </row>
    <row r="229" spans="2:18" x14ac:dyDescent="0.3">
      <c r="B229" s="61">
        <v>1</v>
      </c>
      <c r="C229" s="57" t="str">
        <f>G229&amp;" ["&amp;COUNTIFS($Y$196:$Y$209,B229)&amp;"]"</f>
        <v>Public data [6]</v>
      </c>
      <c r="D229" s="51">
        <f>SUMPRODUCT($D$173:$D$186,$F$173:$F$186,$Y$196:$Y$209)/SUMPRODUCT($F$173:$F$186,$Y$196:$Y$209)</f>
        <v>-2.5619312020567154E-2</v>
      </c>
      <c r="E229" s="51">
        <f>AVERAGEIF($Y$196:$Y$209,$B229,$D$173:$D$186)</f>
        <v>-0.14671425743954111</v>
      </c>
      <c r="F229" s="51" cm="1">
        <f t="array" ref="F229">MEDIAN(IF($Y$196:$Y$209=$B229,$D$173:$D$186))</f>
        <v>-0.16575805003518479</v>
      </c>
      <c r="G229" s="221" t="str">
        <f>G53</f>
        <v>Public data</v>
      </c>
      <c r="H229" s="58"/>
      <c r="N229" s="58"/>
      <c r="O229" s="58"/>
      <c r="P229" s="58"/>
    </row>
    <row r="230" spans="2:18" x14ac:dyDescent="0.3">
      <c r="B230" s="61">
        <v>0</v>
      </c>
      <c r="C230" s="57" t="str">
        <f>G230&amp;" ["&amp;COUNTIFS($Y$196:$Y$209,B230)&amp;"]"</f>
        <v>Own data [6]</v>
      </c>
      <c r="D230" s="51" cm="1">
        <f t="array" ref="D230">SUMPRODUCT($D$173:$D$186,$F$173:$F$186,1-$Y$196:$Y$209)/SUMPRODUCT($F$173:$F$186,1-$Y$196:$Y$209)</f>
        <v>2.4643886341735553E-2</v>
      </c>
      <c r="E230" s="51">
        <f>AVERAGEIF($Y$196:$Y$209,$B230,$D$173:$D$186)</f>
        <v>-8.1747963833009741E-3</v>
      </c>
      <c r="F230" s="51" cm="1">
        <f t="array" ref="F230">MEDIAN(IF($Y$196:$Y$209=$B230,$D$173:$D$186))</f>
        <v>0</v>
      </c>
      <c r="G230" s="221" t="str">
        <f>G54</f>
        <v>Own data</v>
      </c>
      <c r="N230" s="58"/>
      <c r="O230" s="58"/>
      <c r="P230" s="58"/>
    </row>
    <row r="231" spans="2:18" x14ac:dyDescent="0.3">
      <c r="B231" s="60"/>
      <c r="C231" s="53" t="str">
        <f>C55</f>
        <v>Address vs. do not address causality</v>
      </c>
      <c r="D231" s="131"/>
      <c r="E231" s="131"/>
      <c r="F231" s="131"/>
      <c r="G231" s="10"/>
      <c r="N231" s="58"/>
      <c r="O231" s="58"/>
      <c r="P231" s="58"/>
    </row>
    <row r="232" spans="2:18" x14ac:dyDescent="0.3">
      <c r="B232" s="61">
        <v>1</v>
      </c>
      <c r="C232" s="57" t="str">
        <f>G232&amp;" ["&amp;COUNTIFS($Z$196:$Z$209,B232)&amp;"]"</f>
        <v>Handling of causality [9]</v>
      </c>
      <c r="D232" s="51">
        <f>SUMPRODUCT($D$173:$D$186,$F$173:$F$186,$Z$196:$Z$209)/SUMPRODUCT($F$173:$F$186,$Z$196:$Z$209)</f>
        <v>-6.7426948217627694E-2</v>
      </c>
      <c r="E232" s="51">
        <f>AVERAGEIF($Z$196:$Z$209,$B232,$D$173:$D$186)</f>
        <v>-0.12460709086553606</v>
      </c>
      <c r="F232" s="51" cm="1">
        <f t="array" ref="F232">MEDIAN(IF($Z$196:$Z$209=$B232,$D$173:$D$186))</f>
        <v>-6.0069444444444453E-2</v>
      </c>
      <c r="G232" s="221" t="str">
        <f>G56</f>
        <v>Handling of causality</v>
      </c>
      <c r="H232" s="58"/>
      <c r="N232" s="58"/>
      <c r="O232" s="58"/>
      <c r="P232" s="58"/>
    </row>
    <row r="233" spans="2:18" x14ac:dyDescent="0.3">
      <c r="B233" s="61">
        <v>0</v>
      </c>
      <c r="C233" s="57" t="str">
        <f>G233&amp;" ["&amp;COUNTIFS($Z$196:$Z$209,B233)&amp;"]"</f>
        <v>No handling of causality [3]</v>
      </c>
      <c r="D233" s="51" cm="1">
        <f t="array" ref="D233">SUMPRODUCT($D$173:$D$186,$F$173:$F$186,1-$Z$196:$Z$209)/SUMPRODUCT($F$173:$F$186,1-$Z$196:$Z$209)</f>
        <v>2.1958248713609624E-3</v>
      </c>
      <c r="E233" s="51">
        <f>AVERAGEIF($Z$196:$Z$209,$B233,$D$173:$D$186)</f>
        <v>6.4043164950924047E-2</v>
      </c>
      <c r="F233" s="51" cm="1">
        <f t="array" ref="F233">MEDIAN(IF($Z$196:$Z$209=$B233,$D$173:$D$186))</f>
        <v>2.3E-2</v>
      </c>
      <c r="G233" s="221" t="str">
        <f>G57</f>
        <v>No handling of causality</v>
      </c>
      <c r="N233" s="58"/>
      <c r="O233" s="58"/>
      <c r="P233" s="58"/>
    </row>
    <row r="234" spans="2:18" x14ac:dyDescent="0.3">
      <c r="B234" s="60"/>
      <c r="C234" s="53" t="str">
        <f>C58</f>
        <v>Social sciences vs. other sciences</v>
      </c>
      <c r="D234" s="131"/>
      <c r="E234" s="131"/>
      <c r="F234" s="131"/>
      <c r="G234" s="10"/>
      <c r="I234" s="26"/>
      <c r="J234" s="19"/>
      <c r="N234" s="58"/>
      <c r="O234" s="58"/>
      <c r="P234" s="58"/>
    </row>
    <row r="235" spans="2:18" x14ac:dyDescent="0.3">
      <c r="B235" s="61">
        <v>1</v>
      </c>
      <c r="C235" s="57" t="str">
        <f>G235&amp;" ["&amp;COUNTIFS($AA$196:$AA$209,B235)&amp;"]"</f>
        <v>Social sciences [12]</v>
      </c>
      <c r="D235" s="51">
        <f>SUMPRODUCT($D$173:$D$186,$F$173:$F$186,$AA$196:$AA$209)/SUMPRODUCT($F$173:$F$186,$AA$196:$AA$209)</f>
        <v>-1.9507778246493915E-2</v>
      </c>
      <c r="E235" s="51">
        <f>AVERAGEIF($AA$196:$AA$209,$B235,$D$173:$D$186)</f>
        <v>-7.7444526911421049E-2</v>
      </c>
      <c r="F235" s="51" cm="1">
        <f t="array" ref="F235">MEDIAN(IF($AA$196:$AA$209=$B235,$D$173:$D$186))</f>
        <v>-5.0000000000000001E-3</v>
      </c>
      <c r="G235" s="221" t="str">
        <f>G59</f>
        <v>Social sciences</v>
      </c>
      <c r="H235" s="58"/>
      <c r="N235" s="58"/>
      <c r="O235" s="58"/>
      <c r="P235" s="58"/>
    </row>
    <row r="236" spans="2:18" x14ac:dyDescent="0.3">
      <c r="B236" s="61">
        <v>0</v>
      </c>
      <c r="C236" s="59" t="str">
        <f>G236&amp;" ["&amp;COUNTIFS($AA$196:$AA$209,B236)&amp;"]"</f>
        <v>Other sciences [0]</v>
      </c>
      <c r="D236" s="123" t="str" cm="1">
        <f t="array" ref="D236">IFERROR(SUMPRODUCT($D$173:$D$186,$F$173:$F$186,1-$AA$196:$AA$209)/SUMPRODUCT($F$173:$F$186,1-$AA$196:$AA$209),Input!$H$14)</f>
        <v>n/a</v>
      </c>
      <c r="E236" s="123" t="str">
        <f>IFERROR(AVERAGEIF($AA$196:$AA$209,$B236,$D$173:$D$186),Input!$H$14)</f>
        <v>n/a</v>
      </c>
      <c r="F236" s="123" cm="1">
        <f t="array" ref="F236">IFERROR(MEDIAN(IF($AA$196:$AA$209=$B236,$D$173:$D$186)),Input!$H$14)</f>
        <v>0</v>
      </c>
      <c r="G236" s="221" t="str">
        <f>G60</f>
        <v>Other sciences</v>
      </c>
      <c r="N236" s="58"/>
      <c r="O236" s="58"/>
      <c r="P236" s="58"/>
    </row>
    <row r="237" spans="2:18" x14ac:dyDescent="0.3">
      <c r="B237" s="60"/>
      <c r="C237" s="240" t="s">
        <v>135</v>
      </c>
      <c r="D237" s="241"/>
      <c r="E237" s="241"/>
      <c r="F237" s="242"/>
      <c r="G237" s="10"/>
      <c r="O237" s="26"/>
      <c r="P237" s="26"/>
      <c r="Q237" s="26"/>
      <c r="R237" s="26"/>
    </row>
    <row r="238" spans="2:18" x14ac:dyDescent="0.3">
      <c r="B238" s="61">
        <v>1</v>
      </c>
      <c r="C238" s="243" t="str">
        <f>G238&amp;" ["&amp;COUNTIFS($AB$196:$AB$209,B238)&amp;"]"</f>
        <v>Super study [3]</v>
      </c>
      <c r="D238" s="241">
        <f>SUMPRODUCT($D$173:$D$186,F173:F186,AB196:AB209)/SUMPRODUCT(F173:F186,AB196:AB209)</f>
        <v>5.5971377234202433E-3</v>
      </c>
      <c r="E238" s="241"/>
      <c r="F238" s="241"/>
      <c r="G238" s="221" t="str">
        <f>G62</f>
        <v>Super study</v>
      </c>
      <c r="I238" s="10"/>
      <c r="J238" s="10"/>
      <c r="L238" s="28"/>
      <c r="M238" s="28"/>
      <c r="N238" s="28"/>
      <c r="O238" s="26"/>
      <c r="P238" s="26"/>
      <c r="Q238" s="26"/>
      <c r="R238" s="26"/>
    </row>
    <row r="239" spans="2:18" x14ac:dyDescent="0.3">
      <c r="B239" s="61">
        <v>0</v>
      </c>
      <c r="C239" s="244" t="str">
        <f>G239&amp;" ["&amp;COUNTIFS($AB$25:$AB$32,B239)&amp;"]"</f>
        <v>Not super study [5]</v>
      </c>
      <c r="D239" s="245" cm="1">
        <f t="array" ref="D239">SUMPRODUCT(D173:D186,F173:F186,1-AB196:AB209)/SUMPRODUCT(F173:F186,1-AB196:AB209)</f>
        <v>-2.4719606459621839E-2</v>
      </c>
      <c r="E239" s="245"/>
      <c r="F239" s="245"/>
      <c r="G239" s="221" t="str">
        <f>G63</f>
        <v>Not super study</v>
      </c>
      <c r="I239" s="10"/>
      <c r="J239" s="10"/>
      <c r="L239" s="28"/>
      <c r="M239" s="28"/>
      <c r="N239" s="28"/>
      <c r="O239" s="26"/>
      <c r="P239" s="26"/>
      <c r="Q239" s="26"/>
      <c r="R239" s="26"/>
    </row>
    <row r="240" spans="2:18" x14ac:dyDescent="0.3">
      <c r="C240" s="3" t="s">
        <v>85</v>
      </c>
      <c r="D240" s="246">
        <f>SUMPRODUCT(D173:D187,AD196:AD210)/SUM(AD196:AD210)</f>
        <v>-1.7704100146037672E-2</v>
      </c>
    </row>
    <row r="241" spans="2:14" x14ac:dyDescent="0.3">
      <c r="D241" s="58"/>
      <c r="L241" s="10"/>
      <c r="M241" s="10"/>
    </row>
    <row r="242" spans="2:14" x14ac:dyDescent="0.3">
      <c r="D242" s="58"/>
      <c r="L242" s="10"/>
      <c r="M242" s="10"/>
    </row>
    <row r="243" spans="2:14" x14ac:dyDescent="0.3">
      <c r="D243" s="58"/>
      <c r="L243" s="10"/>
      <c r="M243" s="10"/>
    </row>
    <row r="244" spans="2:14" s="154" customFormat="1" ht="19.5" x14ac:dyDescent="0.4">
      <c r="B244" s="154" t="s">
        <v>86</v>
      </c>
      <c r="D244" s="227"/>
      <c r="L244" s="226"/>
      <c r="M244" s="226"/>
    </row>
    <row r="245" spans="2:14" x14ac:dyDescent="0.3">
      <c r="D245" s="58"/>
      <c r="L245" s="10"/>
      <c r="M245" s="10"/>
    </row>
    <row r="246" spans="2:14" x14ac:dyDescent="0.3">
      <c r="D246" s="58"/>
      <c r="L246" s="10"/>
      <c r="M246" s="10"/>
    </row>
    <row r="247" spans="2:14" x14ac:dyDescent="0.3">
      <c r="B247" s="4" t="s">
        <v>111</v>
      </c>
      <c r="H247" s="18"/>
      <c r="I247" s="18"/>
      <c r="J247" s="18"/>
    </row>
    <row r="248" spans="2:14" x14ac:dyDescent="0.3">
      <c r="B248" s="75" t="s">
        <v>9</v>
      </c>
      <c r="C248" s="284" t="s">
        <v>10</v>
      </c>
      <c r="D248" s="284" t="s">
        <v>112</v>
      </c>
      <c r="E248" s="285" t="s">
        <v>15</v>
      </c>
      <c r="F248" s="284" t="s">
        <v>934</v>
      </c>
      <c r="G248" s="284" t="s">
        <v>935</v>
      </c>
    </row>
    <row r="249" spans="2:14" x14ac:dyDescent="0.3">
      <c r="B249" s="80"/>
      <c r="C249" s="286" t="s">
        <v>115</v>
      </c>
      <c r="D249" s="287"/>
      <c r="E249" s="287"/>
      <c r="F249" s="287"/>
      <c r="G249" s="287"/>
      <c r="I249" s="58"/>
      <c r="J249" s="10"/>
    </row>
    <row r="250" spans="2:14" x14ac:dyDescent="0.3">
      <c r="B250" s="81">
        <f>B547</f>
        <v>2</v>
      </c>
      <c r="C250" s="288" t="str">
        <f>D547</f>
        <v>Chernozhukov et al. (2021)</v>
      </c>
      <c r="D250" s="289">
        <f>H552</f>
        <v>-0.17695473251028815</v>
      </c>
      <c r="E250" s="289">
        <f>ABS(E196/D196*D173)</f>
        <v>0.14259446883560367</v>
      </c>
      <c r="F250" s="290">
        <f>IF(E250=Input!$H$14,Input!$H$14,1/E250/G250)</f>
        <v>7.0128947368421013</v>
      </c>
      <c r="G250" s="290">
        <v>1</v>
      </c>
      <c r="H250" s="26"/>
      <c r="I250" s="153"/>
      <c r="L250" s="58"/>
    </row>
    <row r="251" spans="2:14" x14ac:dyDescent="0.3">
      <c r="B251" s="81">
        <f>B737</f>
        <v>71</v>
      </c>
      <c r="C251" s="288" t="str">
        <f>D737</f>
        <v>Stokes et al. (2020)</v>
      </c>
      <c r="D251" s="289">
        <f>F748</f>
        <v>4.8995231350040705E-2</v>
      </c>
      <c r="E251" s="289">
        <f>ABS(E197/D197*D174)</f>
        <v>2.8033413309875559E-2</v>
      </c>
      <c r="F251" s="418">
        <v>0</v>
      </c>
      <c r="G251" s="418">
        <v>0</v>
      </c>
      <c r="H251" s="26" t="s">
        <v>907</v>
      </c>
      <c r="I251" s="153"/>
      <c r="J251" s="26"/>
    </row>
    <row r="252" spans="2:14" x14ac:dyDescent="0.3">
      <c r="B252" s="81"/>
      <c r="C252" s="417" t="s">
        <v>878</v>
      </c>
      <c r="D252" s="289">
        <f t="shared" ref="D252:E256" si="48">F949</f>
        <v>-1.9405788854149605E-2</v>
      </c>
      <c r="E252" s="289">
        <f t="shared" si="48"/>
        <v>7.1933161516839431E-3</v>
      </c>
      <c r="F252" s="290">
        <f>IF(E252=Input!$H$14,Input!$H$14,1/E252)</f>
        <v>139.01794094868217</v>
      </c>
      <c r="G252" s="290"/>
      <c r="H252" s="26"/>
      <c r="I252" s="153"/>
      <c r="J252" s="26"/>
    </row>
    <row r="253" spans="2:14" x14ac:dyDescent="0.3">
      <c r="B253" s="81"/>
      <c r="C253" s="417" t="s">
        <v>879</v>
      </c>
      <c r="D253" s="289">
        <f t="shared" si="48"/>
        <v>2.0000131357617232E-2</v>
      </c>
      <c r="E253" s="289">
        <f t="shared" si="48"/>
        <v>3.679871107571793E-2</v>
      </c>
      <c r="F253" s="290">
        <f>IF(E253=Input!$H$14,Input!$H$14,1/E253)</f>
        <v>27.174864846281586</v>
      </c>
      <c r="G253" s="290"/>
      <c r="H253" s="26"/>
      <c r="I253" s="153"/>
      <c r="J253" s="10"/>
      <c r="K253" s="58"/>
      <c r="L253" s="134"/>
      <c r="M253" s="134"/>
      <c r="N253" s="134"/>
    </row>
    <row r="254" spans="2:14" x14ac:dyDescent="0.3">
      <c r="B254" s="81"/>
      <c r="C254" s="417" t="s">
        <v>880</v>
      </c>
      <c r="D254" s="289">
        <f t="shared" si="48"/>
        <v>1.9400658144767588E-2</v>
      </c>
      <c r="E254" s="289">
        <f t="shared" si="48"/>
        <v>3.6186623825550462E-2</v>
      </c>
      <c r="F254" s="290">
        <f>IF(E254=Input!$H$14,Input!$H$14,1/E254)</f>
        <v>27.634520557121586</v>
      </c>
      <c r="G254" s="290"/>
      <c r="H254" s="26"/>
      <c r="I254" s="153"/>
      <c r="J254" s="10"/>
      <c r="K254" s="58"/>
      <c r="L254" s="134"/>
      <c r="M254" s="134"/>
      <c r="N254" s="134"/>
    </row>
    <row r="255" spans="2:14" x14ac:dyDescent="0.3">
      <c r="B255" s="81"/>
      <c r="C255" s="417" t="s">
        <v>881</v>
      </c>
      <c r="D255" s="289">
        <f t="shared" si="48"/>
        <v>8.1582410837095498E-3</v>
      </c>
      <c r="E255" s="289">
        <f t="shared" si="48"/>
        <v>6.8817815944216612E-2</v>
      </c>
      <c r="F255" s="290">
        <f>IF(E255=Input!$H$14,Input!$H$14,1/E255)</f>
        <v>14.531120848278521</v>
      </c>
      <c r="G255" s="290"/>
      <c r="H255" s="26"/>
      <c r="I255" s="153"/>
      <c r="J255" s="10"/>
      <c r="K255" s="58"/>
      <c r="L255" s="134"/>
      <c r="M255" s="134"/>
      <c r="N255" s="134"/>
    </row>
    <row r="256" spans="2:14" x14ac:dyDescent="0.3">
      <c r="B256" s="81"/>
      <c r="C256" s="417" t="s">
        <v>886</v>
      </c>
      <c r="D256" s="289">
        <f t="shared" si="48"/>
        <v>2.2800401889216018E-2</v>
      </c>
      <c r="E256" s="289">
        <f t="shared" si="48"/>
        <v>3.9000687442080031E-2</v>
      </c>
      <c r="F256" s="290">
        <f>IF(E256=Input!$H$14,Input!$H$14,1/E256)</f>
        <v>25.640573681812693</v>
      </c>
      <c r="G256" s="290"/>
      <c r="H256" s="26"/>
      <c r="I256" s="153"/>
      <c r="J256" s="10"/>
      <c r="K256" s="58"/>
      <c r="L256" s="134"/>
      <c r="M256" s="134"/>
      <c r="N256" s="134"/>
    </row>
    <row r="257" spans="2:35" x14ac:dyDescent="0.3">
      <c r="B257" s="81"/>
      <c r="C257" s="417" t="s">
        <v>882</v>
      </c>
      <c r="D257" s="289">
        <f t="shared" ref="D257:E261" si="49">H949</f>
        <v>-3.5238181122122042E-2</v>
      </c>
      <c r="E257" s="289">
        <f t="shared" si="49"/>
        <v>1.797866383781737E-2</v>
      </c>
      <c r="F257" s="290">
        <f>IF(E257=Input!$H$14,Input!$H$14,1/E257)</f>
        <v>55.621486058187578</v>
      </c>
      <c r="G257" s="290"/>
      <c r="H257" s="26"/>
      <c r="I257" s="153"/>
      <c r="J257" s="10"/>
      <c r="K257" s="58"/>
      <c r="L257" s="134"/>
      <c r="M257" s="134"/>
      <c r="N257" s="134"/>
    </row>
    <row r="258" spans="2:35" x14ac:dyDescent="0.3">
      <c r="B258" s="81"/>
      <c r="C258" s="417" t="s">
        <v>883</v>
      </c>
      <c r="D258" s="289">
        <f t="shared" si="49"/>
        <v>7.4263358789366712E-2</v>
      </c>
      <c r="E258" s="289">
        <f t="shared" si="49"/>
        <v>4.9304885643123485E-2</v>
      </c>
      <c r="F258" s="290">
        <f>IF(E258=Input!$H$14,Input!$H$14,1/E258)</f>
        <v>20.28196571102826</v>
      </c>
      <c r="G258" s="290"/>
      <c r="H258" s="26"/>
      <c r="I258" s="153"/>
      <c r="J258" s="26"/>
    </row>
    <row r="259" spans="2:35" x14ac:dyDescent="0.3">
      <c r="B259" s="81"/>
      <c r="C259" s="417" t="s">
        <v>884</v>
      </c>
      <c r="D259" s="289">
        <f t="shared" si="49"/>
        <v>7.5187805442347558E-2</v>
      </c>
      <c r="E259" s="289">
        <f t="shared" si="49"/>
        <v>4.7985657536775202E-2</v>
      </c>
      <c r="F259" s="290">
        <f>IF(E259=Input!$H$14,Input!$H$14,1/E259)</f>
        <v>20.839560221377003</v>
      </c>
      <c r="G259" s="290"/>
      <c r="H259" s="26"/>
      <c r="I259" s="153"/>
      <c r="J259" s="26"/>
    </row>
    <row r="260" spans="2:35" x14ac:dyDescent="0.3">
      <c r="B260" s="81"/>
      <c r="C260" s="417" t="s">
        <v>885</v>
      </c>
      <c r="D260" s="289">
        <f t="shared" si="49"/>
        <v>6.8749841250549615E-2</v>
      </c>
      <c r="E260" s="289">
        <f t="shared" si="49"/>
        <v>6.1558007607094373E-2</v>
      </c>
      <c r="F260" s="290">
        <f>IF(E260=Input!$H$14,Input!$H$14,1/E260)</f>
        <v>16.244840255108468</v>
      </c>
      <c r="G260" s="290"/>
      <c r="H260" s="26"/>
      <c r="I260" s="153"/>
      <c r="J260" s="26"/>
    </row>
    <row r="261" spans="2:35" x14ac:dyDescent="0.3">
      <c r="B261" s="81"/>
      <c r="C261" s="417" t="s">
        <v>887</v>
      </c>
      <c r="D261" s="289">
        <f t="shared" si="49"/>
        <v>7.6723519983851657E-2</v>
      </c>
      <c r="E261" s="289">
        <f t="shared" si="49"/>
        <v>6.8541823329931195E-2</v>
      </c>
      <c r="F261" s="290">
        <f>IF(E261=Input!$H$14,Input!$H$14,1/E261)</f>
        <v>14.589632306488626</v>
      </c>
      <c r="G261" s="290"/>
      <c r="H261" s="26"/>
      <c r="I261" s="153"/>
      <c r="J261" s="26"/>
    </row>
    <row r="262" spans="2:35" x14ac:dyDescent="0.3">
      <c r="B262" s="81">
        <f>B1025</f>
        <v>75</v>
      </c>
      <c r="C262" s="288" t="str">
        <f>D1025</f>
        <v>Spiegel and Tookes (2021)</v>
      </c>
      <c r="D262" s="289">
        <f>S1030</f>
        <v>0.13071364795918367</v>
      </c>
      <c r="E262" s="289">
        <f>ABS(E198/D198*D175)</f>
        <v>6.5675637755102018E-2</v>
      </c>
      <c r="F262" s="418">
        <v>0</v>
      </c>
      <c r="G262" s="418"/>
      <c r="H262" s="26" t="s">
        <v>908</v>
      </c>
      <c r="I262" s="153"/>
      <c r="J262" s="58"/>
    </row>
    <row r="263" spans="2:35" x14ac:dyDescent="0.3">
      <c r="B263" s="81"/>
      <c r="C263" s="417" t="s">
        <v>860</v>
      </c>
      <c r="D263" s="289">
        <f>D1055</f>
        <v>1.020204081632653E-2</v>
      </c>
      <c r="E263" s="289">
        <f>E1055</f>
        <v>4.8459693877551016E-2</v>
      </c>
      <c r="F263" s="290">
        <f>IF(E263=Input!$H$14,Input!$H$14,1/E263)</f>
        <v>20.63570608858614</v>
      </c>
      <c r="G263" s="290"/>
      <c r="H263" s="26"/>
      <c r="I263" s="153"/>
      <c r="J263" s="58"/>
    </row>
    <row r="264" spans="2:35" x14ac:dyDescent="0.3">
      <c r="B264" s="81"/>
      <c r="C264" s="417" t="s">
        <v>861</v>
      </c>
      <c r="D264" s="289">
        <f>G1055</f>
        <v>3.3156632653061222E-2</v>
      </c>
      <c r="E264" s="289">
        <f>H1055</f>
        <v>5.6111224489795913E-2</v>
      </c>
      <c r="F264" s="290">
        <f>IF(E264=Input!$H$14,Input!$H$14,1/E264)</f>
        <v>17.821746167415302</v>
      </c>
      <c r="G264" s="290"/>
      <c r="H264" s="26"/>
      <c r="I264" s="153"/>
      <c r="J264" s="58"/>
    </row>
    <row r="265" spans="2:35" x14ac:dyDescent="0.3">
      <c r="B265" s="81"/>
      <c r="C265" s="417" t="s">
        <v>862</v>
      </c>
      <c r="D265" s="289">
        <f>J1055</f>
        <v>0.23974795918367345</v>
      </c>
      <c r="E265" s="289">
        <f>K1055</f>
        <v>7.9065816326530605E-2</v>
      </c>
      <c r="F265" s="290">
        <f>IF(E265=Input!$H$14,Input!$H$14,1/E265)</f>
        <v>12.64769082848828</v>
      </c>
      <c r="G265" s="290"/>
      <c r="H265" s="26"/>
      <c r="I265" s="153"/>
      <c r="J265" s="58"/>
    </row>
    <row r="266" spans="2:35" x14ac:dyDescent="0.3">
      <c r="B266" s="81">
        <f>B1161</f>
        <v>92</v>
      </c>
      <c r="C266" s="288" t="str">
        <f>D1161</f>
        <v>Bonardi et al. (2020)</v>
      </c>
      <c r="D266" s="289">
        <f>D1164</f>
        <v>0</v>
      </c>
      <c r="E266" s="289" t="str">
        <f>Input!$H$14</f>
        <v>n/a</v>
      </c>
      <c r="F266" s="290" t="str">
        <f>IF(E266=Input!$H$14,Input!$H$14,1/E266)</f>
        <v>n/a</v>
      </c>
      <c r="G266" s="290"/>
      <c r="H266" s="26"/>
      <c r="I266" s="153"/>
      <c r="J266" s="26"/>
    </row>
    <row r="267" spans="2:35" x14ac:dyDescent="0.3">
      <c r="B267" s="81">
        <f>B1181</f>
        <v>98</v>
      </c>
      <c r="C267" s="288" t="str">
        <f>D1181</f>
        <v>Guo et al. (2021)</v>
      </c>
      <c r="D267" s="289">
        <f>H1186</f>
        <v>4.5999999999999999E-2</v>
      </c>
      <c r="E267" s="289">
        <f>ABS(E200/D200*D177)</f>
        <v>0.14799999999999999</v>
      </c>
      <c r="F267" s="290">
        <f>IF(E267=Input!$H$14,Input!$H$14,1/E267)</f>
        <v>6.756756756756757</v>
      </c>
      <c r="G267" s="290"/>
      <c r="H267" s="26"/>
      <c r="I267" s="153"/>
      <c r="J267" s="26"/>
    </row>
    <row r="268" spans="2:35" x14ac:dyDescent="0.3">
      <c r="B268" s="81">
        <f>B1231</f>
        <v>111</v>
      </c>
      <c r="C268" s="288" t="str">
        <f>D1231</f>
        <v>An et al. (2021)</v>
      </c>
      <c r="D268" s="289">
        <f>D1288</f>
        <v>0.15612949485277217</v>
      </c>
      <c r="E268" s="289">
        <f>ABS(E201/D201*D178)</f>
        <v>8.7208602498503457E-2</v>
      </c>
      <c r="F268" s="290">
        <f>IF(E268=Input!$H$14,Input!$H$14,1/E268)</f>
        <v>11.466758683779625</v>
      </c>
      <c r="G268" s="290"/>
      <c r="H268" s="26"/>
      <c r="I268" s="153"/>
      <c r="J268" s="58"/>
    </row>
    <row r="269" spans="2:35" x14ac:dyDescent="0.3">
      <c r="B269" s="81"/>
      <c r="C269" s="417" t="s">
        <v>863</v>
      </c>
      <c r="D269" s="289">
        <f>D1310</f>
        <v>0.16218439239791313</v>
      </c>
      <c r="E269" s="289">
        <f>E310/D310*D269</f>
        <v>9.0857143797117776E-2</v>
      </c>
      <c r="F269" s="290">
        <f>IF(E269=Input!$H$14,Input!$H$14,1/E269)</f>
        <v>11.006289194309041</v>
      </c>
      <c r="G269" s="290"/>
      <c r="H269" s="26"/>
      <c r="I269" s="153"/>
      <c r="J269" s="58"/>
    </row>
    <row r="270" spans="2:35" x14ac:dyDescent="0.3">
      <c r="B270" s="74"/>
      <c r="C270" s="291" t="s">
        <v>116</v>
      </c>
      <c r="D270" s="292" t="str">
        <f>TEXT(SUMPRODUCT($F$250:$F$269,D250:D269)/SUM($F$250:$F$269),"0.0%") &amp; " (" &amp; TEXT(AVERAGE(D250:D269),"0.0%") &amp; "/"&amp;TEXT(MEDIAN(D250:D269),"0.0%")&amp;")"</f>
        <v>2.0% (4.8%/4.0%)</v>
      </c>
      <c r="E270" s="292"/>
      <c r="F270" s="293"/>
      <c r="G270" s="293"/>
      <c r="H270" s="26"/>
      <c r="I270" s="153"/>
      <c r="K270" s="10"/>
    </row>
    <row r="271" spans="2:35" x14ac:dyDescent="0.3">
      <c r="B271" s="80"/>
      <c r="C271" s="286" t="s">
        <v>117</v>
      </c>
      <c r="D271" s="287"/>
      <c r="E271" s="287"/>
      <c r="F271" s="290"/>
      <c r="G271" s="290"/>
      <c r="H271" s="26"/>
    </row>
    <row r="272" spans="2:35" x14ac:dyDescent="0.3">
      <c r="B272" s="82">
        <f>B576</f>
        <v>23</v>
      </c>
      <c r="C272" s="288" t="str">
        <f>D576</f>
        <v>Sears et al. (2020)</v>
      </c>
      <c r="D272" s="289">
        <f>D579</f>
        <v>-0.32151610007036957</v>
      </c>
      <c r="E272" s="289">
        <f>ABS(E312/D312*D272)</f>
        <v>0.17576213470513535</v>
      </c>
      <c r="F272" s="290">
        <f>IF(E272=Input!$H$14,Input!$H$14,1/E272)</f>
        <v>5.6895075931891395</v>
      </c>
      <c r="G272" s="290"/>
      <c r="H272" s="26"/>
      <c r="I272" s="26"/>
      <c r="J272" s="26"/>
      <c r="AI272" s="18"/>
    </row>
    <row r="273" spans="2:36" x14ac:dyDescent="0.3">
      <c r="B273" s="82">
        <f>B607</f>
        <v>30</v>
      </c>
      <c r="C273" s="288" t="str">
        <f>D607</f>
        <v>Alderman and Harjoto (2020)</v>
      </c>
      <c r="D273" s="289">
        <f>D609</f>
        <v>-0.01</v>
      </c>
      <c r="E273" s="289">
        <f>D610</f>
        <v>5.9171597633136102E-3</v>
      </c>
      <c r="F273" s="290">
        <f>IF(E273=Input!$H$14,Input!$H$14,1/E273)</f>
        <v>168.99999999999997</v>
      </c>
      <c r="G273" s="290"/>
      <c r="H273" s="26"/>
      <c r="I273" s="58"/>
      <c r="J273" s="58"/>
      <c r="K273" s="58"/>
      <c r="AJ273" s="18"/>
    </row>
    <row r="274" spans="2:36" x14ac:dyDescent="0.3">
      <c r="B274" s="82">
        <f>B617</f>
        <v>48</v>
      </c>
      <c r="C274" s="419" t="str">
        <f>D617</f>
        <v>Berry et al. (2020)</v>
      </c>
      <c r="D274" s="289">
        <f>E620</f>
        <v>1.1261750695743089E-2</v>
      </c>
      <c r="E274" s="289" t="str">
        <f>Input!$H$14</f>
        <v>n/a</v>
      </c>
      <c r="F274" s="290" t="str">
        <f>IF(E274=Input!$H$14,Input!$H$14,1/E274)</f>
        <v>n/a</v>
      </c>
      <c r="G274" s="290"/>
      <c r="H274" s="26"/>
      <c r="I274" s="26"/>
      <c r="J274" s="26"/>
      <c r="K274" s="26"/>
      <c r="AJ274" s="18"/>
    </row>
    <row r="275" spans="2:36" x14ac:dyDescent="0.3">
      <c r="B275" s="82">
        <f>B730</f>
        <v>64</v>
      </c>
      <c r="C275" s="288" t="str">
        <f>D730</f>
        <v>Fowler et al. (2021)</v>
      </c>
      <c r="D275" s="289">
        <f>D733</f>
        <v>-0.35</v>
      </c>
      <c r="E275" s="289">
        <f t="shared" ref="E275:E284" si="50">ABS(E317/D317*D275)</f>
        <v>6.968641114982578E-2</v>
      </c>
      <c r="F275" s="290">
        <f>IF(E275=Input!$H$14,Input!$H$14,1/E275)</f>
        <v>14.350000000000001</v>
      </c>
      <c r="G275" s="290"/>
      <c r="I275" s="26"/>
      <c r="J275" s="26"/>
      <c r="K275" s="26"/>
      <c r="AJ275" s="18"/>
    </row>
    <row r="276" spans="2:36" x14ac:dyDescent="0.3">
      <c r="B276" s="82">
        <f>B1325</f>
        <v>115</v>
      </c>
      <c r="C276" s="288" t="str">
        <f>D1325</f>
        <v>Gibson (2020)</v>
      </c>
      <c r="D276" s="289">
        <f>L1329</f>
        <v>-6.0069444444444453E-2</v>
      </c>
      <c r="E276" s="289">
        <f t="shared" si="50"/>
        <v>0.24514577421869621</v>
      </c>
      <c r="F276" s="418">
        <v>0</v>
      </c>
      <c r="G276" s="418"/>
      <c r="H276" s="26" t="s">
        <v>282</v>
      </c>
      <c r="I276" s="26"/>
      <c r="J276" s="26"/>
      <c r="K276" s="26"/>
      <c r="AJ276" s="18"/>
    </row>
    <row r="277" spans="2:36" x14ac:dyDescent="0.3">
      <c r="B277" s="82"/>
      <c r="C277" s="417" t="s">
        <v>866</v>
      </c>
      <c r="D277" s="289">
        <f>E1331</f>
        <v>-8.1250000000000003E-2</v>
      </c>
      <c r="E277" s="289">
        <f t="shared" si="50"/>
        <v>0.27500000000000002</v>
      </c>
      <c r="F277" s="290">
        <f>IF(E277=Input!$H$14,Input!$H$14,1/E277)</f>
        <v>3.6363636363636362</v>
      </c>
      <c r="G277" s="290"/>
      <c r="H277" s="26"/>
      <c r="I277" s="26"/>
      <c r="J277" s="26"/>
      <c r="K277" s="26"/>
      <c r="AJ277" s="18"/>
    </row>
    <row r="278" spans="2:36" x14ac:dyDescent="0.3">
      <c r="B278" s="82"/>
      <c r="C278" s="417" t="s">
        <v>867</v>
      </c>
      <c r="D278" s="289">
        <f>I1331</f>
        <v>-3.8888888888888896E-2</v>
      </c>
      <c r="E278" s="289">
        <f t="shared" si="50"/>
        <v>0.21111111111111114</v>
      </c>
      <c r="F278" s="290">
        <f>IF(E278=Input!$H$14,Input!$H$14,1/E278)</f>
        <v>4.7368421052631575</v>
      </c>
      <c r="G278" s="290"/>
      <c r="H278" s="26"/>
      <c r="I278" s="26"/>
      <c r="J278" s="26"/>
      <c r="K278" s="26"/>
      <c r="AJ278" s="18"/>
    </row>
    <row r="279" spans="2:36" x14ac:dyDescent="0.3">
      <c r="B279" s="82">
        <f>B1013</f>
        <v>74</v>
      </c>
      <c r="C279" s="288" t="str">
        <f>D1013</f>
        <v>Dave et al. (2020)</v>
      </c>
      <c r="D279" s="289">
        <f>D1016</f>
        <v>-0.40389417076968986</v>
      </c>
      <c r="E279" s="289">
        <f t="shared" si="50"/>
        <v>0.36129664144631723</v>
      </c>
      <c r="F279" s="418">
        <v>0</v>
      </c>
      <c r="G279" s="418"/>
      <c r="H279" s="26" t="s">
        <v>282</v>
      </c>
      <c r="I279" s="58"/>
      <c r="J279" s="58"/>
      <c r="K279" s="26"/>
      <c r="AJ279" s="18"/>
    </row>
    <row r="280" spans="2:36" x14ac:dyDescent="0.3">
      <c r="B280" s="82"/>
      <c r="C280" s="417" t="s">
        <v>279</v>
      </c>
      <c r="D280" s="289">
        <f>EXP(D322)-1</f>
        <v>-0.50242053176795509</v>
      </c>
      <c r="E280" s="289">
        <f t="shared" si="50"/>
        <v>0.43188011326758319</v>
      </c>
      <c r="F280" s="290">
        <f>IF(E280=Input!$H$14,Input!$H$14,1/E280)</f>
        <v>2.3154573903254083</v>
      </c>
      <c r="G280" s="290"/>
      <c r="H280" s="26"/>
      <c r="I280" s="58"/>
      <c r="J280" s="58"/>
      <c r="K280" s="26"/>
      <c r="AJ280" s="18"/>
    </row>
    <row r="281" spans="2:36" x14ac:dyDescent="0.3">
      <c r="B281" s="82"/>
      <c r="C281" s="417" t="s">
        <v>280</v>
      </c>
      <c r="D281" s="289">
        <f>EXP(D323)-1</f>
        <v>-0.36109531596808375</v>
      </c>
      <c r="E281" s="289">
        <f t="shared" si="50"/>
        <v>0.34819905468350931</v>
      </c>
      <c r="F281" s="290">
        <f>IF(E281=Input!$H$14,Input!$H$14,1/E281)</f>
        <v>2.871920490734635</v>
      </c>
      <c r="G281" s="290"/>
      <c r="H281" s="26"/>
      <c r="I281" s="58"/>
      <c r="J281" s="58"/>
      <c r="K281" s="26"/>
      <c r="AJ281" s="18"/>
    </row>
    <row r="282" spans="2:36" x14ac:dyDescent="0.3">
      <c r="B282" s="82"/>
      <c r="C282" s="417" t="s">
        <v>578</v>
      </c>
      <c r="D282" s="289">
        <f>EXP(D324)-1</f>
        <v>-0.38798592599865012</v>
      </c>
      <c r="E282" s="289">
        <f t="shared" si="50"/>
        <v>0.34531537609248492</v>
      </c>
      <c r="F282" s="290">
        <f>IF(E282=Input!$H$14,Input!$H$14,1/E282)</f>
        <v>2.8959034819583955</v>
      </c>
      <c r="G282" s="290"/>
      <c r="H282" s="26"/>
      <c r="I282" s="58"/>
      <c r="J282" s="58"/>
      <c r="K282" s="26"/>
      <c r="AJ282" s="18"/>
    </row>
    <row r="283" spans="2:36" x14ac:dyDescent="0.3">
      <c r="B283" s="82"/>
      <c r="C283" s="417" t="s">
        <v>579</v>
      </c>
      <c r="D283" s="289">
        <f>EXP(D325)-1</f>
        <v>-0.39286250626121033</v>
      </c>
      <c r="E283" s="289">
        <f t="shared" si="50"/>
        <v>0.34326263072121782</v>
      </c>
      <c r="F283" s="290">
        <f>IF(E283=Input!$H$14,Input!$H$14,1/E283)</f>
        <v>2.9132212787011884</v>
      </c>
      <c r="G283" s="290"/>
      <c r="H283" s="26"/>
      <c r="I283" s="58"/>
      <c r="J283" s="58"/>
      <c r="K283" s="26"/>
      <c r="AJ283" s="18"/>
    </row>
    <row r="284" spans="2:36" x14ac:dyDescent="0.3">
      <c r="B284" s="82"/>
      <c r="C284" s="417" t="s">
        <v>580</v>
      </c>
      <c r="D284" s="289">
        <f>EXP(D326)-1</f>
        <v>-0.37562242158858872</v>
      </c>
      <c r="E284" s="289">
        <f t="shared" si="50"/>
        <v>0.31899993340856797</v>
      </c>
      <c r="F284" s="290">
        <f>IF(E284=Input!$H$14,Input!$H$14,1/E284)</f>
        <v>3.1347968926351544</v>
      </c>
      <c r="G284" s="290"/>
      <c r="H284" s="26"/>
      <c r="I284" s="58"/>
      <c r="J284" s="58"/>
      <c r="K284" s="26"/>
      <c r="AJ284" s="18"/>
    </row>
    <row r="285" spans="2:36" x14ac:dyDescent="0.3">
      <c r="B285" s="83"/>
      <c r="C285" s="291" t="s">
        <v>118</v>
      </c>
      <c r="D285" s="294" t="str">
        <f>TEXT(SUMPRODUCT($F$272:$F$284,D272:D284)/SUM($F$272:$F$284),"0.0%") &amp; " (" &amp; TEXT(AVERAGE(D272:D284),"0.0%") &amp; "/"&amp;TEXT(MEDIAN(D272:D284),"0.0%")&amp;")"</f>
        <v>-6.9% (-25.2%/-35.0%)</v>
      </c>
      <c r="E285" s="294"/>
      <c r="F285" s="290"/>
      <c r="G285" s="290"/>
      <c r="H285" s="19"/>
      <c r="I285" s="58"/>
      <c r="J285" s="58"/>
      <c r="K285" s="58"/>
      <c r="L285" s="10"/>
    </row>
    <row r="286" spans="2:36" x14ac:dyDescent="0.3">
      <c r="B286" s="127"/>
      <c r="C286" s="393" t="s">
        <v>119</v>
      </c>
      <c r="D286" s="394" t="str">
        <f>TEXT(SUMPRODUCT($F$250:$F$285,D250:D285)/SUM($F$250:$F$285),"0.0%")</f>
        <v>-0.9%</v>
      </c>
      <c r="E286" s="394"/>
      <c r="F286" s="394"/>
      <c r="G286" s="394"/>
      <c r="H286" s="10"/>
      <c r="I286" s="58"/>
      <c r="J286" s="58"/>
      <c r="K286" s="58"/>
      <c r="M286" s="26"/>
    </row>
    <row r="287" spans="2:36" x14ac:dyDescent="0.3">
      <c r="B287" s="26"/>
      <c r="D287" s="26"/>
      <c r="E287" s="26"/>
      <c r="F287" s="10"/>
      <c r="G287" s="10"/>
      <c r="H287" s="10"/>
    </row>
    <row r="288" spans="2:36" x14ac:dyDescent="0.3">
      <c r="B288" s="4" t="s">
        <v>8</v>
      </c>
    </row>
    <row r="289" spans="2:8" x14ac:dyDescent="0.3">
      <c r="B289" s="75" t="s">
        <v>9</v>
      </c>
      <c r="C289" s="52" t="s">
        <v>10</v>
      </c>
      <c r="D289" s="52" t="s">
        <v>120</v>
      </c>
      <c r="E289" s="126" t="s">
        <v>121</v>
      </c>
    </row>
    <row r="290" spans="2:8" x14ac:dyDescent="0.3">
      <c r="B290" s="80"/>
      <c r="C290" t="s">
        <v>115</v>
      </c>
      <c r="D290" s="69"/>
      <c r="E290" s="69"/>
    </row>
    <row r="291" spans="2:8" x14ac:dyDescent="0.3">
      <c r="B291" s="81">
        <f>B173</f>
        <v>2</v>
      </c>
      <c r="C291" s="36" t="str">
        <f>C173</f>
        <v>Chernozhukov et al. (2021)</v>
      </c>
      <c r="D291" s="146">
        <f>D552</f>
        <v>0.215</v>
      </c>
      <c r="E291" s="146">
        <f>G552</f>
        <v>0.17325227963525838</v>
      </c>
      <c r="F291" s="99"/>
      <c r="G291" s="99"/>
      <c r="H291" s="10"/>
    </row>
    <row r="292" spans="2:8" x14ac:dyDescent="0.3">
      <c r="B292" s="81">
        <f>B174</f>
        <v>71</v>
      </c>
      <c r="C292" s="36" t="str">
        <f>C174</f>
        <v>Stokes et al. (2020)</v>
      </c>
      <c r="D292" s="146">
        <f>F748</f>
        <v>4.8995231350040705E-2</v>
      </c>
      <c r="E292" s="146">
        <f>I748</f>
        <v>2.8033413309875563E-2</v>
      </c>
      <c r="F292" s="99" t="s">
        <v>282</v>
      </c>
      <c r="G292" s="99"/>
      <c r="H292" s="10"/>
    </row>
    <row r="293" spans="2:8" x14ac:dyDescent="0.3">
      <c r="B293" s="81"/>
      <c r="C293" s="427" t="str">
        <f t="shared" ref="C293:C306" si="51">C252</f>
        <v>Specification 1 - 24 days</v>
      </c>
      <c r="D293" s="146">
        <f t="shared" ref="D293:E297" si="52">F949</f>
        <v>-1.9405788854149605E-2</v>
      </c>
      <c r="E293" s="146">
        <f t="shared" si="52"/>
        <v>7.1933161516839431E-3</v>
      </c>
      <c r="F293" s="99"/>
      <c r="G293" s="99"/>
      <c r="H293" s="10"/>
    </row>
    <row r="294" spans="2:8" x14ac:dyDescent="0.3">
      <c r="B294" s="81"/>
      <c r="C294" s="427" t="str">
        <f t="shared" si="51"/>
        <v>Specification 2 - 24 days</v>
      </c>
      <c r="D294" s="146">
        <f t="shared" si="52"/>
        <v>2.0000131357617232E-2</v>
      </c>
      <c r="E294" s="146">
        <f t="shared" si="52"/>
        <v>3.679871107571793E-2</v>
      </c>
      <c r="F294" s="99"/>
      <c r="G294" s="99"/>
      <c r="H294" s="10"/>
    </row>
    <row r="295" spans="2:8" x14ac:dyDescent="0.3">
      <c r="B295" s="81"/>
      <c r="C295" s="427" t="str">
        <f t="shared" si="51"/>
        <v>Specification 3 - 24 days</v>
      </c>
      <c r="D295" s="146">
        <f t="shared" si="52"/>
        <v>1.9400658144767588E-2</v>
      </c>
      <c r="E295" s="146">
        <f t="shared" si="52"/>
        <v>3.6186623825550462E-2</v>
      </c>
      <c r="F295" s="99"/>
      <c r="G295" s="99"/>
      <c r="H295" s="10"/>
    </row>
    <row r="296" spans="2:8" x14ac:dyDescent="0.3">
      <c r="B296" s="81"/>
      <c r="C296" s="427" t="str">
        <f t="shared" si="51"/>
        <v>Specification 4 - 24 days</v>
      </c>
      <c r="D296" s="146">
        <f t="shared" si="52"/>
        <v>8.1582410837095498E-3</v>
      </c>
      <c r="E296" s="146">
        <f t="shared" si="52"/>
        <v>6.8817815944216612E-2</v>
      </c>
      <c r="F296" s="99"/>
      <c r="G296" s="99"/>
      <c r="H296" s="10"/>
    </row>
    <row r="297" spans="2:8" x14ac:dyDescent="0.3">
      <c r="B297" s="81"/>
      <c r="C297" s="427" t="str">
        <f t="shared" si="51"/>
        <v>Specification 5 - 24 days</v>
      </c>
      <c r="D297" s="146">
        <f t="shared" si="52"/>
        <v>2.2800401889216018E-2</v>
      </c>
      <c r="E297" s="146">
        <f t="shared" si="52"/>
        <v>3.9000687442080031E-2</v>
      </c>
      <c r="F297" s="99"/>
      <c r="G297" s="99"/>
      <c r="H297" s="10"/>
    </row>
    <row r="298" spans="2:8" x14ac:dyDescent="0.3">
      <c r="B298" s="81"/>
      <c r="C298" s="427" t="str">
        <f t="shared" si="51"/>
        <v>Specification 1 - 38 days</v>
      </c>
      <c r="D298" s="146">
        <f t="shared" ref="D298:E302" si="53">H949</f>
        <v>-3.5238181122122042E-2</v>
      </c>
      <c r="E298" s="146">
        <f t="shared" si="53"/>
        <v>1.797866383781737E-2</v>
      </c>
      <c r="F298" s="99"/>
      <c r="G298" s="99"/>
      <c r="H298" s="10"/>
    </row>
    <row r="299" spans="2:8" x14ac:dyDescent="0.3">
      <c r="B299" s="81"/>
      <c r="C299" s="427" t="str">
        <f t="shared" si="51"/>
        <v>Specification 2 - 38 days</v>
      </c>
      <c r="D299" s="146">
        <f t="shared" si="53"/>
        <v>7.4263358789366712E-2</v>
      </c>
      <c r="E299" s="146">
        <f t="shared" si="53"/>
        <v>4.9304885643123485E-2</v>
      </c>
      <c r="F299" s="99"/>
      <c r="G299" s="99"/>
      <c r="H299" s="10"/>
    </row>
    <row r="300" spans="2:8" x14ac:dyDescent="0.3">
      <c r="B300" s="81"/>
      <c r="C300" s="427" t="str">
        <f t="shared" si="51"/>
        <v>Specification 3 - 38 days</v>
      </c>
      <c r="D300" s="146">
        <f t="shared" si="53"/>
        <v>7.5187805442347558E-2</v>
      </c>
      <c r="E300" s="146">
        <f t="shared" si="53"/>
        <v>4.7985657536775202E-2</v>
      </c>
      <c r="F300" s="99"/>
      <c r="G300" s="99"/>
      <c r="H300" s="10"/>
    </row>
    <row r="301" spans="2:8" x14ac:dyDescent="0.3">
      <c r="B301" s="81"/>
      <c r="C301" s="427" t="str">
        <f t="shared" si="51"/>
        <v>Specification 4 - 38 days</v>
      </c>
      <c r="D301" s="146">
        <f t="shared" si="53"/>
        <v>6.8749841250549615E-2</v>
      </c>
      <c r="E301" s="146">
        <f t="shared" si="53"/>
        <v>6.1558007607094373E-2</v>
      </c>
      <c r="F301" s="99"/>
      <c r="G301" s="99"/>
      <c r="H301" s="10"/>
    </row>
    <row r="302" spans="2:8" x14ac:dyDescent="0.3">
      <c r="B302" s="81"/>
      <c r="C302" s="427" t="str">
        <f t="shared" si="51"/>
        <v>Specification 5 - 38 days</v>
      </c>
      <c r="D302" s="146">
        <f t="shared" si="53"/>
        <v>7.6723519983851657E-2</v>
      </c>
      <c r="E302" s="146">
        <f t="shared" si="53"/>
        <v>6.8541823329931195E-2</v>
      </c>
      <c r="F302" s="99"/>
      <c r="G302" s="99"/>
      <c r="H302" s="10"/>
    </row>
    <row r="303" spans="2:8" x14ac:dyDescent="0.3">
      <c r="B303" s="81">
        <f>B175</f>
        <v>75</v>
      </c>
      <c r="C303" s="36" t="str">
        <f t="shared" si="51"/>
        <v>Spiegel and Tookes (2021)</v>
      </c>
      <c r="D303" s="146">
        <f>O1030</f>
        <v>5.1250000000000004E-2</v>
      </c>
      <c r="E303" s="146">
        <f>P1030</f>
        <v>2.5749999999999999E-2</v>
      </c>
      <c r="F303" s="99" t="s">
        <v>856</v>
      </c>
      <c r="G303" s="99"/>
      <c r="H303" s="10"/>
    </row>
    <row r="304" spans="2:8" x14ac:dyDescent="0.3">
      <c r="B304" s="81"/>
      <c r="C304" s="427" t="str">
        <f t="shared" si="51"/>
        <v>Tabel 4</v>
      </c>
      <c r="D304" s="146">
        <f>D1030</f>
        <v>4.0000000000000001E-3</v>
      </c>
      <c r="E304" s="146">
        <f>E1030</f>
        <v>1.9E-2</v>
      </c>
      <c r="F304" s="99"/>
      <c r="G304" s="99"/>
      <c r="H304" s="10"/>
    </row>
    <row r="305" spans="2:15" x14ac:dyDescent="0.3">
      <c r="B305" s="81"/>
      <c r="C305" s="427" t="str">
        <f t="shared" si="51"/>
        <v>Tabel 6</v>
      </c>
      <c r="D305" s="146">
        <f>G1030</f>
        <v>1.2999999999999999E-2</v>
      </c>
      <c r="E305" s="146">
        <f>H1030</f>
        <v>2.1999999999999999E-2</v>
      </c>
      <c r="F305" s="99"/>
      <c r="G305" s="99"/>
      <c r="H305" s="10"/>
    </row>
    <row r="306" spans="2:15" x14ac:dyDescent="0.3">
      <c r="B306" s="81"/>
      <c r="C306" s="427" t="str">
        <f t="shared" si="51"/>
        <v>Tabel 9</v>
      </c>
      <c r="D306" s="146">
        <f>J1030</f>
        <v>9.4E-2</v>
      </c>
      <c r="E306" s="146">
        <f>K1030</f>
        <v>3.1E-2</v>
      </c>
      <c r="F306" s="99"/>
      <c r="G306" s="99"/>
      <c r="H306" s="10"/>
      <c r="J306" s="58"/>
      <c r="K306" s="58"/>
      <c r="L306" s="58"/>
      <c r="M306" s="134"/>
      <c r="N306" s="134"/>
      <c r="O306" s="134"/>
    </row>
    <row r="307" spans="2:15" x14ac:dyDescent="0.3">
      <c r="B307" s="81">
        <f t="shared" ref="B307:C309" si="54">B176</f>
        <v>92</v>
      </c>
      <c r="C307" s="36" t="str">
        <f t="shared" si="54"/>
        <v>Bonardi et al. (2020)</v>
      </c>
      <c r="D307" s="146"/>
      <c r="E307" s="146" t="str">
        <f>Input!$H$14</f>
        <v>n/a</v>
      </c>
      <c r="F307" s="99"/>
      <c r="G307" s="19"/>
      <c r="H307" s="19"/>
      <c r="J307" s="58"/>
      <c r="K307" s="58"/>
      <c r="L307" s="58"/>
      <c r="M307" s="134"/>
      <c r="N307" s="134"/>
      <c r="O307" s="134"/>
    </row>
    <row r="308" spans="2:15" x14ac:dyDescent="0.3">
      <c r="B308" s="81">
        <f t="shared" si="54"/>
        <v>98</v>
      </c>
      <c r="C308" s="36" t="str">
        <f t="shared" si="54"/>
        <v>Guo et al. (2021)</v>
      </c>
      <c r="D308" s="146">
        <f>D1186</f>
        <v>4.5999999999999999E-2</v>
      </c>
      <c r="E308" s="146">
        <f>G1186</f>
        <v>0.14799999999999999</v>
      </c>
      <c r="F308" s="99"/>
      <c r="G308" s="99"/>
      <c r="H308" s="10"/>
      <c r="J308" s="58"/>
      <c r="K308" s="58"/>
      <c r="L308" s="58"/>
      <c r="M308" s="134"/>
      <c r="N308" s="134"/>
      <c r="O308" s="134"/>
    </row>
    <row r="309" spans="2:15" x14ac:dyDescent="0.3">
      <c r="B309" s="81">
        <f t="shared" si="54"/>
        <v>111</v>
      </c>
      <c r="C309" s="36" t="str">
        <f t="shared" si="54"/>
        <v>An et al. (2021)</v>
      </c>
      <c r="D309" s="146">
        <f>H1238</f>
        <v>43.569000000000003</v>
      </c>
      <c r="E309" s="146">
        <f>I1238</f>
        <v>24.336155098946914</v>
      </c>
      <c r="F309" s="99"/>
      <c r="G309" s="99"/>
      <c r="H309" s="10"/>
      <c r="J309" s="58"/>
      <c r="K309" s="58"/>
      <c r="L309" s="58"/>
      <c r="M309" s="134"/>
      <c r="N309" s="134"/>
      <c r="O309" s="134"/>
    </row>
    <row r="310" spans="2:15" x14ac:dyDescent="0.3">
      <c r="B310" s="74"/>
      <c r="C310" s="428" t="str">
        <f>C269</f>
        <v>Random Effects Model</v>
      </c>
      <c r="D310" s="147">
        <f>H1252</f>
        <v>43.352000000000004</v>
      </c>
      <c r="E310" s="147">
        <f>I1252</f>
        <v>24.286177231091763</v>
      </c>
      <c r="F310" s="99"/>
      <c r="G310" s="99"/>
      <c r="H310" s="10"/>
      <c r="J310" s="58"/>
      <c r="K310" s="58"/>
      <c r="L310" s="58"/>
      <c r="M310" s="134"/>
      <c r="N310" s="134"/>
      <c r="O310" s="134"/>
    </row>
    <row r="311" spans="2:15" x14ac:dyDescent="0.3">
      <c r="B311" s="80"/>
      <c r="C311" t="s">
        <v>117</v>
      </c>
      <c r="D311" s="146"/>
      <c r="E311" s="146"/>
      <c r="F311" s="99"/>
      <c r="G311" s="99"/>
      <c r="H311" s="10"/>
    </row>
    <row r="312" spans="2:15" x14ac:dyDescent="0.3">
      <c r="B312" s="81">
        <f>B181</f>
        <v>23</v>
      </c>
      <c r="C312" s="36" t="str">
        <f>C181</f>
        <v>Sears et al. (2020)</v>
      </c>
      <c r="D312" s="146">
        <f>F579</f>
        <v>-0.15000000000000002</v>
      </c>
      <c r="E312" s="146">
        <f>H579</f>
        <v>8.2000000000000003E-2</v>
      </c>
      <c r="F312" s="99" t="s">
        <v>282</v>
      </c>
      <c r="G312" s="99"/>
      <c r="H312" s="10"/>
    </row>
    <row r="313" spans="2:15" x14ac:dyDescent="0.3">
      <c r="B313" s="81"/>
      <c r="C313" s="427" t="s">
        <v>279</v>
      </c>
      <c r="D313" s="146">
        <f>F580</f>
        <v>-0.16900000000000001</v>
      </c>
      <c r="E313" s="146">
        <f>H580</f>
        <v>9.6000000000000002E-2</v>
      </c>
      <c r="F313" s="3" t="s">
        <v>905</v>
      </c>
      <c r="G313" s="99"/>
      <c r="H313" s="10"/>
    </row>
    <row r="314" spans="2:15" x14ac:dyDescent="0.3">
      <c r="B314" s="81"/>
      <c r="C314" s="427" t="s">
        <v>280</v>
      </c>
      <c r="D314" s="146">
        <f>F581</f>
        <v>-0.13100000000000001</v>
      </c>
      <c r="E314" s="146">
        <f>H581</f>
        <v>6.8000000000000005E-2</v>
      </c>
      <c r="F314" s="3" t="str">
        <f>F313</f>
        <v>These two have not been used, as the effect has been calculated based on the authors estimate of the total deaths prevented due to policy effect. As this number has not been provided for the individual models, an identical calculation cannot be performed for each model</v>
      </c>
      <c r="G314" s="99"/>
      <c r="H314" s="10"/>
    </row>
    <row r="315" spans="2:15" x14ac:dyDescent="0.3">
      <c r="B315" s="81">
        <f t="shared" ref="B315:C318" si="55">B182</f>
        <v>30</v>
      </c>
      <c r="C315" s="36" t="str">
        <f t="shared" si="55"/>
        <v>Alderman and Harjoto (2020)</v>
      </c>
      <c r="D315" s="150">
        <f>D611</f>
        <v>-1E-4</v>
      </c>
      <c r="E315" s="150">
        <f>D613</f>
        <v>5.9171597633136101E-5</v>
      </c>
      <c r="F315" s="99"/>
      <c r="G315" s="99"/>
      <c r="H315" s="10"/>
    </row>
    <row r="316" spans="2:15" x14ac:dyDescent="0.3">
      <c r="B316" s="81">
        <f t="shared" si="55"/>
        <v>48</v>
      </c>
      <c r="C316" s="36" t="str">
        <f t="shared" si="55"/>
        <v>Berry et al. (2020)</v>
      </c>
      <c r="D316" s="146"/>
      <c r="E316" s="146" t="str">
        <f>Input!$H$14</f>
        <v>n/a</v>
      </c>
      <c r="F316" s="99"/>
      <c r="G316" s="99"/>
      <c r="H316" s="10"/>
    </row>
    <row r="317" spans="2:15" x14ac:dyDescent="0.3">
      <c r="B317" s="81">
        <f t="shared" si="55"/>
        <v>64</v>
      </c>
      <c r="C317" s="36" t="str">
        <f t="shared" si="55"/>
        <v>Fowler et al. (2021)</v>
      </c>
      <c r="D317" s="148">
        <f>E733</f>
        <v>41000</v>
      </c>
      <c r="E317" s="148">
        <f>H733</f>
        <v>8163.2653061224491</v>
      </c>
      <c r="F317" s="99"/>
      <c r="G317" s="99"/>
      <c r="H317" s="10"/>
    </row>
    <row r="318" spans="2:15" x14ac:dyDescent="0.3">
      <c r="B318" s="81">
        <f t="shared" si="55"/>
        <v>115</v>
      </c>
      <c r="C318" s="36" t="str">
        <f t="shared" si="55"/>
        <v>Gibson (2020)</v>
      </c>
      <c r="D318" s="146">
        <f>L1329</f>
        <v>-6.0069444444444453E-2</v>
      </c>
      <c r="E318" s="146">
        <f>L1330</f>
        <v>0.24514577421869618</v>
      </c>
      <c r="F318" s="99" t="s">
        <v>282</v>
      </c>
      <c r="G318" s="99"/>
      <c r="H318" s="10"/>
    </row>
    <row r="319" spans="2:15" x14ac:dyDescent="0.3">
      <c r="B319" s="81"/>
      <c r="C319" s="427" t="str">
        <f>C277</f>
        <v>OLS Model</v>
      </c>
      <c r="D319" s="146">
        <f>E1331</f>
        <v>-8.1250000000000003E-2</v>
      </c>
      <c r="E319" s="146">
        <f>E1332</f>
        <v>0.27500000000000002</v>
      </c>
      <c r="F319" s="99"/>
      <c r="G319" s="99"/>
      <c r="H319" s="10"/>
    </row>
    <row r="320" spans="2:15" x14ac:dyDescent="0.3">
      <c r="B320" s="81"/>
      <c r="C320" s="427" t="str">
        <f>C278</f>
        <v>Control Model</v>
      </c>
      <c r="D320" s="146">
        <f>I1331</f>
        <v>-3.8888888888888896E-2</v>
      </c>
      <c r="E320" s="146">
        <f>I1332</f>
        <v>0.21111111111111114</v>
      </c>
      <c r="F320" s="99"/>
      <c r="G320" s="99"/>
      <c r="H320" s="10"/>
    </row>
    <row r="321" spans="1:13" x14ac:dyDescent="0.3">
      <c r="B321" s="81">
        <f>B186</f>
        <v>74</v>
      </c>
      <c r="C321" s="36" t="str">
        <f>C186</f>
        <v>Dave et al. (2020)</v>
      </c>
      <c r="D321" s="146">
        <f>I1020</f>
        <v>-0.52140000000000009</v>
      </c>
      <c r="E321" s="146">
        <f>I1021</f>
        <v>0.46640947674763217</v>
      </c>
      <c r="F321" s="320" t="s">
        <v>282</v>
      </c>
      <c r="G321" s="99"/>
      <c r="H321" s="10"/>
    </row>
    <row r="322" spans="1:13" x14ac:dyDescent="0.3">
      <c r="B322" s="81"/>
      <c r="C322" s="427" t="str">
        <f>C280</f>
        <v>Model 1</v>
      </c>
      <c r="D322" s="146">
        <f>D1020</f>
        <v>-0.69799999999999995</v>
      </c>
      <c r="E322" s="146">
        <f>D1021</f>
        <v>0.6</v>
      </c>
      <c r="F322" s="320"/>
      <c r="G322" s="99"/>
      <c r="H322" s="10"/>
    </row>
    <row r="323" spans="1:13" x14ac:dyDescent="0.3">
      <c r="B323" s="81"/>
      <c r="C323" s="427" t="str">
        <f t="shared" ref="C323:C326" si="56">C281</f>
        <v>Model 2</v>
      </c>
      <c r="D323" s="146">
        <f>E1020</f>
        <v>-0.44800000000000001</v>
      </c>
      <c r="E323" s="146">
        <f>E1021</f>
        <v>0.432</v>
      </c>
      <c r="F323" s="320"/>
      <c r="G323" s="99"/>
      <c r="H323" s="10"/>
    </row>
    <row r="324" spans="1:13" x14ac:dyDescent="0.3">
      <c r="B324" s="81"/>
      <c r="C324" s="427" t="str">
        <f t="shared" si="56"/>
        <v>Model 3</v>
      </c>
      <c r="D324" s="146">
        <f>F1020</f>
        <v>-0.49099999999999999</v>
      </c>
      <c r="E324" s="146">
        <f>F1021</f>
        <v>0.437</v>
      </c>
      <c r="F324" s="320"/>
      <c r="G324" s="99"/>
      <c r="H324" s="10"/>
    </row>
    <row r="325" spans="1:13" x14ac:dyDescent="0.3">
      <c r="B325" s="81"/>
      <c r="C325" s="427" t="str">
        <f t="shared" si="56"/>
        <v>Model 4</v>
      </c>
      <c r="D325" s="146">
        <f>G1020</f>
        <v>-0.499</v>
      </c>
      <c r="E325" s="146">
        <f>G1021</f>
        <v>0.436</v>
      </c>
      <c r="F325" s="320"/>
      <c r="G325" s="99"/>
      <c r="H325" s="10"/>
    </row>
    <row r="326" spans="1:13" x14ac:dyDescent="0.3">
      <c r="B326" s="83"/>
      <c r="C326" s="428" t="str">
        <f t="shared" si="56"/>
        <v>Model 5</v>
      </c>
      <c r="D326" s="406">
        <f>H1020</f>
        <v>-0.47099999999999997</v>
      </c>
      <c r="E326" s="147">
        <f>H1021</f>
        <v>0.4</v>
      </c>
    </row>
    <row r="331" spans="1:13" x14ac:dyDescent="0.3">
      <c r="D331" s="246"/>
    </row>
    <row r="332" spans="1:13" s="8" customFormat="1" ht="19.5" x14ac:dyDescent="0.4">
      <c r="A332" s="8" t="s">
        <v>136</v>
      </c>
    </row>
    <row r="334" spans="1:13" x14ac:dyDescent="0.3">
      <c r="C334" s="301" t="s">
        <v>137</v>
      </c>
      <c r="D334" s="301" t="s">
        <v>138</v>
      </c>
      <c r="E334" s="301" t="s">
        <v>139</v>
      </c>
      <c r="F334" s="301" t="s">
        <v>140</v>
      </c>
      <c r="G334" s="249" t="s">
        <v>141</v>
      </c>
      <c r="H334" s="249" t="s">
        <v>974</v>
      </c>
      <c r="I334" s="250" t="s">
        <v>142</v>
      </c>
      <c r="J334" s="250" t="s">
        <v>143</v>
      </c>
      <c r="K334" s="250" t="s">
        <v>144</v>
      </c>
      <c r="M334" s="58"/>
    </row>
    <row r="335" spans="1:13" outlineLevel="1" x14ac:dyDescent="0.3">
      <c r="C335" s="286" t="s">
        <v>145</v>
      </c>
      <c r="D335" s="302">
        <f>COUNTA(C173:C178,C181:C186)</f>
        <v>12</v>
      </c>
      <c r="E335" s="271">
        <f>D190</f>
        <v>-1.9507778246493915E-2</v>
      </c>
      <c r="F335" s="271" t="str">
        <f t="shared" ref="F335:F340" si="57">LEFT(K335,FIND("(",K335)-2)</f>
        <v>-4.1% to -1.4%</v>
      </c>
      <c r="G335" s="112">
        <f>D240</f>
        <v>-1.7704100146037672E-2</v>
      </c>
      <c r="H335" s="112">
        <f>L190</f>
        <v>-8.6930051090610121E-3</v>
      </c>
      <c r="I335" s="246">
        <f>E191</f>
        <v>-4.0843134231075197E-2</v>
      </c>
      <c r="J335" s="246">
        <f>D191</f>
        <v>-1.406815331584663E-2</v>
      </c>
      <c r="K335" s="246" t="str">
        <f>D189</f>
        <v>-4.1% to -1.4% (-1.8%)</v>
      </c>
      <c r="L335" s="58"/>
      <c r="M335" s="58"/>
    </row>
    <row r="336" spans="1:13" outlineLevel="1" x14ac:dyDescent="0.3">
      <c r="C336" s="286" t="s">
        <v>146</v>
      </c>
      <c r="D336" s="302">
        <f>COUNTA(C378:C390)</f>
        <v>5</v>
      </c>
      <c r="E336" s="271">
        <f>E395</f>
        <v>-7.4525378411524568E-2</v>
      </c>
      <c r="F336" s="271" t="str">
        <f t="shared" si="57"/>
        <v>-9.3% to -6.6%</v>
      </c>
      <c r="G336" s="112">
        <f>I395</f>
        <v>-7.845729956940338E-2</v>
      </c>
      <c r="H336" s="112">
        <f>M395</f>
        <v>-5.715362611567406E-2</v>
      </c>
      <c r="I336" s="246">
        <f>F396</f>
        <v>-9.2759933227958433E-2</v>
      </c>
      <c r="J336" s="246">
        <f>E396</f>
        <v>-6.6449315446906368E-2</v>
      </c>
      <c r="K336" s="246" t="str">
        <f>E394</f>
        <v>-9.3% to -6.6% (-7.8%)</v>
      </c>
      <c r="L336" s="58"/>
      <c r="M336" s="58"/>
    </row>
    <row r="337" spans="3:13" outlineLevel="1" x14ac:dyDescent="0.3">
      <c r="C337" s="286" t="s">
        <v>147</v>
      </c>
      <c r="D337" s="302">
        <f>COUNTA(C403:C412)</f>
        <v>4</v>
      </c>
      <c r="E337" s="271">
        <f>E415</f>
        <v>-5.9260976439802715E-2</v>
      </c>
      <c r="F337" s="271" t="str">
        <f t="shared" si="57"/>
        <v>-6.2% to -2.5%</v>
      </c>
      <c r="G337" s="112">
        <f>I415</f>
        <v>-6.7362847969156259E-2</v>
      </c>
      <c r="H337" s="112">
        <f>M415</f>
        <v>0</v>
      </c>
      <c r="I337" s="246">
        <f>F416</f>
        <v>-6.1573110024407421E-2</v>
      </c>
      <c r="J337" s="246">
        <f>E416</f>
        <v>-2.4576691484668661E-2</v>
      </c>
      <c r="K337" s="246" t="str">
        <f>E414</f>
        <v>-6.2% to -2.5% (-6.7%)</v>
      </c>
      <c r="L337" s="58"/>
      <c r="M337" s="58"/>
    </row>
    <row r="338" spans="3:13" outlineLevel="1" x14ac:dyDescent="0.3">
      <c r="C338" s="286" t="s">
        <v>148</v>
      </c>
      <c r="D338" s="302">
        <f>COUNTA(C423:C433)</f>
        <v>4</v>
      </c>
      <c r="E338" s="271">
        <f>E438</f>
        <v>5.9347013049448248E-2</v>
      </c>
      <c r="F338" s="271" t="str">
        <f t="shared" si="57"/>
        <v>4.9% to 8.9%</v>
      </c>
      <c r="G338" s="112">
        <f>I438</f>
        <v>5.9480433194269579E-2</v>
      </c>
      <c r="H338" s="112">
        <f>M438</f>
        <v>4.2930045214450076E-2</v>
      </c>
      <c r="I338" s="246">
        <f>F439</f>
        <v>4.9171732746142838E-2</v>
      </c>
      <c r="J338" s="246">
        <f>E439</f>
        <v>8.9028452990777274E-2</v>
      </c>
      <c r="K338" s="246" t="str">
        <f>E437</f>
        <v>4.9% to 8.9% (5.9%)</v>
      </c>
      <c r="L338" s="58"/>
      <c r="M338" s="58"/>
    </row>
    <row r="339" spans="3:13" outlineLevel="1" x14ac:dyDescent="0.3">
      <c r="C339" s="286" t="s">
        <v>149</v>
      </c>
      <c r="D339" s="302">
        <f>COUNTA(C445:C451)</f>
        <v>5</v>
      </c>
      <c r="E339" s="271">
        <f>E456</f>
        <v>-3.3663341673976201E-2</v>
      </c>
      <c r="F339" s="271" t="str">
        <f t="shared" si="57"/>
        <v>-4.7% to -0.4%</v>
      </c>
      <c r="G339" s="112">
        <f>I456</f>
        <v>-3.2048645864637772E-2</v>
      </c>
      <c r="H339" s="112">
        <f>M456</f>
        <v>-5.871910513260447E-2</v>
      </c>
      <c r="I339" s="246">
        <f>F457</f>
        <v>-4.6535178352239963E-2</v>
      </c>
      <c r="J339" s="246">
        <f>E457</f>
        <v>-3.9193150831371894E-3</v>
      </c>
      <c r="K339" s="246" t="str">
        <f>E455</f>
        <v>-4.7% to -0.4% (-3.2%)</v>
      </c>
      <c r="L339" s="58"/>
      <c r="M339" s="58"/>
    </row>
    <row r="340" spans="3:13" outlineLevel="1" x14ac:dyDescent="0.3">
      <c r="C340" s="286" t="s">
        <v>150</v>
      </c>
      <c r="D340" s="302">
        <f>COUNTA(C463:C467)</f>
        <v>3</v>
      </c>
      <c r="E340" s="271">
        <f>E472</f>
        <v>-0.18680338155147255</v>
      </c>
      <c r="F340" s="271" t="str">
        <f t="shared" si="57"/>
        <v>-19.9% to -12.5%</v>
      </c>
      <c r="G340" s="112">
        <f>I472</f>
        <v>-0.18680338155147255</v>
      </c>
      <c r="H340" s="112">
        <f>M472</f>
        <v>-0.17880715550735762</v>
      </c>
      <c r="I340" s="246">
        <f>F473</f>
        <v>-0.19945665743277702</v>
      </c>
      <c r="J340" s="246">
        <f>E473</f>
        <v>-0.12536896523300203</v>
      </c>
      <c r="K340" s="246" t="str">
        <f>E471</f>
        <v>-19.9% to -12.5% (-18.7%)</v>
      </c>
      <c r="L340" s="58"/>
      <c r="M340" s="58"/>
    </row>
    <row r="341" spans="3:13" outlineLevel="1" x14ac:dyDescent="0.3">
      <c r="C341" s="286" t="s">
        <v>151</v>
      </c>
      <c r="D341" s="302">
        <v>1</v>
      </c>
      <c r="E341" s="271">
        <f t="shared" ref="E341" si="58">E479</f>
        <v>2.0018173750722998E-2</v>
      </c>
      <c r="F341" s="302" t="s">
        <v>49</v>
      </c>
      <c r="G341" s="112">
        <f t="shared" ref="G341:J343" si="59">$E341</f>
        <v>2.0018173750722998E-2</v>
      </c>
      <c r="H341" s="112">
        <f t="shared" si="59"/>
        <v>2.0018173750722998E-2</v>
      </c>
      <c r="I341" s="246">
        <f t="shared" si="59"/>
        <v>2.0018173750722998E-2</v>
      </c>
      <c r="J341" s="246">
        <f t="shared" si="59"/>
        <v>2.0018173750722998E-2</v>
      </c>
      <c r="K341" s="246" t="s">
        <v>49</v>
      </c>
      <c r="L341" s="58"/>
      <c r="M341" s="58"/>
    </row>
    <row r="342" spans="3:13" outlineLevel="1" x14ac:dyDescent="0.3">
      <c r="C342" s="286" t="s">
        <v>152</v>
      </c>
      <c r="D342" s="302">
        <v>1</v>
      </c>
      <c r="E342" s="271">
        <f>E482</f>
        <v>1.3500201437889291E-3</v>
      </c>
      <c r="F342" s="302" t="s">
        <v>49</v>
      </c>
      <c r="G342" s="112">
        <f t="shared" si="59"/>
        <v>1.3500201437889291E-3</v>
      </c>
      <c r="H342" s="112">
        <f t="shared" si="59"/>
        <v>1.3500201437889291E-3</v>
      </c>
      <c r="I342" s="246">
        <f t="shared" si="59"/>
        <v>1.3500201437889291E-3</v>
      </c>
      <c r="J342" s="246">
        <f t="shared" si="59"/>
        <v>1.3500201437889291E-3</v>
      </c>
      <c r="K342" s="246" t="s">
        <v>49</v>
      </c>
      <c r="L342" s="58"/>
      <c r="M342" s="58"/>
    </row>
    <row r="343" spans="3:13" outlineLevel="1" x14ac:dyDescent="0.3">
      <c r="C343" s="291" t="s">
        <v>153</v>
      </c>
      <c r="D343" s="303">
        <v>1</v>
      </c>
      <c r="E343" s="283">
        <f>E485</f>
        <v>1.387367869415804E-2</v>
      </c>
      <c r="F343" s="303" t="s">
        <v>49</v>
      </c>
      <c r="G343" s="138">
        <f t="shared" si="59"/>
        <v>1.387367869415804E-2</v>
      </c>
      <c r="H343" s="138">
        <f t="shared" si="59"/>
        <v>1.387367869415804E-2</v>
      </c>
      <c r="I343" s="251">
        <f t="shared" si="59"/>
        <v>1.387367869415804E-2</v>
      </c>
      <c r="J343" s="251">
        <f t="shared" si="59"/>
        <v>1.387367869415804E-2</v>
      </c>
      <c r="K343" s="251" t="s">
        <v>49</v>
      </c>
      <c r="L343" s="58"/>
      <c r="M343" s="58"/>
    </row>
    <row r="344" spans="3:13" x14ac:dyDescent="0.3">
      <c r="C344" s="3" t="s">
        <v>154</v>
      </c>
      <c r="E344" s="246" cm="1">
        <f t="array" ref="E344">PRODUCT(1+E335:E343)-1</f>
        <v>-0.26410176572870581</v>
      </c>
    </row>
    <row r="346" spans="3:13" x14ac:dyDescent="0.3">
      <c r="D346" s="4" t="s">
        <v>155</v>
      </c>
      <c r="J346" s="10"/>
    </row>
    <row r="347" spans="3:13" x14ac:dyDescent="0.3">
      <c r="C347" s="5"/>
      <c r="D347" s="5" t="s">
        <v>17</v>
      </c>
      <c r="E347" s="5" t="s">
        <v>156</v>
      </c>
      <c r="F347" s="247" t="s">
        <v>157</v>
      </c>
      <c r="G347" s="247" t="s">
        <v>158</v>
      </c>
    </row>
    <row r="348" spans="3:13" outlineLevel="1" x14ac:dyDescent="0.3">
      <c r="C348" t="s">
        <v>145</v>
      </c>
      <c r="D348" s="239">
        <v>0.69741779493054856</v>
      </c>
      <c r="E348" s="239">
        <v>0.72099118576657761</v>
      </c>
      <c r="F348" s="248">
        <f>$D362*I335</f>
        <v>-2.8781327588494998E-2</v>
      </c>
      <c r="G348" s="248">
        <f t="shared" ref="G348:G356" si="60">$D362*J335</f>
        <v>-9.913542062119432E-3</v>
      </c>
      <c r="H348" s="58"/>
      <c r="I348" s="58"/>
    </row>
    <row r="349" spans="3:13" outlineLevel="1" x14ac:dyDescent="0.3">
      <c r="C349" t="s">
        <v>146</v>
      </c>
      <c r="D349" s="239">
        <v>0.92510371911156619</v>
      </c>
      <c r="E349" s="239">
        <v>0.91958451967642596</v>
      </c>
      <c r="F349" s="248">
        <f t="shared" ref="F349:F356" si="61">$D363*I336</f>
        <v>-8.5654847103650192E-2</v>
      </c>
      <c r="G349" s="248">
        <f t="shared" si="60"/>
        <v>-6.1359530528763577E-2</v>
      </c>
      <c r="H349" s="58"/>
      <c r="I349" s="58"/>
      <c r="J349" s="10"/>
    </row>
    <row r="350" spans="3:13" outlineLevel="1" x14ac:dyDescent="0.3">
      <c r="C350" t="s">
        <v>147</v>
      </c>
      <c r="D350" s="239">
        <v>0.9665754638870977</v>
      </c>
      <c r="E350" s="239">
        <v>0.97795016146221081</v>
      </c>
      <c r="F350" s="248">
        <f t="shared" si="61"/>
        <v>-5.9730811692906227E-2</v>
      </c>
      <c r="G350" s="248">
        <f t="shared" si="60"/>
        <v>-2.3841344549974657E-2</v>
      </c>
      <c r="H350" s="58"/>
      <c r="I350" s="58"/>
    </row>
    <row r="351" spans="3:13" outlineLevel="1" x14ac:dyDescent="0.3">
      <c r="C351" t="s">
        <v>148</v>
      </c>
      <c r="D351" s="239">
        <v>0.96268227924552274</v>
      </c>
      <c r="E351" s="239">
        <v>0.91704440558203137</v>
      </c>
      <c r="F351" s="248">
        <f t="shared" si="61"/>
        <v>4.6645451162352206E-2</v>
      </c>
      <c r="G351" s="248">
        <f t="shared" si="60"/>
        <v>8.4454464468039822E-2</v>
      </c>
      <c r="H351" s="58"/>
      <c r="I351" s="58"/>
    </row>
    <row r="352" spans="3:13" outlineLevel="1" x14ac:dyDescent="0.3">
      <c r="C352" t="s">
        <v>149</v>
      </c>
      <c r="D352" s="239">
        <v>0.90334764354870112</v>
      </c>
      <c r="E352" s="239">
        <v>1</v>
      </c>
      <c r="F352" s="248">
        <f t="shared" si="61"/>
        <v>-4.3422994199356045E-2</v>
      </c>
      <c r="G352" s="248">
        <f t="shared" si="60"/>
        <v>-3.657198750422815E-3</v>
      </c>
      <c r="H352" s="58"/>
      <c r="I352" s="58"/>
    </row>
    <row r="353" spans="3:14" outlineLevel="1" x14ac:dyDescent="0.3">
      <c r="C353" t="s">
        <v>150</v>
      </c>
      <c r="D353" s="239">
        <v>0.11291124322186391</v>
      </c>
      <c r="E353" s="239">
        <v>8.2842856426583802E-2</v>
      </c>
      <c r="F353" s="248">
        <f t="shared" si="61"/>
        <v>-2.0673387480432695E-2</v>
      </c>
      <c r="G353" s="248">
        <f t="shared" si="60"/>
        <v>-1.2994307784167406E-2</v>
      </c>
      <c r="H353" s="58"/>
      <c r="I353" s="58"/>
    </row>
    <row r="354" spans="3:14" outlineLevel="1" x14ac:dyDescent="0.3">
      <c r="C354" t="s">
        <v>151</v>
      </c>
      <c r="D354" s="239">
        <v>0.96855847369868253</v>
      </c>
      <c r="E354" s="239">
        <v>0.89711371298149989</v>
      </c>
      <c r="F354" s="248">
        <f t="shared" si="61"/>
        <v>1.8948193245266375E-2</v>
      </c>
      <c r="G354" s="248">
        <f t="shared" si="60"/>
        <v>1.8948193245266375E-2</v>
      </c>
      <c r="H354" s="58"/>
      <c r="I354" s="58"/>
    </row>
    <row r="355" spans="3:14" outlineLevel="1" x14ac:dyDescent="0.3">
      <c r="C355" t="s">
        <v>152</v>
      </c>
      <c r="D355" s="239">
        <v>0.19235288545355825</v>
      </c>
      <c r="E355" s="239">
        <v>3.3808295849935797E-2</v>
      </c>
      <c r="F355" s="248">
        <f t="shared" si="61"/>
        <v>1.9374463367098841E-4</v>
      </c>
      <c r="G355" s="248">
        <f t="shared" si="60"/>
        <v>1.9374463367098841E-4</v>
      </c>
      <c r="H355" s="58"/>
      <c r="I355" s="58"/>
    </row>
    <row r="356" spans="3:14" outlineLevel="1" x14ac:dyDescent="0.3">
      <c r="C356" t="s">
        <v>153</v>
      </c>
      <c r="D356" s="24">
        <v>0.75209647162820081</v>
      </c>
      <c r="E356" s="24">
        <v>0.39008323631811653</v>
      </c>
      <c r="F356" s="248">
        <f t="shared" si="61"/>
        <v>8.8871513787054015E-3</v>
      </c>
      <c r="G356" s="248">
        <f t="shared" si="60"/>
        <v>8.8871513787054015E-3</v>
      </c>
      <c r="H356" s="58"/>
      <c r="I356" s="58"/>
    </row>
    <row r="357" spans="3:14" x14ac:dyDescent="0.3">
      <c r="C357" s="5" t="s">
        <v>159</v>
      </c>
      <c r="D357" s="5"/>
      <c r="E357" s="5"/>
      <c r="F357" s="252" cm="1">
        <f t="array" ref="F357">PRODUCT(1+F348:F356)-1</f>
        <v>-0.15820700421269007</v>
      </c>
      <c r="G357" s="252" cm="1">
        <f t="array" ref="G357">PRODUCT(1+G348:G356)-1</f>
        <v>-5.2558376827460673E-3</v>
      </c>
      <c r="H357" s="58"/>
      <c r="I357" s="58"/>
    </row>
    <row r="359" spans="3:14" x14ac:dyDescent="0.3">
      <c r="G359" s="26"/>
    </row>
    <row r="361" spans="3:14" x14ac:dyDescent="0.3">
      <c r="C361" s="262" t="s">
        <v>137</v>
      </c>
      <c r="D361" s="262" t="s">
        <v>160</v>
      </c>
      <c r="E361" s="262" t="s">
        <v>161</v>
      </c>
      <c r="F361" s="262" t="s">
        <v>162</v>
      </c>
      <c r="G361" s="262" t="s">
        <v>163</v>
      </c>
      <c r="H361" s="262" t="s">
        <v>975</v>
      </c>
    </row>
    <row r="362" spans="3:14" outlineLevel="1" x14ac:dyDescent="0.3">
      <c r="C362" s="263" t="str">
        <f t="shared" ref="C362:C371" si="62">C348</f>
        <v>SIPO</v>
      </c>
      <c r="D362" s="306">
        <f t="shared" ref="D362:D370" si="63">(D348*$D$144+E348*$E$144)/($D$144+$E$144)</f>
        <v>0.70467970028110472</v>
      </c>
      <c r="E362" s="271">
        <f t="shared" ref="E362:E370" si="64">D362*$E335</f>
        <v>-1.3746735327889587E-2</v>
      </c>
      <c r="F362" s="302" t="str">
        <f t="shared" ref="F362:F370" si="65">TEXT(D362*I335,"0.0%")&amp;" to "&amp;TEXT(D362*J335,"0.0%")</f>
        <v>-2.9% to -1.0%</v>
      </c>
      <c r="G362" s="271">
        <f>$D362*G335</f>
        <v>-1.247571998465649E-2</v>
      </c>
      <c r="H362" s="271">
        <f t="shared" ref="H362:H370" si="66">$D362*H335</f>
        <v>-6.1257842347952262E-3</v>
      </c>
      <c r="I362" s="58"/>
      <c r="J362" s="58"/>
      <c r="K362" s="28"/>
      <c r="L362" s="58"/>
      <c r="N362" s="58"/>
    </row>
    <row r="363" spans="3:14" outlineLevel="1" x14ac:dyDescent="0.3">
      <c r="C363" s="263" t="str">
        <f t="shared" si="62"/>
        <v>Business closure</v>
      </c>
      <c r="D363" s="306">
        <f t="shared" si="63"/>
        <v>0.92340350109084901</v>
      </c>
      <c r="E363" s="271">
        <f t="shared" si="64"/>
        <v>-6.8816995345322166E-2</v>
      </c>
      <c r="F363" s="302" t="str">
        <f t="shared" si="65"/>
        <v>-8.6% to -6.1%</v>
      </c>
      <c r="G363" s="271">
        <f t="shared" ref="G363:G370" si="67">$D363*G336</f>
        <v>-7.2447745108520645E-2</v>
      </c>
      <c r="H363" s="271">
        <f t="shared" si="66"/>
        <v>-5.2775858455250811E-2</v>
      </c>
      <c r="I363" s="58"/>
      <c r="J363" s="58"/>
      <c r="K363" s="28"/>
      <c r="L363" s="58"/>
      <c r="N363" s="58"/>
    </row>
    <row r="364" spans="3:14" outlineLevel="1" x14ac:dyDescent="0.3">
      <c r="C364" s="263" t="str">
        <f t="shared" si="62"/>
        <v>School closures</v>
      </c>
      <c r="D364" s="306">
        <f t="shared" si="63"/>
        <v>0.97007949848934194</v>
      </c>
      <c r="E364" s="271">
        <f t="shared" si="64"/>
        <v>-5.7487858304712529E-2</v>
      </c>
      <c r="F364" s="302" t="str">
        <f t="shared" si="65"/>
        <v>-6.0% to -2.4%</v>
      </c>
      <c r="G364" s="271">
        <f t="shared" si="67"/>
        <v>-6.5347317774732891E-2</v>
      </c>
      <c r="H364" s="271">
        <f t="shared" si="66"/>
        <v>0</v>
      </c>
      <c r="I364" s="58"/>
      <c r="J364" s="58"/>
      <c r="K364" s="28"/>
      <c r="L364" s="58"/>
      <c r="N364" s="58"/>
    </row>
    <row r="365" spans="3:14" outlineLevel="1" x14ac:dyDescent="0.3">
      <c r="C365" s="263" t="str">
        <f t="shared" si="62"/>
        <v>Limiting gatherings</v>
      </c>
      <c r="D365" s="306">
        <f t="shared" si="63"/>
        <v>0.94862329548496949</v>
      </c>
      <c r="E365" s="271">
        <f t="shared" si="64"/>
        <v>5.6297959096157084E-2</v>
      </c>
      <c r="F365" s="302" t="str">
        <f t="shared" si="65"/>
        <v>4.7% to 8.4%</v>
      </c>
      <c r="G365" s="271">
        <f t="shared" si="67"/>
        <v>5.6424524553621576E-2</v>
      </c>
      <c r="H365" s="271">
        <f t="shared" si="66"/>
        <v>4.0724440966650371E-2</v>
      </c>
      <c r="I365" s="58"/>
      <c r="J365" s="58"/>
      <c r="K365" s="28"/>
      <c r="L365" s="58"/>
      <c r="N365" s="58"/>
    </row>
    <row r="366" spans="3:14" outlineLevel="1" x14ac:dyDescent="0.3">
      <c r="C366" s="263" t="str">
        <f t="shared" si="62"/>
        <v>Travel restrictions</v>
      </c>
      <c r="D366" s="306">
        <f t="shared" si="63"/>
        <v>0.93312190340548862</v>
      </c>
      <c r="E366" s="271">
        <f t="shared" si="64"/>
        <v>-3.1412001457809979E-2</v>
      </c>
      <c r="F366" s="302" t="str">
        <f t="shared" si="65"/>
        <v>-4.3% to -0.4%</v>
      </c>
      <c r="G366" s="271">
        <f t="shared" si="67"/>
        <v>-2.9905293430779238E-2</v>
      </c>
      <c r="H366" s="271">
        <f t="shared" si="66"/>
        <v>-5.479208314760288E-2</v>
      </c>
      <c r="I366" s="58"/>
      <c r="J366" s="58"/>
      <c r="K366" s="28"/>
      <c r="L366" s="58"/>
      <c r="N366" s="58"/>
    </row>
    <row r="367" spans="3:14" outlineLevel="1" x14ac:dyDescent="0.3">
      <c r="C367" s="263" t="str">
        <f t="shared" si="62"/>
        <v>Face masks mandates</v>
      </c>
      <c r="D367" s="306">
        <f t="shared" si="63"/>
        <v>0.10364852066870849</v>
      </c>
      <c r="E367" s="271">
        <f t="shared" si="64"/>
        <v>-1.9361894153722439E-2</v>
      </c>
      <c r="F367" s="302" t="str">
        <f t="shared" si="65"/>
        <v>-2.1% to -1.3%</v>
      </c>
      <c r="G367" s="271">
        <f t="shared" si="67"/>
        <v>-1.9361894153722439E-2</v>
      </c>
      <c r="H367" s="271">
        <f t="shared" si="66"/>
        <v>-1.8533097153317329E-2</v>
      </c>
      <c r="I367" s="58"/>
      <c r="J367" s="58"/>
      <c r="K367" s="28"/>
      <c r="L367" s="58"/>
      <c r="N367" s="58"/>
    </row>
    <row r="368" spans="3:14" outlineLevel="1" x14ac:dyDescent="0.3">
      <c r="C368" s="263" t="str">
        <f t="shared" si="62"/>
        <v>Public events cancellation</v>
      </c>
      <c r="D368" s="306">
        <f t="shared" si="63"/>
        <v>0.94654954448989248</v>
      </c>
      <c r="E368" s="271">
        <f t="shared" si="64"/>
        <v>1.8948193245266375E-2</v>
      </c>
      <c r="F368" s="302" t="str">
        <f t="shared" si="65"/>
        <v>1.9% to 1.9%</v>
      </c>
      <c r="G368" s="271">
        <f t="shared" si="67"/>
        <v>1.8948193245266375E-2</v>
      </c>
      <c r="H368" s="271">
        <f t="shared" si="66"/>
        <v>1.8948193245266375E-2</v>
      </c>
      <c r="I368" s="58"/>
      <c r="J368" s="58"/>
      <c r="K368" s="28"/>
      <c r="L368" s="58"/>
      <c r="N368" s="58"/>
    </row>
    <row r="369" spans="2:18" outlineLevel="1" x14ac:dyDescent="0.3">
      <c r="C369" s="263" t="str">
        <f t="shared" si="62"/>
        <v>Public transportation closures</v>
      </c>
      <c r="D369" s="306">
        <f t="shared" si="63"/>
        <v>0.14351240206477964</v>
      </c>
      <c r="E369" s="271">
        <f t="shared" si="64"/>
        <v>1.9374463367098841E-4</v>
      </c>
      <c r="F369" s="302" t="str">
        <f t="shared" si="65"/>
        <v>0.0% to 0.0%</v>
      </c>
      <c r="G369" s="271">
        <f t="shared" si="67"/>
        <v>1.9374463367098841E-4</v>
      </c>
      <c r="H369" s="271">
        <f t="shared" si="66"/>
        <v>1.9374463367098841E-4</v>
      </c>
      <c r="I369" s="58"/>
      <c r="J369" s="58"/>
      <c r="K369" s="28"/>
      <c r="L369" s="58"/>
      <c r="N369" s="58"/>
    </row>
    <row r="370" spans="2:18" outlineLevel="1" x14ac:dyDescent="0.3">
      <c r="C370" s="268" t="str">
        <f t="shared" si="62"/>
        <v>Internal movement restrictions</v>
      </c>
      <c r="D370" s="307">
        <f t="shared" si="63"/>
        <v>0.64057641629307893</v>
      </c>
      <c r="E370" s="283">
        <f t="shared" si="64"/>
        <v>8.8871513787054015E-3</v>
      </c>
      <c r="F370" s="303" t="str">
        <f t="shared" si="65"/>
        <v>0.9% to 0.9%</v>
      </c>
      <c r="G370" s="283">
        <f t="shared" si="67"/>
        <v>8.8871513787054015E-3</v>
      </c>
      <c r="H370" s="283">
        <f t="shared" si="66"/>
        <v>8.8871513787054015E-3</v>
      </c>
      <c r="I370" s="58"/>
      <c r="J370" s="58"/>
      <c r="K370" s="28"/>
      <c r="L370" s="58"/>
      <c r="N370" s="58"/>
    </row>
    <row r="371" spans="2:18" x14ac:dyDescent="0.3">
      <c r="C371" s="304" t="str">
        <f t="shared" si="62"/>
        <v>Effect of average policy spring 2020</v>
      </c>
      <c r="D371" s="308"/>
      <c r="E371" s="269" cm="1">
        <f t="array" ref="E371">PRODUCT(1+E362:E370)-1</f>
        <v>-0.10705735073012035</v>
      </c>
      <c r="F371" s="305" t="str">
        <f>TEXT(F357,"0.0%")&amp;" to "&amp;TEXT(G357,"0.0%")</f>
        <v>-15.8% to -0.5%</v>
      </c>
      <c r="G371" s="269" cm="1">
        <f t="array" ref="G371">PRODUCT(1+G362:G370)-1</f>
        <v>-0.11533951752999205</v>
      </c>
      <c r="H371" s="269" cm="1">
        <f t="array" ref="H371">PRODUCT(1+H362:H370)-1</f>
        <v>-6.5451652121095716E-2</v>
      </c>
      <c r="I371" s="58"/>
      <c r="J371" s="58"/>
      <c r="L371" s="58"/>
      <c r="N371" s="58"/>
    </row>
    <row r="372" spans="2:18" x14ac:dyDescent="0.3">
      <c r="E372" s="19"/>
      <c r="G372" s="58"/>
      <c r="L372" s="26"/>
    </row>
    <row r="374" spans="2:18" s="154" customFormat="1" ht="19.5" x14ac:dyDescent="0.4">
      <c r="B374" s="154" t="s">
        <v>146</v>
      </c>
    </row>
    <row r="376" spans="2:18" x14ac:dyDescent="0.3">
      <c r="C376" s="4" t="s">
        <v>164</v>
      </c>
    </row>
    <row r="377" spans="2:18" x14ac:dyDescent="0.3">
      <c r="C377" s="95" t="s">
        <v>1</v>
      </c>
      <c r="D377" s="95" t="s">
        <v>165</v>
      </c>
      <c r="E377" s="126" t="s">
        <v>2</v>
      </c>
      <c r="F377" s="126" t="s">
        <v>3</v>
      </c>
      <c r="G377" s="126" t="s">
        <v>4</v>
      </c>
      <c r="H377" s="126" t="s">
        <v>114</v>
      </c>
      <c r="I377" s="127" t="s">
        <v>166</v>
      </c>
      <c r="J377" s="127" t="s">
        <v>167</v>
      </c>
      <c r="K377" s="127" t="s">
        <v>168</v>
      </c>
      <c r="L377" s="127" t="s">
        <v>169</v>
      </c>
      <c r="M377" s="127" t="s">
        <v>978</v>
      </c>
      <c r="P377" s="214" t="s">
        <v>35</v>
      </c>
      <c r="Q377" s="214" t="s">
        <v>36</v>
      </c>
      <c r="R377" s="5" t="s">
        <v>37</v>
      </c>
    </row>
    <row r="378" spans="2:18" outlineLevel="1" x14ac:dyDescent="0.3">
      <c r="B378" s="3">
        <v>1</v>
      </c>
      <c r="C378" s="186" t="str">
        <f>C509</f>
        <v>Chernozhukov et al. (2021)</v>
      </c>
      <c r="D378" s="159" t="s">
        <v>170</v>
      </c>
      <c r="E378" s="112">
        <f>P509</f>
        <v>-0.2857142857142857</v>
      </c>
      <c r="F378" s="160">
        <f>P522</f>
        <v>0.20842379504993483</v>
      </c>
      <c r="G378" s="168">
        <f t="shared" ref="G378:G390" si="68">1/F378</f>
        <v>4.7979166666666675</v>
      </c>
      <c r="H378" s="169"/>
      <c r="I378" s="165"/>
      <c r="J378" s="164" cm="1">
        <f t="array" ref="J378">(SUMPRODUCT(G378:G390,E378:E390,B378:B390)-G378*E378+SMALL(IF(B378:B390=1,G378:G390),2)*E378)/(SUMPRODUCT(G378:G390,B378:B390)-G378+SMALL(IF(B378:B390=1,G378:G390),2))</f>
        <v>-7.8189405066937015E-2</v>
      </c>
      <c r="K378" s="58" cm="1">
        <f t="array" ref="K378">(SUMPRODUCT(G378:G390,E378:E390,B378:B390)-G378*E378+G378*SMALL(IF(B378:B390=1,E378:E390),2))/SUMPRODUCT(G378:G390,B378:B390)</f>
        <v>-6.6449315446906368E-2</v>
      </c>
      <c r="M378" s="26">
        <f>IF(F378=Input!$H$14,Input!$H$14,1/F378^2)</f>
        <v>23.020004340277787</v>
      </c>
      <c r="P378" s="3">
        <f t="shared" ref="P378:P392" si="69">INDEX($T$496:$T$503,MATCH(C378,$C$496:$C$503,0))</f>
        <v>1</v>
      </c>
      <c r="Q378" s="10">
        <f t="shared" ref="Q378:Q392" si="70">IFERROR(INDEX($U$496:$U$503,MATCH(C378,$C$496:$C$503,0)),"na")</f>
        <v>0.5625</v>
      </c>
      <c r="R378" s="19">
        <f t="shared" ref="R378:R392" si="71">IFERROR(G378*Q378,"na")</f>
        <v>2.6988281250000004</v>
      </c>
    </row>
    <row r="379" spans="2:18" outlineLevel="1" x14ac:dyDescent="0.3">
      <c r="B379" s="3">
        <v>1</v>
      </c>
      <c r="C379" s="186" t="str">
        <f>C512</f>
        <v>Spiegel and Tookes (2021)</v>
      </c>
      <c r="D379" t="s">
        <v>171</v>
      </c>
      <c r="E379" s="112">
        <f>AVERAGE(E380:E383)</f>
        <v>-0.13262653061224489</v>
      </c>
      <c r="F379" s="160">
        <f>SQRT(SUMSQ(F380:F383)/COUNT(F380:F383))</f>
        <v>5.8124744003075816E-2</v>
      </c>
      <c r="G379" s="168">
        <f t="shared" si="68"/>
        <v>17.204376847613858</v>
      </c>
      <c r="H379" s="169"/>
      <c r="I379" s="165"/>
      <c r="J379" s="165"/>
      <c r="M379" s="26">
        <f>IF(F379=Input!$H$14,Input!$H$14,1/F379^2)</f>
        <v>295.99058271471171</v>
      </c>
      <c r="P379" s="3">
        <f t="shared" si="69"/>
        <v>0</v>
      </c>
      <c r="Q379" s="10">
        <f t="shared" si="70"/>
        <v>0.5625</v>
      </c>
      <c r="R379" s="19">
        <f t="shared" si="71"/>
        <v>9.6774619767827943</v>
      </c>
    </row>
    <row r="380" spans="2:18" outlineLevel="1" x14ac:dyDescent="0.3">
      <c r="C380" s="162"/>
      <c r="D380" s="163" t="s">
        <v>172</v>
      </c>
      <c r="E380" s="170">
        <f>Q512</f>
        <v>-0.5024505102040816</v>
      </c>
      <c r="F380" s="171">
        <f>Q525</f>
        <v>8.7354974489795914E-2</v>
      </c>
      <c r="G380" s="172">
        <f t="shared" si="68"/>
        <v>11.447544983449244</v>
      </c>
      <c r="H380" s="169"/>
      <c r="I380" s="165"/>
      <c r="J380" s="165"/>
      <c r="M380" s="26">
        <f>IF(F380=Input!$H$14,Input!$H$14,1/F380^2)</f>
        <v>131.04628614809397</v>
      </c>
      <c r="P380" s="3" t="e">
        <f t="shared" si="69"/>
        <v>#N/A</v>
      </c>
      <c r="Q380" s="10" t="str">
        <f t="shared" si="70"/>
        <v>na</v>
      </c>
      <c r="R380" s="19" t="str">
        <f t="shared" si="71"/>
        <v>na</v>
      </c>
    </row>
    <row r="381" spans="2:18" outlineLevel="1" x14ac:dyDescent="0.3">
      <c r="C381" s="162"/>
      <c r="D381" s="163" t="s">
        <v>173</v>
      </c>
      <c r="E381" s="170">
        <f>T512</f>
        <v>-4.9097321428571435E-2</v>
      </c>
      <c r="F381" s="171">
        <f>T525</f>
        <v>4.2083418367346942E-2</v>
      </c>
      <c r="G381" s="172">
        <f t="shared" si="68"/>
        <v>23.762328223220401</v>
      </c>
      <c r="H381" s="169"/>
      <c r="I381" s="165"/>
      <c r="J381" s="165"/>
      <c r="M381" s="26">
        <f>IF(F381=Input!$H$14,Input!$H$14,1/F381^2)</f>
        <v>564.64824258805675</v>
      </c>
      <c r="P381" s="3" t="e">
        <f t="shared" si="69"/>
        <v>#N/A</v>
      </c>
      <c r="Q381" s="10" t="str">
        <f t="shared" si="70"/>
        <v>na</v>
      </c>
      <c r="R381" s="19" t="str">
        <f t="shared" si="71"/>
        <v>na</v>
      </c>
    </row>
    <row r="382" spans="2:18" outlineLevel="1" x14ac:dyDescent="0.3">
      <c r="C382" s="162"/>
      <c r="D382" s="163" t="str">
        <f>V508</f>
        <v>Gyms closed</v>
      </c>
      <c r="E382" s="170">
        <f>V512</f>
        <v>-0.13772755102040815</v>
      </c>
      <c r="F382" s="171">
        <f>V525</f>
        <v>4.2721045918367347E-2</v>
      </c>
      <c r="G382" s="172">
        <f t="shared" si="68"/>
        <v>23.407666607948457</v>
      </c>
      <c r="H382" s="169"/>
      <c r="I382" s="165"/>
      <c r="J382" s="165"/>
      <c r="M382" s="26">
        <f>IF(F382=Input!$H$14,Input!$H$14,1/F382^2)</f>
        <v>547.91885602886521</v>
      </c>
      <c r="P382" s="3" t="e">
        <f t="shared" si="69"/>
        <v>#N/A</v>
      </c>
      <c r="Q382" s="10" t="str">
        <f t="shared" si="70"/>
        <v>na</v>
      </c>
      <c r="R382" s="19" t="str">
        <f t="shared" si="71"/>
        <v>na</v>
      </c>
    </row>
    <row r="383" spans="2:18" outlineLevel="1" x14ac:dyDescent="0.3">
      <c r="C383" s="162"/>
      <c r="D383" s="163" t="str">
        <f>W508</f>
        <v>Spas closed</v>
      </c>
      <c r="E383" s="170">
        <f>W512</f>
        <v>0.15876926020408164</v>
      </c>
      <c r="F383" s="171">
        <f>W525</f>
        <v>4.7822066326530611E-2</v>
      </c>
      <c r="G383" s="172">
        <f t="shared" si="68"/>
        <v>20.910848836433953</v>
      </c>
      <c r="H383" s="169"/>
      <c r="I383" s="165"/>
      <c r="J383" s="165"/>
      <c r="M383" s="26">
        <f>IF(F383=Input!$H$14,Input!$H$14,1/F383^2)</f>
        <v>437.26359906019127</v>
      </c>
      <c r="P383" s="3" t="e">
        <f t="shared" si="69"/>
        <v>#N/A</v>
      </c>
      <c r="Q383" s="10" t="str">
        <f t="shared" si="70"/>
        <v>na</v>
      </c>
      <c r="R383" s="19" t="str">
        <f t="shared" si="71"/>
        <v>na</v>
      </c>
    </row>
    <row r="384" spans="2:18" outlineLevel="1" x14ac:dyDescent="0.3">
      <c r="B384" s="3">
        <v>1</v>
      </c>
      <c r="C384" s="186" t="str">
        <f>C511</f>
        <v>Stokes et al. (2020)</v>
      </c>
      <c r="D384" s="162" t="s">
        <v>171</v>
      </c>
      <c r="E384" s="112">
        <f>AVERAGE(E385:E386)</f>
        <v>-4.8749383489410512E-2</v>
      </c>
      <c r="F384" s="160">
        <f>SQRT(SUMSQ(F385:F386)/COUNT(F385:F386))</f>
        <v>1.8219518226512535E-2</v>
      </c>
      <c r="G384" s="168">
        <f t="shared" si="68"/>
        <v>54.886193343182249</v>
      </c>
      <c r="H384" s="169"/>
      <c r="I384" s="164" cm="1">
        <f t="array" ref="I384">(SUMPRODUCT(G378:G390,E378:E390,B378:B390)-G384*E384+LARGE(IF(B378:B390=1,G378:G390),2)*E384)/(SUMPRODUCT(G378:G390,B378:B390)-G384+LARGE(IF(B378:B390=1,G378:G390),2))</f>
        <v>-9.2759933227958433E-2</v>
      </c>
      <c r="J384" s="83"/>
      <c r="L384" s="58"/>
      <c r="M384" s="26">
        <f>IF(F384=Input!$H$14,Input!$H$14,1/F384^2)</f>
        <v>3012.4942197051837</v>
      </c>
      <c r="P384" s="3">
        <f t="shared" si="69"/>
        <v>1</v>
      </c>
      <c r="Q384" s="10">
        <f t="shared" si="70"/>
        <v>0.5625</v>
      </c>
      <c r="R384" s="19">
        <f t="shared" si="71"/>
        <v>30.873483755540015</v>
      </c>
    </row>
    <row r="385" spans="2:20" outlineLevel="1" x14ac:dyDescent="0.3">
      <c r="C385" s="162"/>
      <c r="D385" s="163" t="s">
        <v>174</v>
      </c>
      <c r="E385" s="170">
        <f>R511</f>
        <v>-4.7763157595436631E-2</v>
      </c>
      <c r="F385" s="171">
        <f>R524</f>
        <v>1.9551838360732845E-2</v>
      </c>
      <c r="G385" s="172">
        <f t="shared" si="68"/>
        <v>51.146085680022871</v>
      </c>
      <c r="H385" s="169"/>
      <c r="I385" s="165"/>
      <c r="J385" s="165"/>
      <c r="M385" s="26">
        <f>IF(F385=Input!$H$14,Input!$H$14,1/F385^2)</f>
        <v>2615.9220803882408</v>
      </c>
      <c r="P385" s="3" t="e">
        <f t="shared" si="69"/>
        <v>#N/A</v>
      </c>
      <c r="Q385" s="10" t="str">
        <f t="shared" si="70"/>
        <v>na</v>
      </c>
      <c r="R385" s="19" t="str">
        <f t="shared" si="71"/>
        <v>na</v>
      </c>
      <c r="S385" s="10"/>
      <c r="T385" s="10"/>
    </row>
    <row r="386" spans="2:20" outlineLevel="1" x14ac:dyDescent="0.3">
      <c r="C386" s="162"/>
      <c r="D386" s="163" t="s">
        <v>175</v>
      </c>
      <c r="E386" s="170">
        <f>S511</f>
        <v>-4.9735609383384394E-2</v>
      </c>
      <c r="F386" s="171">
        <f>S524</f>
        <v>1.6781755138489552E-2</v>
      </c>
      <c r="G386" s="172">
        <f t="shared" si="68"/>
        <v>59.58852287782846</v>
      </c>
      <c r="H386" s="169"/>
      <c r="I386" s="165"/>
      <c r="J386" s="165"/>
      <c r="M386" s="26">
        <f>IF(F386=Input!$H$14,Input!$H$14,1/F386^2)</f>
        <v>3550.7920587614863</v>
      </c>
      <c r="P386" s="3" t="e">
        <f t="shared" si="69"/>
        <v>#N/A</v>
      </c>
      <c r="Q386" s="10" t="str">
        <f t="shared" si="70"/>
        <v>na</v>
      </c>
      <c r="R386" s="19" t="str">
        <f t="shared" si="71"/>
        <v>na</v>
      </c>
      <c r="S386" s="10"/>
      <c r="T386" s="10"/>
    </row>
    <row r="387" spans="2:20" outlineLevel="1" x14ac:dyDescent="0.3">
      <c r="B387" s="3">
        <v>1</v>
      </c>
      <c r="C387" s="159" t="str">
        <f>C514</f>
        <v>Guo et al. (2021)</v>
      </c>
      <c r="D387" t="s">
        <v>171</v>
      </c>
      <c r="E387" s="112">
        <f>AVERAGE(E388:E389)</f>
        <v>-4.0000000000000001E-3</v>
      </c>
      <c r="F387" s="160">
        <f>SQRT(SUMSQ(F388:F389)/COUNT(F388:F389))</f>
        <v>0.15616017418023073</v>
      </c>
      <c r="G387" s="168">
        <f t="shared" si="68"/>
        <v>6.4036813819499194</v>
      </c>
      <c r="H387" s="169"/>
      <c r="I387" s="83"/>
      <c r="J387" s="83"/>
      <c r="L387" s="58" cm="1">
        <f t="array" ref="L387">(SUMPRODUCT(G378:G390,E378:E390,B378:B390)-G387*E387+G387*LARGE(IF(B378:B390=1,E378:E390),2))/SUMPRODUCT(G378:G390,B378:B390)</f>
        <v>-7.7676196374958539E-2</v>
      </c>
      <c r="M387" s="26">
        <f>IF(F387=Input!$H$14,Input!$H$14,1/F387^2)</f>
        <v>41.007135241532026</v>
      </c>
      <c r="P387" s="3">
        <f t="shared" si="69"/>
        <v>0</v>
      </c>
      <c r="Q387" s="10">
        <f t="shared" si="70"/>
        <v>0.140625</v>
      </c>
      <c r="R387" s="19">
        <f t="shared" si="71"/>
        <v>0.90051769433670747</v>
      </c>
    </row>
    <row r="388" spans="2:20" outlineLevel="1" x14ac:dyDescent="0.3">
      <c r="C388" s="162"/>
      <c r="D388" s="163" t="s">
        <v>146</v>
      </c>
      <c r="E388" s="170">
        <f>P514</f>
        <v>4.7E-2</v>
      </c>
      <c r="F388" s="171">
        <f>P527</f>
        <v>0.13600000000000001</v>
      </c>
      <c r="G388" s="173">
        <f t="shared" si="68"/>
        <v>7.3529411764705879</v>
      </c>
      <c r="H388" s="169"/>
      <c r="I388" s="83"/>
      <c r="J388" s="83"/>
      <c r="M388" s="26">
        <f>IF(F388=Input!$H$14,Input!$H$14,1/F388^2)</f>
        <v>54.065743944636672</v>
      </c>
      <c r="P388" s="3" t="e">
        <f t="shared" si="69"/>
        <v>#N/A</v>
      </c>
      <c r="Q388" s="10" t="str">
        <f t="shared" si="70"/>
        <v>na</v>
      </c>
      <c r="R388" s="19" t="str">
        <f t="shared" si="71"/>
        <v>na</v>
      </c>
    </row>
    <row r="389" spans="2:20" outlineLevel="1" x14ac:dyDescent="0.3">
      <c r="C389" s="162"/>
      <c r="D389" s="163" t="s">
        <v>176</v>
      </c>
      <c r="E389" s="170">
        <f>Q514</f>
        <v>-5.5E-2</v>
      </c>
      <c r="F389" s="171">
        <f>Q527</f>
        <v>0.17399999999999999</v>
      </c>
      <c r="G389" s="173">
        <f t="shared" si="68"/>
        <v>5.7471264367816097</v>
      </c>
      <c r="H389" s="169"/>
      <c r="I389" s="83"/>
      <c r="J389" s="83"/>
      <c r="K389" s="83"/>
      <c r="L389" s="83"/>
      <c r="M389" s="26">
        <f>IF(F389=Input!$H$14,Input!$H$14,1/F389^2)</f>
        <v>33.029462280354082</v>
      </c>
      <c r="P389" s="3" t="e">
        <f t="shared" si="69"/>
        <v>#N/A</v>
      </c>
      <c r="Q389" s="10" t="str">
        <f t="shared" si="70"/>
        <v>na</v>
      </c>
      <c r="R389" s="19" t="str">
        <f t="shared" si="71"/>
        <v>na</v>
      </c>
    </row>
    <row r="390" spans="2:20" outlineLevel="1" x14ac:dyDescent="0.3">
      <c r="B390" s="3">
        <v>1</v>
      </c>
      <c r="C390" s="162" t="str">
        <f>C515</f>
        <v>An et al. (2021)</v>
      </c>
      <c r="D390" t="s">
        <v>177</v>
      </c>
      <c r="E390" s="112">
        <f>AVERAGE(E391:E392)</f>
        <v>-5.5390765533310848E-2</v>
      </c>
      <c r="F390" s="160">
        <f>SQRT(SUMSQ(F391:F392)/COUNT(F391:F392))</f>
        <v>0.13061828772755896</v>
      </c>
      <c r="G390" s="168">
        <f t="shared" si="68"/>
        <v>7.6558957968104764</v>
      </c>
      <c r="H390" s="169"/>
      <c r="I390" s="83"/>
      <c r="J390" s="83"/>
      <c r="K390" s="83"/>
      <c r="L390" s="83"/>
      <c r="M390" s="26">
        <f>IF(F390=Input!$H$14,Input!$H$14,1/F390^2)</f>
        <v>58.612740451620311</v>
      </c>
      <c r="P390" s="3">
        <f t="shared" si="69"/>
        <v>0</v>
      </c>
      <c r="Q390" s="10">
        <f t="shared" si="70"/>
        <v>0.5625</v>
      </c>
      <c r="R390" s="19">
        <f t="shared" si="71"/>
        <v>4.3064413857058934</v>
      </c>
    </row>
    <row r="391" spans="2:20" outlineLevel="1" x14ac:dyDescent="0.3">
      <c r="C391" s="162"/>
      <c r="D391" s="163" t="s">
        <v>178</v>
      </c>
      <c r="E391" s="170">
        <f>R515</f>
        <v>-7.5161053828260244E-2</v>
      </c>
      <c r="F391" s="171">
        <f>R528</f>
        <v>5.7604013115523808E-2</v>
      </c>
      <c r="G391" s="173">
        <f t="shared" ref="G391:G392" si="72">1/F391</f>
        <v>17.359901609537481</v>
      </c>
      <c r="H391" s="169"/>
      <c r="I391" s="83"/>
      <c r="J391" s="83"/>
      <c r="M391" s="26">
        <f>IF(F391=Input!$H$14,Input!$H$14,1/F391^2)</f>
        <v>301.36618389282205</v>
      </c>
      <c r="P391" s="3" t="e">
        <f t="shared" si="69"/>
        <v>#N/A</v>
      </c>
      <c r="Q391" s="10" t="str">
        <f t="shared" si="70"/>
        <v>na</v>
      </c>
      <c r="R391" s="19" t="str">
        <f t="shared" si="71"/>
        <v>na</v>
      </c>
    </row>
    <row r="392" spans="2:20" outlineLevel="1" x14ac:dyDescent="0.3">
      <c r="C392" s="162"/>
      <c r="D392" s="163" t="s">
        <v>179</v>
      </c>
      <c r="E392" s="170">
        <f>S515</f>
        <v>-3.5620477238361453E-2</v>
      </c>
      <c r="F392" s="171">
        <f>S528</f>
        <v>0.17551083114937754</v>
      </c>
      <c r="G392" s="173">
        <f t="shared" si="72"/>
        <v>5.6976540618675457</v>
      </c>
      <c r="H392" s="169"/>
      <c r="I392" s="83"/>
      <c r="J392" s="83"/>
      <c r="K392" s="83"/>
      <c r="L392" s="83"/>
      <c r="M392" s="26">
        <f>IF(F392=Input!$H$14,Input!$H$14,1/F392^2)</f>
        <v>32.46326180871575</v>
      </c>
      <c r="P392" s="3" t="e">
        <f t="shared" si="69"/>
        <v>#N/A</v>
      </c>
      <c r="Q392" s="10" t="str">
        <f t="shared" si="70"/>
        <v>na</v>
      </c>
      <c r="R392" s="19" t="str">
        <f t="shared" si="71"/>
        <v>na</v>
      </c>
    </row>
    <row r="393" spans="2:20" x14ac:dyDescent="0.3">
      <c r="C393" s="9" t="str">
        <f>$C$33</f>
        <v>Precision-weighted average (arithmetic average / median)</v>
      </c>
      <c r="D393" s="9"/>
      <c r="E393" s="175" t="str" cm="1">
        <f t="array" ref="E393">TEXT(SUMPRODUCT(G378:G390,E378:E390,B378:B390)/SUMPRODUCT(G378:G390,B378:B390),"0.0%") &amp; " (" &amp; TEXT(AVERAGEIF(B378:B390,1,E378:E390),"0.0%") &amp; "/"&amp;TEXT(MEDIAN(IF(B378:B390=1,E378:E390)),"0.0%")&amp;"/"&amp;TEXT(SUMPRODUCT(M378:M390,E378:E390,B378:B390)/SUMPRODUCT(M378:M390,B378:B390),"0.0%")&amp;")"</f>
        <v>-7.5% (-10.5%/-5.5%/-5.7%)</v>
      </c>
      <c r="F393" s="176"/>
      <c r="G393" s="177"/>
      <c r="H393" s="177"/>
      <c r="I393" s="178">
        <f>SUM(I378:I389)</f>
        <v>-9.2759933227958433E-2</v>
      </c>
      <c r="J393" s="178">
        <f>SUM(J378:J389)</f>
        <v>-7.8189405066937015E-2</v>
      </c>
      <c r="K393" s="178">
        <f>SUM(K378:K389)</f>
        <v>-6.6449315446906368E-2</v>
      </c>
      <c r="L393" s="178">
        <f>SUM(L378:L389)</f>
        <v>-7.7676196374958539E-2</v>
      </c>
      <c r="M393" s="178"/>
    </row>
    <row r="394" spans="2:20" x14ac:dyDescent="0.3">
      <c r="C394" s="12" t="s">
        <v>6</v>
      </c>
      <c r="D394" s="12"/>
      <c r="E394" s="140" t="str">
        <f>TEXT(MIN(I393:L393),"0.0%") &amp;" to "&amp;TEXT(MAX(I393:L393),"0.0%")&amp;" ("&amp;TEXT(I395,"0.0%")&amp;")"</f>
        <v>-9.3% to -6.6% (-7.8%)</v>
      </c>
      <c r="F394" s="43"/>
      <c r="G394" s="138"/>
      <c r="H394" s="138"/>
      <c r="I394" s="187"/>
      <c r="J394" s="167"/>
      <c r="K394" s="167"/>
      <c r="L394" s="167"/>
      <c r="M394" s="167"/>
    </row>
    <row r="395" spans="2:20" x14ac:dyDescent="0.3">
      <c r="C395" s="3" t="s">
        <v>180</v>
      </c>
      <c r="E395" s="58">
        <f>SUMPRODUCT($E$378:$E$392,$B$378:$B$392,G378:G392)/SUMPRODUCT($B$378:$B$392,G378:G392)</f>
        <v>-7.4525378411524568E-2</v>
      </c>
      <c r="F395" s="58">
        <f>AVERAGE(E378:E379,E384,E387,E390)</f>
        <v>-0.10529619306985039</v>
      </c>
      <c r="G395" s="58">
        <f>MEDIAN(E378:E379,E384,E387,E390)</f>
        <v>-5.5390765533310848E-2</v>
      </c>
      <c r="H395" s="3" t="s">
        <v>85</v>
      </c>
      <c r="I395" s="58">
        <f>SUMPRODUCT(E378:E392,B378:B392,R378:R392)/SUMPRODUCT(B378:B392,R378:R392)</f>
        <v>-7.845729956940338E-2</v>
      </c>
      <c r="J395" s="58"/>
      <c r="L395" s="58"/>
      <c r="M395" s="58">
        <f>SUMPRODUCT($E$378:$E$392,$B$378:$B$392,M378:M392)/SUMPRODUCT($B$378:$B$392,M378:M392)</f>
        <v>-5.715362611567406E-2</v>
      </c>
    </row>
    <row r="396" spans="2:20" x14ac:dyDescent="0.3">
      <c r="C396" s="74" t="s">
        <v>7</v>
      </c>
      <c r="D396" s="212"/>
      <c r="E396" s="213">
        <f>MAX(I393:L393)</f>
        <v>-6.6449315446906368E-2</v>
      </c>
      <c r="F396" s="213">
        <f>MIN(I393:L393)</f>
        <v>-9.2759933227958433E-2</v>
      </c>
      <c r="G396" s="212"/>
    </row>
    <row r="399" spans="2:20" s="154" customFormat="1" ht="19.5" x14ac:dyDescent="0.4">
      <c r="B399" s="154" t="s">
        <v>147</v>
      </c>
    </row>
    <row r="401" spans="2:20" x14ac:dyDescent="0.3">
      <c r="C401" s="4" t="s">
        <v>147</v>
      </c>
      <c r="F401" s="134"/>
      <c r="G401" s="26"/>
    </row>
    <row r="402" spans="2:20" x14ac:dyDescent="0.3">
      <c r="C402" s="95" t="s">
        <v>1</v>
      </c>
      <c r="D402" s="95" t="s">
        <v>165</v>
      </c>
      <c r="E402" s="126" t="s">
        <v>2</v>
      </c>
      <c r="F402" s="126" t="s">
        <v>3</v>
      </c>
      <c r="G402" s="126" t="s">
        <v>4</v>
      </c>
      <c r="H402" s="126" t="s">
        <v>114</v>
      </c>
      <c r="I402" s="127" t="str">
        <f>I$377</f>
        <v>Largest weight equal to 2nd largest</v>
      </c>
      <c r="J402" s="127" t="str">
        <f>J$377</f>
        <v>Lowest weight equal to 2nd lowest</v>
      </c>
      <c r="K402" s="127" t="str">
        <f>K$377</f>
        <v>Smallest (most negative) estimate equal to 2nd smallest</v>
      </c>
      <c r="L402" s="127" t="str">
        <f>L$377</f>
        <v>Highest (least negative) estimate equal to 2nd highest</v>
      </c>
      <c r="M402" s="127" t="s">
        <v>978</v>
      </c>
      <c r="P402" s="214" t="s">
        <v>35</v>
      </c>
      <c r="Q402" s="214" t="s">
        <v>36</v>
      </c>
      <c r="R402" s="5" t="s">
        <v>37</v>
      </c>
    </row>
    <row r="403" spans="2:20" outlineLevel="1" x14ac:dyDescent="0.3">
      <c r="B403" s="3">
        <v>1</v>
      </c>
      <c r="C403" s="162" t="str">
        <f>C511</f>
        <v>Stokes et al. (2020)</v>
      </c>
      <c r="D403" s="162" t="s">
        <v>171</v>
      </c>
      <c r="E403" s="112">
        <f>AVERAGE(E404:E405)</f>
        <v>-0.10937406760313878</v>
      </c>
      <c r="F403" s="160">
        <f>SQRT(SUMSQ(F404:F405)/COUNT(F404:F405))</f>
        <v>1.566702533487551E-2</v>
      </c>
      <c r="G403" s="168">
        <f t="shared" ref="G403:G412" si="73">1/F403</f>
        <v>63.828325966509709</v>
      </c>
      <c r="H403" s="313"/>
      <c r="I403" s="164" cm="1">
        <f t="array" ref="I403">(SUMPRODUCT(G403:G412,E403:E412,B403:B412)-G403*E403+LARGE(IF(B403:B412=1,G403:G412),2)*E403)/(SUMPRODUCT(G403:G412,B403:B412)-G403+LARGE(IF(B403:B412=1,G403:G412),2))</f>
        <v>-5.3642145253058972E-2</v>
      </c>
      <c r="J403" s="165"/>
      <c r="K403" s="327" cm="1">
        <f t="array" ref="K403">(SUMPRODUCT(G403:G412,E403:E412,B403:B412)-G403*E403+G403*SMALL(IF(B403:B412=1,E403:E412),2))/SUMPRODUCT(G403:G412,B403:B412)</f>
        <v>-2.4576691484668661E-2</v>
      </c>
      <c r="L403" s="58"/>
      <c r="M403" s="26">
        <f>IF(F403=Input!$H$14,Input!$H$14,1/F403^2)</f>
        <v>4074.0551956870177</v>
      </c>
      <c r="P403" s="3">
        <f t="shared" ref="P403:P412" si="74">INDEX($T$496:$T$503,MATCH(C403,$C$496:$C$503,0))</f>
        <v>1</v>
      </c>
      <c r="Q403" s="10">
        <f t="shared" ref="Q403:Q412" si="75">IFERROR(INDEX($U$496:$U$503,MATCH(C403,$C$496:$C$503,0)),"na")</f>
        <v>0.5625</v>
      </c>
      <c r="R403" s="19">
        <f t="shared" ref="R403:R412" si="76">IFERROR(G403*Q403,"na")</f>
        <v>35.903433356161713</v>
      </c>
    </row>
    <row r="404" spans="2:20" outlineLevel="1" x14ac:dyDescent="0.3">
      <c r="C404" s="162"/>
      <c r="D404" s="163" t="s">
        <v>174</v>
      </c>
      <c r="E404" s="170">
        <f>AC511</f>
        <v>-2.2030293619600617E-2</v>
      </c>
      <c r="F404" s="171">
        <f>AC524</f>
        <v>1.6812691923721958E-2</v>
      </c>
      <c r="G404" s="172">
        <f t="shared" si="73"/>
        <v>59.47887492002662</v>
      </c>
      <c r="H404" s="169"/>
      <c r="I404" s="165"/>
      <c r="J404" s="165"/>
      <c r="M404" s="26">
        <f>IF(F404=Input!$H$14,Input!$H$14,1/F404^2)</f>
        <v>3537.7365617521709</v>
      </c>
      <c r="P404" s="3" t="e">
        <f t="shared" si="74"/>
        <v>#N/A</v>
      </c>
      <c r="Q404" s="10" t="str">
        <f t="shared" si="75"/>
        <v>na</v>
      </c>
      <c r="R404" s="19" t="str">
        <f t="shared" si="76"/>
        <v>na</v>
      </c>
      <c r="S404" s="10"/>
      <c r="T404" s="10"/>
    </row>
    <row r="405" spans="2:20" outlineLevel="1" x14ac:dyDescent="0.3">
      <c r="C405" s="162"/>
      <c r="D405" s="163" t="s">
        <v>175</v>
      </c>
      <c r="E405" s="170">
        <f>AD511</f>
        <v>-0.19671784158667693</v>
      </c>
      <c r="F405" s="171">
        <f>AD524</f>
        <v>1.4430687993483769E-2</v>
      </c>
      <c r="G405" s="172">
        <f t="shared" si="73"/>
        <v>69.29676536916007</v>
      </c>
      <c r="H405" s="169"/>
      <c r="I405" s="165"/>
      <c r="J405" s="165"/>
      <c r="M405" s="26">
        <f>IF(F405=Input!$H$14,Input!$H$14,1/F405^2)</f>
        <v>4802.0416906284217</v>
      </c>
      <c r="P405" s="3" t="e">
        <f t="shared" si="74"/>
        <v>#N/A</v>
      </c>
      <c r="Q405" s="10" t="str">
        <f t="shared" si="75"/>
        <v>na</v>
      </c>
      <c r="R405" s="19" t="str">
        <f t="shared" si="76"/>
        <v>na</v>
      </c>
      <c r="S405" s="10"/>
      <c r="T405" s="10"/>
    </row>
    <row r="406" spans="2:20" outlineLevel="1" x14ac:dyDescent="0.3">
      <c r="B406" s="3">
        <v>1</v>
      </c>
      <c r="C406" s="162" t="str">
        <f>C514</f>
        <v>Guo et al. (2021)</v>
      </c>
      <c r="D406" t="s">
        <v>171</v>
      </c>
      <c r="E406" s="112">
        <f>AVERAGE(E407:E408)</f>
        <v>0.10099999999999999</v>
      </c>
      <c r="F406" s="160">
        <f>SQRT(SUMSQ(F407:F408)/COUNT(F407:F408))</f>
        <v>0.20661679505790423</v>
      </c>
      <c r="G406" s="168">
        <f t="shared" si="73"/>
        <v>4.8398776087865976</v>
      </c>
      <c r="H406" s="313"/>
      <c r="I406" s="165"/>
      <c r="J406" s="164" cm="1">
        <f t="array" ref="J406">(SUMPRODUCT(G403:G412,E403:E412,B403:B412)-G406*E406+SMALL(IF(B403:B412=1,G403:G412),2)*E406)/(SUMPRODUCT(G403:G412,B403:B412)-G406+SMALL(IF(B403:B412=1,G403:G412),2))</f>
        <v>-4.937627982264934E-2</v>
      </c>
      <c r="L406" s="58" cm="1">
        <f t="array" ref="L406">(SUMPRODUCT(G403:G412,E403:E412,B403:B412)-E406*G406+LARGE(IF(B403:B412=1,E403:E412),2)*G406)/(SUMPRODUCT(G403:G412,B403:B412))</f>
        <v>-6.1573110024407421E-2</v>
      </c>
      <c r="M406" s="26">
        <f>IF(F406=Input!$H$14,Input!$H$14,1/F406^2)</f>
        <v>23.424415268033872</v>
      </c>
      <c r="P406" s="3">
        <f t="shared" si="74"/>
        <v>0</v>
      </c>
      <c r="Q406" s="10">
        <f t="shared" si="75"/>
        <v>0.140625</v>
      </c>
      <c r="R406" s="19">
        <f t="shared" si="76"/>
        <v>0.68060778873561523</v>
      </c>
    </row>
    <row r="407" spans="2:20" outlineLevel="1" x14ac:dyDescent="0.3">
      <c r="C407" s="162"/>
      <c r="D407" s="163" t="s">
        <v>181</v>
      </c>
      <c r="E407" s="170">
        <f>AB514</f>
        <v>-2E-3</v>
      </c>
      <c r="F407" s="171">
        <f>AB527</f>
        <v>0.23399999999999999</v>
      </c>
      <c r="G407" s="172">
        <f t="shared" si="73"/>
        <v>4.2735042735042734</v>
      </c>
      <c r="H407" s="169"/>
      <c r="I407" s="165"/>
      <c r="J407" s="165"/>
      <c r="M407" s="26">
        <f>IF(F407=Input!$H$14,Input!$H$14,1/F407^2)</f>
        <v>18.26283877565929</v>
      </c>
      <c r="P407" s="3" t="e">
        <f t="shared" si="74"/>
        <v>#N/A</v>
      </c>
      <c r="Q407" s="10" t="str">
        <f t="shared" si="75"/>
        <v>na</v>
      </c>
      <c r="R407" s="19" t="str">
        <f t="shared" si="76"/>
        <v>na</v>
      </c>
    </row>
    <row r="408" spans="2:20" outlineLevel="1" x14ac:dyDescent="0.3">
      <c r="C408" s="162"/>
      <c r="D408" s="163" t="s">
        <v>182</v>
      </c>
      <c r="E408" s="170">
        <f>AE514</f>
        <v>0.20399999999999999</v>
      </c>
      <c r="F408" s="171">
        <f>AE527</f>
        <v>0.17500000000000002</v>
      </c>
      <c r="G408" s="172">
        <f t="shared" si="73"/>
        <v>5.7142857142857135</v>
      </c>
      <c r="H408" s="169"/>
      <c r="I408" s="165"/>
      <c r="J408" s="165"/>
      <c r="L408" s="58"/>
      <c r="M408" s="26">
        <f>IF(F408=Input!$H$14,Input!$H$14,1/F408^2)</f>
        <v>32.65306122448979</v>
      </c>
      <c r="P408" s="3" t="e">
        <f t="shared" si="74"/>
        <v>#N/A</v>
      </c>
      <c r="Q408" s="10" t="str">
        <f t="shared" si="75"/>
        <v>na</v>
      </c>
      <c r="R408" s="19" t="str">
        <f t="shared" si="76"/>
        <v>na</v>
      </c>
    </row>
    <row r="409" spans="2:20" outlineLevel="1" x14ac:dyDescent="0.3">
      <c r="B409" s="3">
        <v>1</v>
      </c>
      <c r="C409" s="162" t="str">
        <f>C515</f>
        <v>An et al. (2021)</v>
      </c>
      <c r="D409" s="110" t="s">
        <v>183</v>
      </c>
      <c r="E409" s="112">
        <f>AVERAGE(E410:E411)</f>
        <v>3.7614799804670938E-2</v>
      </c>
      <c r="F409" s="160">
        <f>SQRT(SUMSQ(F410:F411)/COUNT(F410:F411))</f>
        <v>7.3738586927529173E-2</v>
      </c>
      <c r="G409" s="168">
        <f t="shared" si="73"/>
        <v>13.561420711557808</v>
      </c>
      <c r="H409" s="313"/>
      <c r="I409" s="165"/>
      <c r="J409" s="165"/>
      <c r="L409" s="58"/>
      <c r="M409" s="26">
        <f>IF(F409=Input!$H$14,Input!$H$14,1/F409^2)</f>
        <v>183.91213171586909</v>
      </c>
      <c r="P409" s="3">
        <f t="shared" si="74"/>
        <v>0</v>
      </c>
      <c r="Q409" s="10">
        <f t="shared" si="75"/>
        <v>0.5625</v>
      </c>
      <c r="R409" s="19">
        <f t="shared" si="76"/>
        <v>7.6282991502512676</v>
      </c>
    </row>
    <row r="410" spans="2:20" outlineLevel="1" x14ac:dyDescent="0.3">
      <c r="C410" s="162"/>
      <c r="D410" s="163" t="s">
        <v>178</v>
      </c>
      <c r="E410" s="170">
        <f>AC515</f>
        <v>2.8109449265795769E-2</v>
      </c>
      <c r="F410" s="171">
        <f>AC528</f>
        <v>7.5895839605882184E-2</v>
      </c>
      <c r="G410" s="172">
        <f t="shared" ref="G410:G411" si="77">1/F410</f>
        <v>13.175952795210881</v>
      </c>
      <c r="H410" s="169"/>
      <c r="I410" s="165"/>
      <c r="J410" s="165"/>
      <c r="M410" s="26">
        <f>IF(F410=Input!$H$14,Input!$H$14,1/F410^2)</f>
        <v>173.60573206162542</v>
      </c>
      <c r="P410" s="3" t="e">
        <f t="shared" si="74"/>
        <v>#N/A</v>
      </c>
      <c r="Q410" s="10" t="str">
        <f t="shared" si="75"/>
        <v>na</v>
      </c>
      <c r="R410" s="19" t="str">
        <f t="shared" si="76"/>
        <v>na</v>
      </c>
    </row>
    <row r="411" spans="2:20" outlineLevel="1" x14ac:dyDescent="0.3">
      <c r="C411" s="162"/>
      <c r="D411" s="163" t="s">
        <v>179</v>
      </c>
      <c r="E411" s="170">
        <f>AD515</f>
        <v>4.7120150343546108E-2</v>
      </c>
      <c r="F411" s="171">
        <f>AD528</f>
        <v>7.1516291393330503E-2</v>
      </c>
      <c r="G411" s="172">
        <f t="shared" si="77"/>
        <v>13.982827975518575</v>
      </c>
      <c r="H411" s="169"/>
      <c r="I411" s="165"/>
      <c r="J411" s="165"/>
      <c r="L411" s="58"/>
      <c r="M411" s="26">
        <f>IF(F411=Input!$H$14,Input!$H$14,1/F411^2)</f>
        <v>195.51947819294489</v>
      </c>
      <c r="P411" s="3" t="e">
        <f t="shared" si="74"/>
        <v>#N/A</v>
      </c>
      <c r="Q411" s="10" t="str">
        <f t="shared" si="75"/>
        <v>na</v>
      </c>
      <c r="R411" s="19" t="str">
        <f t="shared" si="76"/>
        <v>na</v>
      </c>
    </row>
    <row r="412" spans="2:20" outlineLevel="1" x14ac:dyDescent="0.3">
      <c r="B412" s="3">
        <v>1</v>
      </c>
      <c r="C412" s="162" t="str">
        <f>C516</f>
        <v>Ertem et al. (2022)</v>
      </c>
      <c r="D412" s="110" t="s">
        <v>184</v>
      </c>
      <c r="E412" s="112">
        <f>AB516</f>
        <v>-3.7275171570998022E-2</v>
      </c>
      <c r="F412" s="160">
        <f>AB529</f>
        <v>1.9820994534012402E-2</v>
      </c>
      <c r="G412" s="168">
        <f t="shared" si="73"/>
        <v>50.451555207485754</v>
      </c>
      <c r="H412" s="313"/>
      <c r="I412" s="165"/>
      <c r="J412" s="165"/>
      <c r="K412" s="58"/>
      <c r="L412" s="58"/>
      <c r="M412" s="26">
        <f>IF(F412=Input!$H$14,Input!$H$14,1/F412^2)</f>
        <v>2545.3594228539828</v>
      </c>
      <c r="P412" s="3">
        <f t="shared" si="74"/>
        <v>0</v>
      </c>
      <c r="Q412" s="10">
        <f t="shared" si="75"/>
        <v>0.390625</v>
      </c>
      <c r="R412" s="19">
        <f t="shared" si="76"/>
        <v>19.707638752924122</v>
      </c>
      <c r="S412" s="10"/>
      <c r="T412" s="10"/>
    </row>
    <row r="413" spans="2:20" x14ac:dyDescent="0.3">
      <c r="C413" s="9" t="str">
        <f>$C$33</f>
        <v>Precision-weighted average (arithmetic average / median)</v>
      </c>
      <c r="D413" s="9"/>
      <c r="E413" s="175" t="str" cm="1">
        <f t="array" ref="E413">TEXT(SUMPRODUCT(G403:G412,E403:E412,B403:B412)/SUMPRODUCT(G403:G412,B403:B412),"0.0%") &amp; " (" &amp; TEXT(AVERAGEIF(B403:B412,1,E403:E412),"0.0%") &amp; "/"&amp;TEXT(MEDIAN(IF(B403:B412=1,E403:E412)),"0.0%")&amp;"/"&amp;TEXT(SUMPRODUCT(M403:M412,E403:E412,B403:B412)/SUMPRODUCT(M403:M412,B403:B412),"0.0%")&amp;")"</f>
        <v>-5.9% (-0.2%/0.0%/-7.8%)</v>
      </c>
      <c r="F413" s="176"/>
      <c r="G413" s="177"/>
      <c r="H413" s="177"/>
      <c r="I413" s="178">
        <f>SUM(I403:I412)</f>
        <v>-5.3642145253058972E-2</v>
      </c>
      <c r="J413" s="178">
        <f>SUM(J403:J412)</f>
        <v>-4.937627982264934E-2</v>
      </c>
      <c r="K413" s="178">
        <f>SUM(K403:K412)</f>
        <v>-2.4576691484668661E-2</v>
      </c>
      <c r="L413" s="178">
        <f>SUM(L403:L412)</f>
        <v>-6.1573110024407421E-2</v>
      </c>
      <c r="M413" s="178"/>
    </row>
    <row r="414" spans="2:20" x14ac:dyDescent="0.3">
      <c r="C414" s="12" t="s">
        <v>6</v>
      </c>
      <c r="D414" s="12"/>
      <c r="E414" s="140" t="str">
        <f>TEXT(MIN(I413:L413),"0.0%") &amp;" to "&amp;TEXT(MAX(I413:L413),"0.0%")&amp;" ("&amp;TEXT(I415,"0.0%")&amp;")"</f>
        <v>-6.2% to -2.5% (-6.7%)</v>
      </c>
      <c r="F414" s="43"/>
      <c r="G414" s="138"/>
      <c r="H414" s="138"/>
      <c r="I414" s="167"/>
      <c r="J414" s="167"/>
      <c r="K414" s="167"/>
      <c r="L414" s="167"/>
      <c r="M414" s="167"/>
    </row>
    <row r="415" spans="2:20" x14ac:dyDescent="0.3">
      <c r="C415" s="3" t="s">
        <v>180</v>
      </c>
      <c r="E415" s="58">
        <f>SUMPRODUCT(E403:E412,B403:B412,G403:G412)/SUMPRODUCT(B403:B412,G403:G412)</f>
        <v>-5.9260976439802715E-2</v>
      </c>
      <c r="F415" s="58">
        <f>AVERAGE(E403,E406,E409,E412)</f>
        <v>-2.008609842366468E-3</v>
      </c>
      <c r="G415" s="58">
        <f>MEDIAN(E403,E406,E409,E412)</f>
        <v>1.6981411683646142E-4</v>
      </c>
      <c r="H415" s="3" t="s">
        <v>85</v>
      </c>
      <c r="I415" s="58">
        <f>SUMPRODUCT(E403:E412,B403:B412,R403:R412)/SUMPRODUCT(B403:B412,R403:R412)</f>
        <v>-6.7362847969156259E-2</v>
      </c>
      <c r="J415" s="58"/>
      <c r="K415" s="58"/>
      <c r="L415" s="58"/>
    </row>
    <row r="416" spans="2:20" x14ac:dyDescent="0.3">
      <c r="C416" s="74" t="s">
        <v>7</v>
      </c>
      <c r="D416" s="212"/>
      <c r="E416" s="213">
        <f>MAX(I413:L413)</f>
        <v>-2.4576691484668661E-2</v>
      </c>
      <c r="F416" s="213">
        <f>MIN(I413:L413)</f>
        <v>-6.1573110024407421E-2</v>
      </c>
      <c r="G416" s="212"/>
    </row>
    <row r="417" spans="2:20" x14ac:dyDescent="0.3">
      <c r="E417" s="58"/>
      <c r="F417" s="58"/>
      <c r="G417" s="58"/>
      <c r="I417" s="58"/>
      <c r="J417" s="58"/>
      <c r="K417" s="58"/>
      <c r="L417" s="58"/>
    </row>
    <row r="418" spans="2:20" x14ac:dyDescent="0.3">
      <c r="E418" s="58"/>
      <c r="F418" s="58"/>
      <c r="G418" s="58"/>
      <c r="I418" s="58"/>
      <c r="J418" s="58"/>
      <c r="K418" s="58"/>
      <c r="L418" s="58"/>
    </row>
    <row r="419" spans="2:20" s="154" customFormat="1" ht="19.5" x14ac:dyDescent="0.4">
      <c r="B419" s="154" t="s">
        <v>148</v>
      </c>
    </row>
    <row r="421" spans="2:20" x14ac:dyDescent="0.3">
      <c r="C421" s="4" t="s">
        <v>148</v>
      </c>
    </row>
    <row r="422" spans="2:20" x14ac:dyDescent="0.3">
      <c r="C422" s="95" t="s">
        <v>1</v>
      </c>
      <c r="D422" s="95" t="s">
        <v>165</v>
      </c>
      <c r="E422" s="126" t="s">
        <v>2</v>
      </c>
      <c r="F422" s="126" t="s">
        <v>3</v>
      </c>
      <c r="G422" s="126" t="s">
        <v>4</v>
      </c>
      <c r="H422" s="126" t="s">
        <v>114</v>
      </c>
      <c r="I422" s="127" t="str">
        <f>I$377</f>
        <v>Largest weight equal to 2nd largest</v>
      </c>
      <c r="J422" s="127" t="str">
        <f>J$377</f>
        <v>Lowest weight equal to 2nd lowest</v>
      </c>
      <c r="K422" s="127" t="str">
        <f>K$377</f>
        <v>Smallest (most negative) estimate equal to 2nd smallest</v>
      </c>
      <c r="L422" s="127" t="str">
        <f>L$377</f>
        <v>Highest (least negative) estimate equal to 2nd highest</v>
      </c>
      <c r="M422" s="127" t="s">
        <v>978</v>
      </c>
      <c r="P422" s="214" t="s">
        <v>35</v>
      </c>
      <c r="Q422" s="214" t="s">
        <v>36</v>
      </c>
      <c r="R422" s="5" t="s">
        <v>37</v>
      </c>
    </row>
    <row r="423" spans="2:20" outlineLevel="1" x14ac:dyDescent="0.3">
      <c r="B423" s="3">
        <v>1</v>
      </c>
      <c r="C423" s="162" t="str">
        <f>C511</f>
        <v>Stokes et al. (2020)</v>
      </c>
      <c r="D423" s="162" t="s">
        <v>171</v>
      </c>
      <c r="E423" s="112">
        <f>AVERAGE(E424:E425)</f>
        <v>3.8278034695944353E-2</v>
      </c>
      <c r="F423" s="160">
        <f>SQRT(SUMSQ(F424:F425)/COUNT(F424:F425))</f>
        <v>1.3070523945106818E-2</v>
      </c>
      <c r="G423" s="168">
        <f t="shared" ref="G423:G433" si="78">1/F423</f>
        <v>76.508027084435867</v>
      </c>
      <c r="H423" s="169"/>
      <c r="I423" s="58" cm="1">
        <f t="array" ref="I423">(SUMPRODUCT(G423:G433,E423:E433,B423:B433)-G423*E423+LARGE(IF(B423:B433=1,G423:G433),2)*E423)/(SUMPRODUCT(G423:G433,B423:B433)-G423+LARGE(IF(B423:B433=1,G423:G433),2))</f>
        <v>8.9028452990777274E-2</v>
      </c>
      <c r="K423" s="58" cm="1">
        <f t="array" ref="K423">(SUMPRODUCT(G423:G433,E423:E433,B423:B433)-G423*E423+G423*SMALL(IF(B423:B433=1,E423:E433),2))/SUMPRODUCT(G423:G433,B423:B433)</f>
        <v>7.2804547730950742E-2</v>
      </c>
      <c r="M423" s="26">
        <f>IF(F423=Input!$H$14,Input!$H$14,1/F423^2)</f>
        <v>5853.4782083527725</v>
      </c>
      <c r="P423" s="3">
        <f>INDEX($T$496:$T$503,MATCH(C423,$C$496:$C$503,0))</f>
        <v>1</v>
      </c>
      <c r="Q423" s="10">
        <f t="shared" ref="Q423" si="79">IFERROR(INDEX($U$496:$U$503,MATCH(C423,$C$496:$C$503,0)),"na")</f>
        <v>0.5625</v>
      </c>
      <c r="R423" s="19">
        <f>IFERROR(G423*Q423,"na")</f>
        <v>43.035765234995175</v>
      </c>
    </row>
    <row r="424" spans="2:20" outlineLevel="1" x14ac:dyDescent="0.3">
      <c r="C424" s="162"/>
      <c r="D424" s="163" t="s">
        <v>174</v>
      </c>
      <c r="E424" s="170">
        <f>AI511</f>
        <v>2.4436964351153626E-2</v>
      </c>
      <c r="F424" s="171">
        <f>AI524</f>
        <v>1.4026318824003996E-2</v>
      </c>
      <c r="G424" s="172">
        <f t="shared" si="78"/>
        <v>71.294543675183405</v>
      </c>
      <c r="H424" s="169"/>
      <c r="I424" s="165"/>
      <c r="J424" s="165"/>
      <c r="M424" s="26">
        <f>IF(F424=Input!$H$14,Input!$H$14,1/F424^2)</f>
        <v>5082.9119578526333</v>
      </c>
      <c r="P424" s="3" t="e">
        <f t="shared" ref="P424:P435" si="80">INDEX($T$496:$T$503,MATCH(C424,$C$496:$C$503,0))</f>
        <v>#N/A</v>
      </c>
      <c r="Q424" s="10" t="str">
        <f>IFERROR(INDEX($U$496:$U$503,MATCH(C424,$C$496:$C$503,0)),"na")</f>
        <v>na</v>
      </c>
      <c r="R424" s="19" t="str">
        <f t="shared" ref="R424:R435" si="81">IFERROR(G424*Q424,"na")</f>
        <v>na</v>
      </c>
      <c r="S424" s="10"/>
      <c r="T424" s="10"/>
    </row>
    <row r="425" spans="2:20" outlineLevel="1" x14ac:dyDescent="0.3">
      <c r="C425" s="162"/>
      <c r="D425" s="163" t="s">
        <v>175</v>
      </c>
      <c r="E425" s="170">
        <f>AJ511</f>
        <v>5.2119105040735081E-2</v>
      </c>
      <c r="F425" s="171">
        <f>AJ524</f>
        <v>1.2039085208046852E-2</v>
      </c>
      <c r="G425" s="172">
        <f t="shared" si="78"/>
        <v>83.062789466063919</v>
      </c>
      <c r="H425" s="169"/>
      <c r="I425" s="165"/>
      <c r="J425" s="165"/>
      <c r="M425" s="26">
        <f>IF(F425=Input!$H$14,Input!$H$14,1/F425^2)</f>
        <v>6899.4269938836587</v>
      </c>
      <c r="P425" s="3" t="e">
        <f t="shared" si="80"/>
        <v>#N/A</v>
      </c>
      <c r="Q425" s="10" t="str">
        <f t="shared" ref="Q425:Q435" si="82">IFERROR(INDEX($U$496:$U$503,MATCH(C425,$C$496:$C$503,0)),"na")</f>
        <v>na</v>
      </c>
      <c r="R425" s="19" t="str">
        <f t="shared" si="81"/>
        <v>na</v>
      </c>
      <c r="S425" s="10"/>
      <c r="T425" s="10"/>
    </row>
    <row r="426" spans="2:20" outlineLevel="1" x14ac:dyDescent="0.3">
      <c r="B426" s="3">
        <v>1</v>
      </c>
      <c r="C426" s="162" t="str">
        <f>C512</f>
        <v>Spiegel and Tookes (2021)</v>
      </c>
      <c r="D426" s="158" t="s">
        <v>171</v>
      </c>
      <c r="E426" s="112">
        <f>AVERAGE(E427:E429)</f>
        <v>0.15983197278911565</v>
      </c>
      <c r="F426" s="160">
        <f>SQRT(SUMSQ(F427:F429)/COUNT(F427:F429))</f>
        <v>7.0135166096381346E-2</v>
      </c>
      <c r="G426" s="168">
        <f t="shared" si="78"/>
        <v>14.258182530369675</v>
      </c>
      <c r="H426" s="169"/>
      <c r="I426" s="165"/>
      <c r="J426" s="165"/>
      <c r="L426" s="58" cm="1">
        <f t="array" ref="L426">(SUMPRODUCT(G423:G433,E423:E433,B423:B433)-G426*E426+G426*LARGE(IF(B423:B433=1,E423:E433),2))/SUMPRODUCT(G423:G433,B423:B433)</f>
        <v>4.9171732746142838E-2</v>
      </c>
      <c r="M426" s="26">
        <f>IF(F426=Input!$H$14,Input!$H$14,1/F426^2)</f>
        <v>203.29576906933897</v>
      </c>
      <c r="P426" s="3">
        <f t="shared" si="80"/>
        <v>0</v>
      </c>
      <c r="Q426" s="10">
        <f t="shared" si="82"/>
        <v>0.5625</v>
      </c>
      <c r="R426" s="19">
        <f t="shared" si="81"/>
        <v>8.0202276733329416</v>
      </c>
    </row>
    <row r="427" spans="2:20" outlineLevel="1" x14ac:dyDescent="0.3">
      <c r="C427" s="162"/>
      <c r="D427" s="163" t="str">
        <f>$AK$508</f>
        <v>Gatherings &lt;=10</v>
      </c>
      <c r="E427" s="170">
        <f>AK512</f>
        <v>4.4633928571428567E-2</v>
      </c>
      <c r="F427" s="171">
        <f>AK525</f>
        <v>8.0341071428571428E-2</v>
      </c>
      <c r="G427" s="172">
        <f t="shared" si="78"/>
        <v>12.446933831210687</v>
      </c>
      <c r="H427" s="169"/>
      <c r="I427" s="165"/>
      <c r="J427" s="165"/>
      <c r="M427" s="26">
        <f>IF(F427=Input!$H$14,Input!$H$14,1/F427^2)</f>
        <v>154.92616179853715</v>
      </c>
      <c r="P427" s="3" t="e">
        <f t="shared" si="80"/>
        <v>#N/A</v>
      </c>
      <c r="Q427" s="10" t="str">
        <f t="shared" si="82"/>
        <v>na</v>
      </c>
      <c r="R427" s="19" t="str">
        <f t="shared" si="81"/>
        <v>na</v>
      </c>
      <c r="S427" s="10"/>
      <c r="T427" s="10"/>
    </row>
    <row r="428" spans="2:20" outlineLevel="1" x14ac:dyDescent="0.3">
      <c r="C428" s="162"/>
      <c r="D428" s="163" t="str">
        <f>$AL$508</f>
        <v>Gatherings 11-100</v>
      </c>
      <c r="E428" s="170">
        <f>AL512</f>
        <v>0.19128826530612247</v>
      </c>
      <c r="F428" s="171">
        <f>AL525</f>
        <v>6.2487499999999994E-2</v>
      </c>
      <c r="G428" s="172">
        <f t="shared" si="78"/>
        <v>16.003200640128028</v>
      </c>
      <c r="H428" s="169"/>
      <c r="I428" s="165"/>
      <c r="J428" s="165"/>
      <c r="M428" s="26">
        <f>IF(F428=Input!$H$14,Input!$H$14,1/F428^2)</f>
        <v>256.10243072819412</v>
      </c>
      <c r="P428" s="3" t="e">
        <f t="shared" si="80"/>
        <v>#N/A</v>
      </c>
      <c r="Q428" s="10" t="str">
        <f t="shared" si="82"/>
        <v>na</v>
      </c>
      <c r="R428" s="19" t="str">
        <f t="shared" si="81"/>
        <v>na</v>
      </c>
      <c r="S428" s="10"/>
      <c r="T428" s="10"/>
    </row>
    <row r="429" spans="2:20" outlineLevel="1" x14ac:dyDescent="0.3">
      <c r="C429" s="162"/>
      <c r="D429" s="163" t="str">
        <f>$AM$508</f>
        <v>Gatherings (limit &gt; 100)</v>
      </c>
      <c r="E429" s="170">
        <f>AM512</f>
        <v>0.24357372448979592</v>
      </c>
      <c r="F429" s="171">
        <f>AM525</f>
        <v>6.6313265306122457E-2</v>
      </c>
      <c r="G429" s="172">
        <f t="shared" si="78"/>
        <v>15.079939064736022</v>
      </c>
      <c r="H429" s="169"/>
      <c r="I429" s="165"/>
      <c r="J429" s="165"/>
      <c r="L429" s="58"/>
      <c r="M429" s="26">
        <f>IF(F429=Input!$H$14,Input!$H$14,1/F429^2)</f>
        <v>227.40456219615155</v>
      </c>
      <c r="P429" s="3" t="e">
        <f t="shared" si="80"/>
        <v>#N/A</v>
      </c>
      <c r="Q429" s="10" t="str">
        <f t="shared" si="82"/>
        <v>na</v>
      </c>
      <c r="R429" s="19" t="str">
        <f t="shared" si="81"/>
        <v>na</v>
      </c>
    </row>
    <row r="430" spans="2:20" outlineLevel="1" x14ac:dyDescent="0.3">
      <c r="B430" s="3">
        <v>1</v>
      </c>
      <c r="C430" s="162" t="str">
        <f>C514</f>
        <v>Guo et al. (2021)</v>
      </c>
      <c r="D430" s="158" t="s">
        <v>171</v>
      </c>
      <c r="E430" s="112">
        <f>AVERAGE(E431:E432)</f>
        <v>5.6999999999999995E-2</v>
      </c>
      <c r="F430" s="160">
        <f>SQRT(SUMSQ(F431:F432)/COUNT(F431:F432))</f>
        <v>0.13100095419499816</v>
      </c>
      <c r="G430" s="168">
        <f t="shared" si="78"/>
        <v>7.6335321841356611</v>
      </c>
      <c r="H430" s="169"/>
      <c r="I430" s="165"/>
      <c r="J430" s="58" cm="1">
        <f t="array" ref="J430">(SUMPRODUCT(G423:G433,E423:E433,B423:B433)-G430*E430+SMALL(IF(B423:B433=1,G423:G433),2)*E430)/(SUMPRODUCT(G423:G433,B423:B433)-G430+SMALL(IF(B423:B433=1,G423:G433),2))</f>
        <v>5.9338142602561421E-2</v>
      </c>
      <c r="M430" s="26">
        <f>IF(F430=Input!$H$14,Input!$H$14,1/F430^2)</f>
        <v>58.270813606234952</v>
      </c>
      <c r="P430" s="3">
        <f t="shared" si="80"/>
        <v>0</v>
      </c>
      <c r="Q430" s="10">
        <f t="shared" si="82"/>
        <v>0.140625</v>
      </c>
      <c r="R430" s="19">
        <f t="shared" si="81"/>
        <v>1.0734654633940774</v>
      </c>
    </row>
    <row r="431" spans="2:20" outlineLevel="1" x14ac:dyDescent="0.3">
      <c r="C431" s="162"/>
      <c r="D431" s="163" t="str">
        <f>$AK$508</f>
        <v>Gatherings &lt;=10</v>
      </c>
      <c r="E431" s="170">
        <f>AK514</f>
        <v>8.6999999999999994E-2</v>
      </c>
      <c r="F431" s="171">
        <f>AK527</f>
        <v>0.1305</v>
      </c>
      <c r="G431" s="172">
        <f t="shared" si="78"/>
        <v>7.6628352490421454</v>
      </c>
      <c r="H431" s="169"/>
      <c r="I431" s="165"/>
      <c r="J431" s="165"/>
      <c r="M431" s="26">
        <f>IF(F431=Input!$H$14,Input!$H$14,1/F431^2)</f>
        <v>58.719044053962797</v>
      </c>
      <c r="P431" s="3" t="e">
        <f t="shared" si="80"/>
        <v>#N/A</v>
      </c>
      <c r="Q431" s="10" t="str">
        <f t="shared" si="82"/>
        <v>na</v>
      </c>
      <c r="R431" s="19" t="str">
        <f t="shared" si="81"/>
        <v>na</v>
      </c>
      <c r="S431" s="10"/>
      <c r="T431" s="10"/>
    </row>
    <row r="432" spans="2:20" outlineLevel="1" x14ac:dyDescent="0.3">
      <c r="C432" s="162"/>
      <c r="D432" s="163" t="str">
        <f>$AL$508</f>
        <v>Gatherings 11-100</v>
      </c>
      <c r="E432" s="170">
        <f>AL514</f>
        <v>2.7E-2</v>
      </c>
      <c r="F432" s="171">
        <f>AL527</f>
        <v>0.13150000000000001</v>
      </c>
      <c r="G432" s="172">
        <f t="shared" si="78"/>
        <v>7.6045627376425848</v>
      </c>
      <c r="H432" s="169"/>
      <c r="I432" s="165"/>
      <c r="J432" s="165"/>
      <c r="M432" s="26">
        <f>IF(F432=Input!$H$14,Input!$H$14,1/F432^2)</f>
        <v>57.829374430742085</v>
      </c>
      <c r="P432" s="3" t="e">
        <f t="shared" si="80"/>
        <v>#N/A</v>
      </c>
      <c r="Q432" s="10" t="str">
        <f t="shared" si="82"/>
        <v>na</v>
      </c>
      <c r="R432" s="19" t="str">
        <f t="shared" si="81"/>
        <v>na</v>
      </c>
      <c r="S432" s="10"/>
      <c r="T432" s="10"/>
    </row>
    <row r="433" spans="2:20" outlineLevel="1" x14ac:dyDescent="0.3">
      <c r="B433" s="3">
        <v>1</v>
      </c>
      <c r="C433" s="162" t="str">
        <f>C515</f>
        <v>An et al. (2021)</v>
      </c>
      <c r="D433" s="158" t="s">
        <v>148</v>
      </c>
      <c r="E433" s="112">
        <f>AVERAGE(E434:E435)</f>
        <v>8.3873689133817514E-2</v>
      </c>
      <c r="F433" s="160">
        <f>SQRT(SUMSQ(F434:F435)/COUNT(F434:F435))</f>
        <v>0.12441937789339239</v>
      </c>
      <c r="G433" s="168">
        <f t="shared" si="78"/>
        <v>8.0373332267972035</v>
      </c>
      <c r="H433" s="169"/>
      <c r="I433" s="165"/>
      <c r="J433" s="165"/>
      <c r="M433" s="26">
        <f>IF(F433=Input!$H$14,Input!$H$14,1/F433^2)</f>
        <v>64.598725398578338</v>
      </c>
      <c r="P433" s="3">
        <f t="shared" si="80"/>
        <v>0</v>
      </c>
      <c r="Q433" s="10">
        <f t="shared" si="82"/>
        <v>0.5625</v>
      </c>
      <c r="R433" s="19">
        <f t="shared" si="81"/>
        <v>4.5209999400734269</v>
      </c>
    </row>
    <row r="434" spans="2:20" outlineLevel="1" x14ac:dyDescent="0.3">
      <c r="C434" s="162"/>
      <c r="D434" s="163" t="s">
        <v>185</v>
      </c>
      <c r="E434" s="170">
        <f>AI515</f>
        <v>1.1011907694220932E-2</v>
      </c>
      <c r="F434" s="171">
        <f>AI528</f>
        <v>8.1490846034556891E-2</v>
      </c>
      <c r="G434" s="172">
        <f t="shared" ref="G434:G435" si="83">1/F434</f>
        <v>12.271316947377642</v>
      </c>
      <c r="H434" s="169"/>
      <c r="I434" s="165"/>
      <c r="J434" s="165"/>
      <c r="M434" s="26">
        <f>IF(F434=Input!$H$14,Input!$H$14,1/F434^2)</f>
        <v>150.5852196229977</v>
      </c>
      <c r="P434" s="3" t="e">
        <f t="shared" si="80"/>
        <v>#N/A</v>
      </c>
      <c r="Q434" s="10" t="str">
        <f t="shared" si="82"/>
        <v>na</v>
      </c>
      <c r="R434" s="19" t="str">
        <f t="shared" si="81"/>
        <v>na</v>
      </c>
      <c r="S434" s="10"/>
      <c r="T434" s="10"/>
    </row>
    <row r="435" spans="2:20" outlineLevel="1" x14ac:dyDescent="0.3">
      <c r="C435" s="162"/>
      <c r="D435" s="163" t="s">
        <v>186</v>
      </c>
      <c r="E435" s="170">
        <f>AJ515</f>
        <v>0.15673547057341408</v>
      </c>
      <c r="F435" s="171">
        <f>AJ528</f>
        <v>0.15594744372169009</v>
      </c>
      <c r="G435" s="172">
        <f t="shared" si="83"/>
        <v>6.4124167484568657</v>
      </c>
      <c r="H435" s="169"/>
      <c r="I435" s="165"/>
      <c r="J435" s="165"/>
      <c r="M435" s="26">
        <f>IF(F435=Input!$H$14,Input!$H$14,1/F435^2)</f>
        <v>41.119088555890123</v>
      </c>
      <c r="P435" s="3" t="e">
        <f t="shared" si="80"/>
        <v>#N/A</v>
      </c>
      <c r="Q435" s="10" t="str">
        <f t="shared" si="82"/>
        <v>na</v>
      </c>
      <c r="R435" s="19" t="str">
        <f t="shared" si="81"/>
        <v>na</v>
      </c>
      <c r="S435" s="10"/>
      <c r="T435" s="10"/>
    </row>
    <row r="436" spans="2:20" x14ac:dyDescent="0.3">
      <c r="C436" s="9" t="str">
        <f>$C$33</f>
        <v>Precision-weighted average (arithmetic average / median)</v>
      </c>
      <c r="D436" s="9"/>
      <c r="E436" s="175" t="str" cm="1">
        <f t="array" ref="E436">TEXT(SUMPRODUCT(G423:G433,E423:E433,B423:B433)/SUMPRODUCT(G423:G433,B423:B433),"0.0%") &amp; " (" &amp; TEXT(AVERAGEIF(B423:B433,1,E423:E433),"0.0%") &amp; "/"&amp;TEXT(MEDIAN(IF(B423:B433=1,E423:E433)),"0.0%")&amp;"/"&amp;TEXT(SUMPRODUCT(M423:M433,E423:E433,B423:B433)/SUMPRODUCT(M423:M433,B423:B433),"0.0%")&amp;")"</f>
        <v>5.9% (8.5%/7.0%/4.3%)</v>
      </c>
      <c r="F436" s="176"/>
      <c r="G436" s="177"/>
      <c r="H436" s="177"/>
      <c r="I436" s="178">
        <f>SUM(I423:I433)</f>
        <v>8.9028452990777274E-2</v>
      </c>
      <c r="J436" s="178">
        <f>SUM(J426:J433)</f>
        <v>5.9338142602561421E-2</v>
      </c>
      <c r="K436" s="178">
        <f>SUM(K423:K433)</f>
        <v>7.2804547730950742E-2</v>
      </c>
      <c r="L436" s="178">
        <f>SUM(L423:L433)</f>
        <v>4.9171732746142838E-2</v>
      </c>
      <c r="M436" s="178"/>
    </row>
    <row r="437" spans="2:20" x14ac:dyDescent="0.3">
      <c r="C437" s="12" t="s">
        <v>6</v>
      </c>
      <c r="D437" s="12"/>
      <c r="E437" s="140" t="str">
        <f>TEXT(MIN(I436:L436),"0.0%") &amp;" to "&amp;TEXT(MAX(I436:L436),"0.0%")&amp;" ("&amp;TEXT(I438,"0.0%")&amp;")"</f>
        <v>4.9% to 8.9% (5.9%)</v>
      </c>
      <c r="F437" s="43"/>
      <c r="G437" s="138"/>
      <c r="H437" s="138"/>
      <c r="I437" s="167"/>
      <c r="J437" s="167"/>
      <c r="K437" s="167"/>
      <c r="L437" s="167"/>
      <c r="M437" s="167"/>
    </row>
    <row r="438" spans="2:20" x14ac:dyDescent="0.3">
      <c r="C438" s="3" t="s">
        <v>180</v>
      </c>
      <c r="E438" s="58">
        <f>SUMPRODUCT($E$423:$E$435,$B$423:$B$435,G423:G435)/SUMPRODUCT($B$423:$B$435,G423:G435)</f>
        <v>5.9347013049448248E-2</v>
      </c>
      <c r="F438" s="58">
        <f>AVERAGE(E423,E426,E430,E433)</f>
        <v>8.4745924154719376E-2</v>
      </c>
      <c r="G438" s="58">
        <f>MEDIAN(E423,E426,E430,E433)</f>
        <v>7.0436844566908755E-2</v>
      </c>
      <c r="H438" s="3" t="s">
        <v>85</v>
      </c>
      <c r="I438" s="58">
        <f>SUMPRODUCT(E423:E435,B423:B435,R423:R435)/SUMPRODUCT(B423:B435,R423:R435)</f>
        <v>5.9480433194269579E-2</v>
      </c>
      <c r="J438" s="58"/>
      <c r="M438" s="58">
        <f>SUMPRODUCT($E$423:$E$435,$B$423:$B$435,M423:M435)/SUMPRODUCT($B$423:$B$435,M423:M435)</f>
        <v>4.2930045214450076E-2</v>
      </c>
    </row>
    <row r="439" spans="2:20" x14ac:dyDescent="0.3">
      <c r="C439" s="74" t="s">
        <v>7</v>
      </c>
      <c r="D439" s="212"/>
      <c r="E439" s="213">
        <f>MAX(I436:L436)</f>
        <v>8.9028452990777274E-2</v>
      </c>
      <c r="F439" s="213">
        <f>MIN(I436:L436)</f>
        <v>4.9171732746142838E-2</v>
      </c>
      <c r="G439" s="212"/>
      <c r="I439" s="58"/>
      <c r="J439" s="58"/>
      <c r="K439" s="10"/>
      <c r="L439" s="10"/>
      <c r="M439" s="10"/>
      <c r="N439" s="10"/>
    </row>
    <row r="440" spans="2:20" x14ac:dyDescent="0.3">
      <c r="I440" s="10"/>
      <c r="J440" s="10"/>
      <c r="P440" s="10"/>
      <c r="Q440" s="10"/>
    </row>
    <row r="441" spans="2:20" s="154" customFormat="1" ht="19.5" x14ac:dyDescent="0.4">
      <c r="B441" s="154" t="s">
        <v>149</v>
      </c>
      <c r="I441" s="226"/>
      <c r="J441" s="226"/>
    </row>
    <row r="443" spans="2:20" x14ac:dyDescent="0.3">
      <c r="C443" s="4" t="s">
        <v>149</v>
      </c>
    </row>
    <row r="444" spans="2:20" x14ac:dyDescent="0.3">
      <c r="C444" s="95" t="s">
        <v>1</v>
      </c>
      <c r="D444" s="95" t="s">
        <v>165</v>
      </c>
      <c r="E444" s="52" t="s">
        <v>2</v>
      </c>
      <c r="F444" s="52" t="s">
        <v>3</v>
      </c>
      <c r="G444" s="52" t="s">
        <v>4</v>
      </c>
      <c r="H444" s="52" t="s">
        <v>114</v>
      </c>
      <c r="I444" s="127" t="str">
        <f>I$377</f>
        <v>Largest weight equal to 2nd largest</v>
      </c>
      <c r="J444" s="127" t="str">
        <f>J$377</f>
        <v>Lowest weight equal to 2nd lowest</v>
      </c>
      <c r="K444" s="127" t="str">
        <f>K$377</f>
        <v>Smallest (most negative) estimate equal to 2nd smallest</v>
      </c>
      <c r="L444" s="127" t="str">
        <f>L$377</f>
        <v>Highest (least negative) estimate equal to 2nd highest</v>
      </c>
      <c r="M444" s="127" t="s">
        <v>978</v>
      </c>
      <c r="P444" s="214" t="s">
        <v>35</v>
      </c>
      <c r="Q444" s="214" t="s">
        <v>36</v>
      </c>
      <c r="R444" s="5" t="s">
        <v>37</v>
      </c>
    </row>
    <row r="445" spans="2:20" outlineLevel="1" x14ac:dyDescent="0.3">
      <c r="B445" s="3">
        <v>1</v>
      </c>
      <c r="C445" s="162" t="str">
        <f>C510</f>
        <v>Leffler et al. (2020)</v>
      </c>
      <c r="D445" s="158" t="s">
        <v>187</v>
      </c>
      <c r="E445" s="112">
        <f>X510</f>
        <v>-0.15641812685587186</v>
      </c>
      <c r="F445" s="160">
        <f>X523</f>
        <v>5.7366061194085043E-2</v>
      </c>
      <c r="G445" s="168">
        <f>IF(F445=Input!$H$14,Input!$H$14,1/F445)</f>
        <v>17.431909724753929</v>
      </c>
      <c r="H445" s="161"/>
      <c r="I445" s="165"/>
      <c r="J445" s="165"/>
      <c r="K445" s="58" cm="1">
        <f t="array" ref="K445">(SUMPRODUCT(G445:G451,E445:E451,B445:B451)-G445*E445+G445*SMALL(IF(B445:B451=1,E445:E451),2))/SUMPRODUCT(G445:G451,B445:B451)</f>
        <v>-1.8589436716228407E-2</v>
      </c>
      <c r="L445" s="174"/>
      <c r="M445" s="26">
        <f>IF(F445=Input!$H$14,Input!$H$14,1/F445^2)</f>
        <v>303.87147665197057</v>
      </c>
      <c r="P445" s="3">
        <f>INDEX($T$496:$T$503,MATCH(C445,$C$496:$C$503,0))</f>
        <v>0</v>
      </c>
      <c r="Q445" s="10">
        <f t="shared" ref="Q445:Q453" si="84">IFERROR(INDEX($U$496:$U$503,MATCH(C445,$C$496:$C$503,0)),"na")</f>
        <v>6.25E-2</v>
      </c>
      <c r="R445" s="19">
        <f t="shared" ref="R445:R453" si="85">IFERROR(G445*Q445,"na")</f>
        <v>1.0894943577971206</v>
      </c>
    </row>
    <row r="446" spans="2:20" outlineLevel="1" x14ac:dyDescent="0.3">
      <c r="B446" s="3">
        <v>1</v>
      </c>
      <c r="C446" s="162" t="str">
        <f>C511</f>
        <v>Stokes et al. (2020)</v>
      </c>
      <c r="D446" s="162" t="s">
        <v>171</v>
      </c>
      <c r="E446" s="112">
        <f>AVERAGE(E447:E448)</f>
        <v>-6.0500055657068619E-2</v>
      </c>
      <c r="F446" s="160">
        <f>SQRT(SUMSQ(F447:F448)/COUNT(F447:F448))</f>
        <v>1.3202549439501833E-2</v>
      </c>
      <c r="G446" s="168">
        <f>IF(F446=Input!$H$14,Input!$H$14,1/F446)</f>
        <v>75.74294681359153</v>
      </c>
      <c r="H446" s="161"/>
      <c r="I446" s="58" cm="1">
        <f t="array" ref="I446">(SUMPRODUCT(G445:G451,E445:E451,B445:B451)-G446*E446+LARGE(IF(B445:B451=1,G445:G451),2)*E446)/(SUMPRODUCT(G445:G451,B445:B451)-G446+LARGE(IF(B445:B451=1,G445:G451),2))</f>
        <v>-3.9193150831371894E-3</v>
      </c>
      <c r="J446" s="164"/>
      <c r="K446" s="58"/>
      <c r="L446" s="174"/>
      <c r="M446" s="26">
        <f>IF(F446=Input!$H$14,Input!$H$14,1/F446^2)</f>
        <v>5736.9939920065553</v>
      </c>
      <c r="P446" s="3">
        <f t="shared" ref="P446:P453" si="86">INDEX($T$496:$T$503,MATCH(C446,$C$496:$C$503,0))</f>
        <v>1</v>
      </c>
      <c r="Q446" s="10">
        <f t="shared" si="84"/>
        <v>0.5625</v>
      </c>
      <c r="R446" s="19">
        <f t="shared" si="85"/>
        <v>42.605407582645235</v>
      </c>
    </row>
    <row r="447" spans="2:20" outlineLevel="1" x14ac:dyDescent="0.3">
      <c r="C447" s="162"/>
      <c r="D447" s="163" t="s">
        <v>174</v>
      </c>
      <c r="E447" s="170">
        <f>Y511</f>
        <v>-2.0734393994918228E-2</v>
      </c>
      <c r="F447" s="171">
        <f>Y524</f>
        <v>1.4167998812125247E-2</v>
      </c>
      <c r="G447" s="172">
        <f t="shared" ref="G447:G448" si="87">1/F447</f>
        <v>70.581598238431582</v>
      </c>
      <c r="H447" s="169"/>
      <c r="I447" s="165"/>
      <c r="J447" s="165"/>
      <c r="M447" s="26">
        <f>IF(F447=Input!$H$14,Input!$H$14,1/F447^2)</f>
        <v>4981.7620098913676</v>
      </c>
      <c r="P447" s="3" t="e">
        <f t="shared" si="86"/>
        <v>#N/A</v>
      </c>
      <c r="Q447" s="10" t="str">
        <f t="shared" si="84"/>
        <v>na</v>
      </c>
      <c r="R447" s="19" t="str">
        <f t="shared" si="85"/>
        <v>na</v>
      </c>
      <c r="S447" s="10"/>
      <c r="T447" s="10"/>
    </row>
    <row r="448" spans="2:20" outlineLevel="1" x14ac:dyDescent="0.3">
      <c r="C448" s="162"/>
      <c r="D448" s="163" t="s">
        <v>175</v>
      </c>
      <c r="E448" s="170">
        <f>Z511</f>
        <v>-0.10026571731921902</v>
      </c>
      <c r="F448" s="171">
        <f>Z524</f>
        <v>1.2160692129340253E-2</v>
      </c>
      <c r="G448" s="172">
        <f t="shared" si="87"/>
        <v>82.232161571403296</v>
      </c>
      <c r="H448" s="169"/>
      <c r="I448" s="165"/>
      <c r="J448" s="165"/>
      <c r="M448" s="26">
        <f>IF(F448=Input!$H$14,Input!$H$14,1/F448^2)</f>
        <v>6762.1283967053769</v>
      </c>
      <c r="P448" s="3" t="e">
        <f t="shared" si="86"/>
        <v>#N/A</v>
      </c>
      <c r="Q448" s="10" t="str">
        <f t="shared" si="84"/>
        <v>na</v>
      </c>
      <c r="R448" s="19" t="str">
        <f t="shared" si="85"/>
        <v>na</v>
      </c>
      <c r="S448" s="10"/>
      <c r="T448" s="10"/>
    </row>
    <row r="449" spans="2:20" outlineLevel="1" x14ac:dyDescent="0.3">
      <c r="B449" s="3">
        <v>1</v>
      </c>
      <c r="C449" s="162" t="str">
        <f>C513</f>
        <v>Bonardi et al. (2020)</v>
      </c>
      <c r="D449" s="158" t="s">
        <v>188</v>
      </c>
      <c r="E449" s="112">
        <f>X513</f>
        <v>0</v>
      </c>
      <c r="F449" s="160" t="str">
        <f>X526</f>
        <v>n/a</v>
      </c>
      <c r="G449" s="168" t="str">
        <f>IF(F449=Input!$H$14,Input!$H$14,1/F449)</f>
        <v>n/a</v>
      </c>
      <c r="H449" s="161"/>
      <c r="I449" s="165"/>
      <c r="J449" s="165"/>
      <c r="L449" s="174"/>
      <c r="M449" s="26" t="str">
        <f>IF(F449=Input!$H$14,Input!$H$14,1/F449^2)</f>
        <v>n/a</v>
      </c>
      <c r="P449" s="3">
        <f t="shared" si="86"/>
        <v>1</v>
      </c>
      <c r="Q449" s="10">
        <f t="shared" si="84"/>
        <v>0.25</v>
      </c>
      <c r="R449" s="19" t="str">
        <f t="shared" si="85"/>
        <v>na</v>
      </c>
    </row>
    <row r="450" spans="2:20" outlineLevel="1" x14ac:dyDescent="0.3">
      <c r="B450" s="3">
        <v>1</v>
      </c>
      <c r="C450" s="162" t="str">
        <f>C514</f>
        <v>Guo et al. (2021)</v>
      </c>
      <c r="D450" s="158" t="s">
        <v>189</v>
      </c>
      <c r="E450" s="112">
        <f>AA514</f>
        <v>0.36299999999999999</v>
      </c>
      <c r="F450" s="160">
        <f>AA527</f>
        <v>0.16950000000000004</v>
      </c>
      <c r="G450" s="168">
        <f>IF(F450=Input!$H$14,Input!$H$14,1/F450)</f>
        <v>5.8997050147492613</v>
      </c>
      <c r="H450" s="161"/>
      <c r="I450" s="165"/>
      <c r="J450" s="58" cm="1">
        <f t="array" ref="J450">(SUMPRODUCT(G445:G451,E445:E451,B445:B451)-G450*E450+SMALL(IF(B445:B451=1,G445:G451),2)*E450)/(SUMPRODUCT(G445:G451,B445:B451)-G450+SMALL(IF(B445:B451=1,G445:G451),2))</f>
        <v>-1.3474843194567113E-2</v>
      </c>
      <c r="L450" s="58" cm="1">
        <f t="array" ref="L450">(SUMPRODUCT(G445:G451,E445:E451,B445:B451)-G450*E450+G450*LARGE(IF(B445:B451=1,E445:E451),2))/SUMPRODUCT(G445:G451,B445:B451)</f>
        <v>-4.6535178352239963E-2</v>
      </c>
      <c r="M450" s="26">
        <f>IF(F450=Input!$H$14,Input!$H$14,1/F450^2)</f>
        <v>34.806519261057581</v>
      </c>
      <c r="P450" s="3">
        <f t="shared" si="86"/>
        <v>0</v>
      </c>
      <c r="Q450" s="10">
        <f t="shared" si="84"/>
        <v>0.140625</v>
      </c>
      <c r="R450" s="19">
        <f t="shared" si="85"/>
        <v>0.82964601769911483</v>
      </c>
    </row>
    <row r="451" spans="2:20" outlineLevel="1" x14ac:dyDescent="0.3">
      <c r="B451" s="3">
        <v>1</v>
      </c>
      <c r="C451" s="162" t="str">
        <f>C515</f>
        <v>An et al. (2021)</v>
      </c>
      <c r="D451" t="s">
        <v>149</v>
      </c>
      <c r="E451" s="112">
        <f>AVERAGE(E452:E453)</f>
        <v>0.12099192582652502</v>
      </c>
      <c r="F451" s="160">
        <f>SQRT(SUMSQ(F452:F453)/COUNT(F452:F453))</f>
        <v>8.4402899795809117E-2</v>
      </c>
      <c r="G451" s="168">
        <f>IF(F451=Input!$H$14,Input!$H$14,1/F451)</f>
        <v>11.847934163627555</v>
      </c>
      <c r="H451" s="161"/>
      <c r="I451" s="165"/>
      <c r="J451" s="165"/>
      <c r="M451" s="26">
        <f>IF(F451=Input!$H$14,Input!$H$14,1/F451^2)</f>
        <v>140.37354394565295</v>
      </c>
      <c r="P451" s="3">
        <f t="shared" si="86"/>
        <v>0</v>
      </c>
      <c r="Q451" s="10">
        <f t="shared" si="84"/>
        <v>0.5625</v>
      </c>
      <c r="R451" s="19">
        <f t="shared" si="85"/>
        <v>6.6644629670404996</v>
      </c>
    </row>
    <row r="452" spans="2:20" outlineLevel="1" x14ac:dyDescent="0.3">
      <c r="C452" s="162"/>
      <c r="D452" s="163" t="s">
        <v>190</v>
      </c>
      <c r="E452" s="170">
        <f>Y515</f>
        <v>5.5181430317846517E-2</v>
      </c>
      <c r="F452" s="171">
        <f>Y528</f>
        <v>5.3659208321751285E-2</v>
      </c>
      <c r="G452" s="172">
        <f t="shared" ref="G452:G453" si="88">1/F452</f>
        <v>18.636130335799983</v>
      </c>
      <c r="H452" s="169"/>
      <c r="I452" s="165"/>
      <c r="J452" s="165"/>
      <c r="M452" s="26">
        <f>IF(F452=Input!$H$14,Input!$H$14,1/F452^2)</f>
        <v>347.30535389292436</v>
      </c>
      <c r="P452" s="3" t="e">
        <f t="shared" si="86"/>
        <v>#N/A</v>
      </c>
      <c r="Q452" s="10" t="str">
        <f t="shared" si="84"/>
        <v>na</v>
      </c>
      <c r="R452" s="19" t="str">
        <f t="shared" si="85"/>
        <v>na</v>
      </c>
      <c r="S452" s="10"/>
      <c r="T452" s="10"/>
    </row>
    <row r="453" spans="2:20" outlineLevel="1" x14ac:dyDescent="0.3">
      <c r="C453" s="162"/>
      <c r="D453" s="163" t="s">
        <v>191</v>
      </c>
      <c r="E453" s="170">
        <f>Z515</f>
        <v>0.18680242133520353</v>
      </c>
      <c r="F453" s="171">
        <f>Z528</f>
        <v>0.10662264464064698</v>
      </c>
      <c r="G453" s="172">
        <f t="shared" si="88"/>
        <v>9.3788707208522677</v>
      </c>
      <c r="H453" s="169"/>
      <c r="I453" s="165"/>
      <c r="J453" s="165"/>
      <c r="M453" s="26">
        <f>IF(F453=Input!$H$14,Input!$H$14,1/F453^2)</f>
        <v>87.963215998459944</v>
      </c>
      <c r="P453" s="3" t="e">
        <f t="shared" si="86"/>
        <v>#N/A</v>
      </c>
      <c r="Q453" s="10" t="str">
        <f t="shared" si="84"/>
        <v>na</v>
      </c>
      <c r="R453" s="19" t="str">
        <f t="shared" si="85"/>
        <v>na</v>
      </c>
      <c r="S453" s="10"/>
      <c r="T453" s="10"/>
    </row>
    <row r="454" spans="2:20" x14ac:dyDescent="0.3">
      <c r="C454" s="9" t="str">
        <f>$C$33</f>
        <v>Precision-weighted average (arithmetic average / median)</v>
      </c>
      <c r="D454" s="9"/>
      <c r="E454" s="175" t="str" cm="1">
        <f t="array" ref="E454">TEXT(SUMPRODUCT(G445:G451,E445:E451,B445:B451)/SUMPRODUCT(G445:G451,B445:B451),"0.0%") &amp; " (" &amp; TEXT(AVERAGEIF(B445:B451,1,E445:E451),"0.0%") &amp; "/"&amp;TEXT(MEDIAN(IF(B445:B451=1,E445:E451)),"0.0%")&amp;"/"&amp;TEXT(SUMPRODUCT(M445:M451,E445:E451,B445:B451)/SUMPRODUCT(M445:M451,B445:B451),"0.0%")&amp;")"</f>
        <v>-3.4% (5.3%/0.0%/-5.9%)</v>
      </c>
      <c r="F454" s="128"/>
      <c r="G454" s="128"/>
      <c r="H454" s="128"/>
      <c r="I454" s="178">
        <f>SUM(I445:I451)</f>
        <v>-3.9193150831371894E-3</v>
      </c>
      <c r="J454" s="178">
        <f>SUM(J445:J451)</f>
        <v>-1.3474843194567113E-2</v>
      </c>
      <c r="K454" s="178">
        <f>SUM(K445:K451)</f>
        <v>-1.8589436716228407E-2</v>
      </c>
      <c r="L454" s="178">
        <f>SUM(L445:L450)</f>
        <v>-4.6535178352239963E-2</v>
      </c>
      <c r="M454" s="178"/>
    </row>
    <row r="455" spans="2:20" x14ac:dyDescent="0.3">
      <c r="C455" s="12" t="s">
        <v>6</v>
      </c>
      <c r="D455" s="12"/>
      <c r="E455" s="140" t="str">
        <f>TEXT(MIN(I454:L454),"0.0%") &amp;" to "&amp;TEXT(MAX(I454:L454),"0.0%")&amp;" ("&amp;TEXT(I456,"0.0%")&amp;")"</f>
        <v>-4.7% to -0.4% (-3.2%)</v>
      </c>
      <c r="F455" s="43"/>
      <c r="G455" s="138"/>
      <c r="H455" s="138"/>
      <c r="I455" s="167"/>
      <c r="J455" s="167"/>
      <c r="K455" s="167"/>
      <c r="L455" s="167"/>
      <c r="M455" s="167"/>
    </row>
    <row r="456" spans="2:20" x14ac:dyDescent="0.3">
      <c r="C456" s="3" t="s">
        <v>180</v>
      </c>
      <c r="E456" s="58">
        <f>SUMPRODUCT($E$445:$E$453,$B$445:$B$453,G445:G453)/SUMPRODUCT($B$445:$B$453,G445:G453)</f>
        <v>-3.3663341673976201E-2</v>
      </c>
      <c r="F456" s="58">
        <f>AVERAGE(E445:E446,E449:E451)</f>
        <v>5.3414748662716907E-2</v>
      </c>
      <c r="G456" s="58">
        <f>MEDIAN(E445:E446,E449:E451)</f>
        <v>0</v>
      </c>
      <c r="H456" s="3" t="s">
        <v>85</v>
      </c>
      <c r="I456" s="58">
        <f>SUMPRODUCT(E445:E453,B445:B453,R445:R453)/SUMPRODUCT(B445:B453,R445:R453)</f>
        <v>-3.2048645864637772E-2</v>
      </c>
      <c r="J456" s="58"/>
      <c r="M456" s="58">
        <f>SUMPRODUCT($E$445:$E$453,$B$445:$B$453,M445:M453)/SUMPRODUCT($B$445:$B$453,M445:M453)</f>
        <v>-5.871910513260447E-2</v>
      </c>
    </row>
    <row r="457" spans="2:20" x14ac:dyDescent="0.3">
      <c r="C457" s="74" t="s">
        <v>7</v>
      </c>
      <c r="D457" s="212"/>
      <c r="E457" s="213">
        <f>MAX(I454:L454)</f>
        <v>-3.9193150831371894E-3</v>
      </c>
      <c r="F457" s="213">
        <f>MIN(I454:L454)</f>
        <v>-4.6535178352239963E-2</v>
      </c>
      <c r="G457" s="212"/>
      <c r="I457" s="58"/>
      <c r="J457" s="58"/>
      <c r="L457" s="10"/>
      <c r="M457" s="10"/>
      <c r="N457" s="10"/>
      <c r="O457" s="10"/>
    </row>
    <row r="458" spans="2:20" x14ac:dyDescent="0.3">
      <c r="E458" s="58"/>
      <c r="I458" s="10"/>
      <c r="J458" s="10"/>
      <c r="K458" s="10"/>
      <c r="L458" s="10"/>
    </row>
    <row r="459" spans="2:20" s="154" customFormat="1" ht="19.5" x14ac:dyDescent="0.4">
      <c r="B459" s="154" t="s">
        <v>192</v>
      </c>
      <c r="I459" s="226"/>
      <c r="J459" s="226"/>
    </row>
    <row r="460" spans="2:20" x14ac:dyDescent="0.3">
      <c r="E460" s="10"/>
      <c r="F460" s="10"/>
    </row>
    <row r="461" spans="2:20" x14ac:dyDescent="0.3">
      <c r="C461" s="4" t="s">
        <v>192</v>
      </c>
      <c r="I461" s="58"/>
      <c r="J461" s="58"/>
      <c r="K461" s="58"/>
      <c r="L461" s="58"/>
    </row>
    <row r="462" spans="2:20" x14ac:dyDescent="0.3">
      <c r="C462" s="95" t="s">
        <v>1</v>
      </c>
      <c r="D462" s="95" t="s">
        <v>165</v>
      </c>
      <c r="E462" s="52" t="s">
        <v>2</v>
      </c>
      <c r="F462" s="52" t="s">
        <v>3</v>
      </c>
      <c r="G462" s="52" t="s">
        <v>4</v>
      </c>
      <c r="H462" s="52" t="s">
        <v>114</v>
      </c>
      <c r="I462" s="127" t="str">
        <f>I$377</f>
        <v>Largest weight equal to 2nd largest</v>
      </c>
      <c r="J462" s="127" t="str">
        <f>J$377</f>
        <v>Lowest weight equal to 2nd lowest</v>
      </c>
      <c r="K462" s="127" t="str">
        <f>K$377</f>
        <v>Smallest (most negative) estimate equal to 2nd smallest</v>
      </c>
      <c r="L462" s="127" t="str">
        <f>L$377</f>
        <v>Highest (least negative) estimate equal to 2nd highest</v>
      </c>
      <c r="M462" s="127" t="s">
        <v>978</v>
      </c>
      <c r="P462" s="214" t="s">
        <v>35</v>
      </c>
      <c r="Q462" s="214" t="s">
        <v>36</v>
      </c>
      <c r="R462" s="5" t="s">
        <v>37</v>
      </c>
    </row>
    <row r="463" spans="2:20" outlineLevel="1" x14ac:dyDescent="0.3">
      <c r="B463" s="3">
        <v>1</v>
      </c>
      <c r="C463" s="162" t="str">
        <f>C509</f>
        <v>Chernozhukov et al. (2021)</v>
      </c>
      <c r="D463" s="158" t="str">
        <f>I508</f>
        <v>Employee face masks</v>
      </c>
      <c r="E463" s="112">
        <f>I509</f>
        <v>-0.34</v>
      </c>
      <c r="F463" s="160">
        <f>I522</f>
        <v>8.5106382978723374E-2</v>
      </c>
      <c r="G463" s="168">
        <f>1/F463</f>
        <v>11.750000000000004</v>
      </c>
      <c r="H463" s="161"/>
      <c r="I463" s="165"/>
      <c r="J463" s="165"/>
      <c r="K463" s="58" cm="1">
        <f t="array" ref="K463">(SUMPRODUCT(G463:G467,E463:E467,B463:B467)-G463*E463+G463*SMALL(IF(B463:B467=1,E463:E467),2))/SUMPRODUCT(G463:G467,B463:B467)</f>
        <v>-0.12536896523300203</v>
      </c>
      <c r="L463" s="174"/>
      <c r="M463" s="26">
        <f>IF(F463=Input!$H$14,Input!$H$14,1/F463^2)</f>
        <v>138.06250000000011</v>
      </c>
      <c r="P463" s="3">
        <f t="shared" ref="P463:P469" si="89">INDEX($T$496:$T$503,MATCH(C463,$C$496:$C$503,0))</f>
        <v>1</v>
      </c>
      <c r="Q463" s="10">
        <f t="shared" ref="Q463:Q469" si="90">IFERROR(INDEX($U$496:$U$503,MATCH(C463,$C$496:$C$503,0)),"na")</f>
        <v>0.5625</v>
      </c>
      <c r="R463" s="19">
        <f t="shared" ref="R463:R469" si="91">IFERROR(G463*Q463,"na")</f>
        <v>6.6093750000000018</v>
      </c>
    </row>
    <row r="464" spans="2:20" outlineLevel="1" x14ac:dyDescent="0.3">
      <c r="B464" s="3">
        <v>1</v>
      </c>
      <c r="C464" s="162" t="str">
        <f>C512</f>
        <v>Spiegel and Tookes (2021)</v>
      </c>
      <c r="D464" t="s">
        <v>171</v>
      </c>
      <c r="E464" s="112">
        <f>AVERAGE(E465:E466)</f>
        <v>-0.13549585459183672</v>
      </c>
      <c r="F464" s="160">
        <f>SQRT(SUMSQ(F465:F466)/COUNT(F465:F466))</f>
        <v>5.1314164134545391E-2</v>
      </c>
      <c r="G464" s="168">
        <f>1/F464</f>
        <v>19.48779672953469</v>
      </c>
      <c r="H464" s="161"/>
      <c r="I464" s="58" cm="1">
        <f t="array" ref="I464">(SUMPRODUCT(G463:G467,E463:E467,B463:B467)-G464*E464+LARGE(IF(B463:B467=1,G463:G467),2)*E464)/(SUMPRODUCT(G463:G467,B463:B467)-G464+LARGE(IF(B463:B467=1,G463:G467),2))</f>
        <v>-0.19945665743277702</v>
      </c>
      <c r="J464" s="164"/>
      <c r="K464" s="58"/>
      <c r="L464" s="174"/>
      <c r="M464" s="26">
        <f>IF(F464=Input!$H$14,Input!$H$14,1/F464^2)</f>
        <v>379.77422137166297</v>
      </c>
      <c r="P464" s="3">
        <f t="shared" si="89"/>
        <v>0</v>
      </c>
      <c r="Q464" s="10">
        <f t="shared" si="90"/>
        <v>0.5625</v>
      </c>
      <c r="R464" s="19">
        <f t="shared" si="91"/>
        <v>10.961885660363263</v>
      </c>
      <c r="S464" s="10"/>
    </row>
    <row r="465" spans="2:20" outlineLevel="1" x14ac:dyDescent="0.3">
      <c r="C465" s="162"/>
      <c r="D465" s="163" t="s">
        <v>193</v>
      </c>
      <c r="E465" s="170">
        <f>F512</f>
        <v>-0.12178686224489796</v>
      </c>
      <c r="F465" s="171">
        <f>F525</f>
        <v>4.2721045918367354E-2</v>
      </c>
      <c r="G465" s="172">
        <f>1/F465</f>
        <v>23.407666607948453</v>
      </c>
      <c r="H465" s="161"/>
      <c r="I465" s="165"/>
      <c r="J465" s="165"/>
      <c r="L465" s="174"/>
      <c r="M465" s="26">
        <f>IF(F465=Input!$H$14,Input!$H$14,1/F465^2)</f>
        <v>547.91885602886498</v>
      </c>
      <c r="P465" s="3" t="e">
        <f t="shared" si="89"/>
        <v>#N/A</v>
      </c>
      <c r="Q465" s="10" t="str">
        <f t="shared" si="90"/>
        <v>na</v>
      </c>
      <c r="R465" s="19" t="str">
        <f t="shared" si="91"/>
        <v>na</v>
      </c>
      <c r="S465" s="10"/>
    </row>
    <row r="466" spans="2:20" outlineLevel="1" x14ac:dyDescent="0.3">
      <c r="C466" s="162"/>
      <c r="D466" s="163" t="s">
        <v>194</v>
      </c>
      <c r="E466" s="170">
        <f>I512</f>
        <v>-0.1492048469387755</v>
      </c>
      <c r="F466" s="171">
        <f>I525</f>
        <v>5.8661734693877546E-2</v>
      </c>
      <c r="G466" s="172">
        <f>1/F466</f>
        <v>17.046887638397248</v>
      </c>
      <c r="H466" s="161"/>
      <c r="I466" s="165"/>
      <c r="M466" s="26">
        <f>IF(F466=Input!$H$14,Input!$H$14,1/F466^2)</f>
        <v>290.59637815614087</v>
      </c>
      <c r="P466" s="3" t="e">
        <f t="shared" si="89"/>
        <v>#N/A</v>
      </c>
      <c r="Q466" s="10" t="str">
        <f t="shared" si="90"/>
        <v>na</v>
      </c>
      <c r="R466" s="19" t="str">
        <f t="shared" si="91"/>
        <v>na</v>
      </c>
      <c r="S466" s="10"/>
    </row>
    <row r="467" spans="2:20" outlineLevel="1" x14ac:dyDescent="0.3">
      <c r="B467" s="3">
        <v>1</v>
      </c>
      <c r="C467" s="162" t="str">
        <f>C515</f>
        <v>An et al. (2021)</v>
      </c>
      <c r="D467" s="158" t="s">
        <v>192</v>
      </c>
      <c r="E467" s="112">
        <f>AVERAGE(E468:E469)</f>
        <v>-8.5202895658364086E-2</v>
      </c>
      <c r="F467" s="160">
        <f>SQRT(SUMSQ(F468:F469)/COUNT(F468:F469))</f>
        <v>0.12697051365868833</v>
      </c>
      <c r="G467" s="168">
        <f>1/F467</f>
        <v>7.8758443294016871</v>
      </c>
      <c r="H467" s="161"/>
      <c r="I467" s="165"/>
      <c r="J467" s="58" cm="1">
        <f t="array" ref="J467">(SUMPRODUCT(G463:G467,E463:E467,B463:B467)-G467*E467+SMALL(IF(B463:B467=1,G463:G467),2)*E467)/(SUMPRODUCT(G463:G467,B463:B467)-G467+SMALL(IF(B463:B467=1,G463:G467),2))</f>
        <v>-0.17764692021815892</v>
      </c>
      <c r="L467" s="58" cm="1">
        <f t="array" ref="L467">(SUMPRODUCT(G463:G467,E463:E467,B463:B467)-G467*E467+G467*LARGE(IF(B463:B467=1,E463:E467),2))/SUMPRODUCT(G463:G467,B463:B467)</f>
        <v>-0.19693027091030724</v>
      </c>
      <c r="M467" s="26">
        <f>IF(F467=Input!$H$14,Input!$H$14,1/F467^2)</f>
        <v>62.028923900968714</v>
      </c>
      <c r="P467" s="3">
        <f t="shared" si="89"/>
        <v>0</v>
      </c>
      <c r="Q467" s="10">
        <f t="shared" si="90"/>
        <v>0.5625</v>
      </c>
      <c r="R467" s="19">
        <f t="shared" si="91"/>
        <v>4.430162435288449</v>
      </c>
      <c r="S467" s="10"/>
    </row>
    <row r="468" spans="2:20" outlineLevel="1" x14ac:dyDescent="0.3">
      <c r="C468" s="162"/>
      <c r="D468" s="163" t="s">
        <v>195</v>
      </c>
      <c r="E468" s="170">
        <f>G515</f>
        <v>-7.9787747824888011E-2</v>
      </c>
      <c r="F468" s="171">
        <f>G528</f>
        <v>0.17246217656994692</v>
      </c>
      <c r="G468" s="216">
        <f t="shared" ref="G468:G469" si="92">1/F468</f>
        <v>5.798372836808201</v>
      </c>
      <c r="H468" s="169"/>
      <c r="I468" s="165"/>
      <c r="J468" s="165"/>
      <c r="M468" s="26">
        <f>IF(F468=Input!$H$14,Input!$H$14,1/F468^2)</f>
        <v>33.621127554635187</v>
      </c>
      <c r="P468" s="3" t="e">
        <f t="shared" si="89"/>
        <v>#N/A</v>
      </c>
      <c r="Q468" s="10" t="str">
        <f t="shared" si="90"/>
        <v>na</v>
      </c>
      <c r="R468" s="19" t="str">
        <f t="shared" si="91"/>
        <v>na</v>
      </c>
      <c r="S468" s="10"/>
      <c r="T468" s="10"/>
    </row>
    <row r="469" spans="2:20" outlineLevel="1" x14ac:dyDescent="0.3">
      <c r="C469" s="162"/>
      <c r="D469" s="163" t="s">
        <v>196</v>
      </c>
      <c r="E469" s="170">
        <f>H515</f>
        <v>-9.0618043491840161E-2</v>
      </c>
      <c r="F469" s="171">
        <f>H528</f>
        <v>4.9998203270305297E-2</v>
      </c>
      <c r="G469" s="172">
        <f t="shared" si="92"/>
        <v>20.000718717704711</v>
      </c>
      <c r="H469" s="169"/>
      <c r="I469" s="165"/>
      <c r="J469" s="165"/>
      <c r="M469" s="26">
        <f>IF(F469=Input!$H$14,Input!$H$14,1/F469^2)</f>
        <v>400.02874922474354</v>
      </c>
      <c r="P469" s="3" t="e">
        <f t="shared" si="89"/>
        <v>#N/A</v>
      </c>
      <c r="Q469" s="10" t="str">
        <f t="shared" si="90"/>
        <v>na</v>
      </c>
      <c r="R469" s="19" t="str">
        <f t="shared" si="91"/>
        <v>na</v>
      </c>
      <c r="S469" s="10"/>
      <c r="T469" s="10"/>
    </row>
    <row r="470" spans="2:20" x14ac:dyDescent="0.3">
      <c r="C470" s="9" t="str">
        <f>$C$33</f>
        <v>Precision-weighted average (arithmetic average / median)</v>
      </c>
      <c r="D470" s="9"/>
      <c r="E470" s="180" t="str" cm="1">
        <f t="array" ref="E470">TEXT(SUMPRODUCT(G463:G467,E463:E467,B463:B467)/SUMPRODUCT(G463:G467,B463:B467),"0.0%") &amp; " (" &amp; TEXT(AVERAGEIF(B463:B467,1,E463:E467),"0.0%") &amp; "/"&amp;TEXT(MEDIAN(IF(B463:B467=1,E463:E467)),"0.0%")&amp;"/"&amp;TEXT(SUMPRODUCT(M463:M467,E463:E467,B463:B467)/SUMPRODUCT(M463:M467,B463:B467),"0.0%")&amp;")"</f>
        <v>-18.7% (-18.7%/-13.5%/-17.9%)</v>
      </c>
      <c r="F470" s="128"/>
      <c r="G470" s="128"/>
      <c r="H470" s="128"/>
      <c r="I470" s="178">
        <f>SUM(I463:I467)</f>
        <v>-0.19945665743277702</v>
      </c>
      <c r="J470" s="178">
        <f>SUM(J463:J467)</f>
        <v>-0.17764692021815892</v>
      </c>
      <c r="K470" s="178">
        <f>SUM(K463:K467)</f>
        <v>-0.12536896523300203</v>
      </c>
      <c r="L470" s="178">
        <f>SUM(L463:L467)</f>
        <v>-0.19693027091030724</v>
      </c>
      <c r="M470" s="178"/>
    </row>
    <row r="471" spans="2:20" x14ac:dyDescent="0.3">
      <c r="C471" s="12" t="s">
        <v>6</v>
      </c>
      <c r="D471" s="12"/>
      <c r="E471" s="140" t="str">
        <f>TEXT(MIN(I470:L470),"0.0%") &amp;" to "&amp;TEXT(MAX(I470:L470),"0.0%")&amp;" ("&amp;TEXT(I472,"0.0%")&amp;")"</f>
        <v>-19.9% to -12.5% (-18.7%)</v>
      </c>
      <c r="F471" s="43"/>
      <c r="G471" s="138"/>
      <c r="H471" s="138"/>
      <c r="I471" s="167"/>
      <c r="J471" s="167"/>
      <c r="K471" s="167"/>
      <c r="L471" s="167"/>
      <c r="M471" s="167"/>
    </row>
    <row r="472" spans="2:20" x14ac:dyDescent="0.3">
      <c r="C472" s="3" t="s">
        <v>180</v>
      </c>
      <c r="E472" s="58">
        <f>SUMPRODUCT($E$463:$E$469,$B$463:$B$469,G463:G469)/SUMPRODUCT($B$463:$B$469,G463:G469)</f>
        <v>-0.18680338155147255</v>
      </c>
      <c r="F472" s="58">
        <f>AVERAGE(E463:E464,E467)</f>
        <v>-0.1868995834167336</v>
      </c>
      <c r="G472" s="58">
        <f>MEDIAN(E463:E464,E467)</f>
        <v>-0.13549585459183672</v>
      </c>
      <c r="H472" s="3" t="s">
        <v>85</v>
      </c>
      <c r="I472" s="58">
        <f>SUMPRODUCT(E463:E469,B463:B469,R463:R469)/SUMPRODUCT(B463:B469,R463:R469)</f>
        <v>-0.18680338155147255</v>
      </c>
      <c r="J472" s="58"/>
      <c r="L472" s="10"/>
      <c r="M472" s="58">
        <f>SUMPRODUCT($E$463:$E$469,$B$463:$B$469,M463:M469)/SUMPRODUCT($B$463:$B$469,M463:M469)</f>
        <v>-0.17880715550735762</v>
      </c>
      <c r="N472" s="10"/>
    </row>
    <row r="473" spans="2:20" x14ac:dyDescent="0.3">
      <c r="C473" s="74" t="s">
        <v>7</v>
      </c>
      <c r="D473" s="212"/>
      <c r="E473" s="213">
        <f>MAX(I470:L470)</f>
        <v>-0.12536896523300203</v>
      </c>
      <c r="F473" s="213">
        <f>MIN(I470:L470)</f>
        <v>-0.19945665743277702</v>
      </c>
      <c r="G473" s="212"/>
      <c r="I473" s="10"/>
      <c r="J473" s="10"/>
    </row>
    <row r="474" spans="2:20" x14ac:dyDescent="0.3">
      <c r="I474" s="10"/>
      <c r="J474" s="10"/>
    </row>
    <row r="475" spans="2:20" s="154" customFormat="1" ht="19.5" x14ac:dyDescent="0.4">
      <c r="B475" s="154" t="s">
        <v>197</v>
      </c>
      <c r="I475" s="227"/>
      <c r="J475" s="227"/>
    </row>
    <row r="477" spans="2:20" x14ac:dyDescent="0.3">
      <c r="C477" s="4" t="s">
        <v>197</v>
      </c>
      <c r="I477" s="58"/>
      <c r="J477" s="58"/>
      <c r="K477" s="58"/>
      <c r="L477" s="58"/>
    </row>
    <row r="478" spans="2:20" x14ac:dyDescent="0.3">
      <c r="C478" s="95" t="s">
        <v>1</v>
      </c>
      <c r="D478" s="95" t="s">
        <v>165</v>
      </c>
      <c r="E478" s="52" t="s">
        <v>2</v>
      </c>
      <c r="F478" s="52" t="s">
        <v>3</v>
      </c>
      <c r="G478" s="52" t="s">
        <v>4</v>
      </c>
      <c r="H478" s="52" t="s">
        <v>114</v>
      </c>
    </row>
    <row r="479" spans="2:20" x14ac:dyDescent="0.3">
      <c r="B479" s="3">
        <v>1</v>
      </c>
      <c r="C479" s="162" t="str">
        <f>$C$511</f>
        <v>Stokes et al. (2020)</v>
      </c>
      <c r="D479" s="158" t="str">
        <f>J508</f>
        <v>Public events cancellation (24 days)</v>
      </c>
      <c r="E479" s="112">
        <f>AVERAGE(E480:E481)</f>
        <v>2.0018173750722998E-2</v>
      </c>
      <c r="F479" s="160">
        <f>SQRT(SUMSQ(F480:F481)/COUNT(F480:F481))</f>
        <v>2.1652181080783008E-2</v>
      </c>
      <c r="G479" s="168">
        <f>1/F479</f>
        <v>46.184723666824098</v>
      </c>
      <c r="H479" s="161"/>
      <c r="Q479" s="10"/>
      <c r="R479" s="10"/>
      <c r="S479" s="10"/>
    </row>
    <row r="480" spans="2:20" x14ac:dyDescent="0.3">
      <c r="C480" s="162"/>
      <c r="D480" s="163" t="s">
        <v>174</v>
      </c>
      <c r="E480" s="170">
        <f>J511</f>
        <v>-1.4625152907129822E-2</v>
      </c>
      <c r="F480" s="171">
        <f>J524</f>
        <v>2.3235518051885406E-2</v>
      </c>
      <c r="G480" s="172">
        <f t="shared" ref="G480:G481" si="93">1/F480</f>
        <v>43.037559901482666</v>
      </c>
      <c r="H480" s="169"/>
      <c r="I480" s="165"/>
      <c r="J480" s="165"/>
      <c r="R480" s="10"/>
      <c r="S480" s="10"/>
      <c r="T480" s="10"/>
    </row>
    <row r="481" spans="2:21" x14ac:dyDescent="0.3">
      <c r="C481" s="162"/>
      <c r="D481" s="163" t="s">
        <v>175</v>
      </c>
      <c r="E481" s="170">
        <f>K511</f>
        <v>5.4661500408575814E-2</v>
      </c>
      <c r="F481" s="171">
        <f>K524</f>
        <v>1.9943535092118016E-2</v>
      </c>
      <c r="G481" s="172">
        <f t="shared" si="93"/>
        <v>50.141561933782491</v>
      </c>
      <c r="H481" s="169"/>
      <c r="I481" s="165"/>
      <c r="J481" s="165"/>
      <c r="R481" s="10"/>
      <c r="S481" s="10"/>
      <c r="T481" s="10"/>
    </row>
    <row r="482" spans="2:21" x14ac:dyDescent="0.3">
      <c r="B482" s="3">
        <v>1</v>
      </c>
      <c r="C482" s="162" t="str">
        <f>$C$511</f>
        <v>Stokes et al. (2020)</v>
      </c>
      <c r="D482" s="158" t="str">
        <f>L508</f>
        <v>Restrictions on public transportation (24 days)</v>
      </c>
      <c r="E482" s="112">
        <f>AVERAGE(E483:E484)</f>
        <v>1.3500201437889291E-3</v>
      </c>
      <c r="F482" s="160">
        <f>SQRT(SUMSQ(F483:F484)/COUNT(F483:F484))</f>
        <v>2.4776784448131781E-2</v>
      </c>
      <c r="G482" s="168">
        <f>1/F482</f>
        <v>40.360362422872917</v>
      </c>
      <c r="H482" s="161"/>
      <c r="J482" s="10"/>
      <c r="K482" s="10"/>
      <c r="L482" s="10"/>
      <c r="Q482" s="10"/>
      <c r="R482" s="10"/>
      <c r="S482" s="10"/>
    </row>
    <row r="483" spans="2:21" x14ac:dyDescent="0.3">
      <c r="C483" s="162"/>
      <c r="D483" s="163" t="s">
        <v>174</v>
      </c>
      <c r="E483" s="170">
        <f>L511</f>
        <v>2.0179008441482918E-2</v>
      </c>
      <c r="F483" s="171">
        <f>L524</f>
        <v>2.6588611104088382E-2</v>
      </c>
      <c r="G483" s="172">
        <f t="shared" ref="G483:G484" si="94">1/F483</f>
        <v>37.610087871277926</v>
      </c>
      <c r="H483" s="169"/>
      <c r="I483" s="165"/>
      <c r="J483" s="165"/>
      <c r="R483" s="10"/>
      <c r="S483" s="10"/>
      <c r="T483" s="10"/>
    </row>
    <row r="484" spans="2:21" x14ac:dyDescent="0.3">
      <c r="C484" s="162"/>
      <c r="D484" s="163" t="s">
        <v>175</v>
      </c>
      <c r="E484" s="170">
        <f>M511</f>
        <v>-1.747896815390506E-2</v>
      </c>
      <c r="F484" s="171">
        <f>M524</f>
        <v>2.2821565562728546E-2</v>
      </c>
      <c r="G484" s="172">
        <f t="shared" si="94"/>
        <v>43.818203324015954</v>
      </c>
      <c r="H484" s="169"/>
      <c r="I484" s="165"/>
      <c r="J484" s="165"/>
      <c r="R484" s="10"/>
      <c r="S484" s="10"/>
      <c r="T484" s="10"/>
    </row>
    <row r="485" spans="2:21" x14ac:dyDescent="0.3">
      <c r="B485" s="3">
        <v>1</v>
      </c>
      <c r="C485" s="162" t="str">
        <f>$C$511</f>
        <v>Stokes et al. (2020)</v>
      </c>
      <c r="D485" s="158" t="str">
        <f>N508</f>
        <v>Restrictions on internal movement  (24 days)</v>
      </c>
      <c r="E485" s="112">
        <f>AVERAGE(E486:E487)</f>
        <v>1.387367869415804E-2</v>
      </c>
      <c r="F485" s="160">
        <f>SQRT(SUMSQ(F486:F487)/COUNT(F486:F487))</f>
        <v>2.4116656976156683E-2</v>
      </c>
      <c r="G485" s="168">
        <f>1/F485</f>
        <v>41.465116868754485</v>
      </c>
      <c r="H485" s="161"/>
      <c r="J485" s="10"/>
      <c r="K485" s="10"/>
      <c r="L485" s="10"/>
      <c r="Q485" s="10"/>
      <c r="R485" s="10"/>
      <c r="S485" s="10"/>
    </row>
    <row r="486" spans="2:21" x14ac:dyDescent="0.3">
      <c r="C486" s="162"/>
      <c r="D486" s="163" t="s">
        <v>174</v>
      </c>
      <c r="E486" s="170">
        <f>N511</f>
        <v>5.183598498729557E-3</v>
      </c>
      <c r="F486" s="171">
        <f>N524</f>
        <v>2.588021116348212E-2</v>
      </c>
      <c r="G486" s="172">
        <f t="shared" ref="G486:G487" si="95">1/F486</f>
        <v>38.639561079433342</v>
      </c>
      <c r="H486" s="169"/>
      <c r="I486" s="165"/>
      <c r="J486" s="165"/>
      <c r="R486" s="10"/>
      <c r="S486" s="10"/>
      <c r="T486" s="10"/>
    </row>
    <row r="487" spans="2:21" x14ac:dyDescent="0.3">
      <c r="C487" s="162"/>
      <c r="D487" s="163" t="s">
        <v>175</v>
      </c>
      <c r="E487" s="170">
        <f>O511</f>
        <v>2.2563758889586526E-2</v>
      </c>
      <c r="F487" s="171">
        <f>O524</f>
        <v>2.221353095626153E-2</v>
      </c>
      <c r="G487" s="172">
        <f t="shared" si="95"/>
        <v>45.01760669967333</v>
      </c>
      <c r="H487" s="169"/>
      <c r="I487" s="165"/>
      <c r="J487" s="165"/>
      <c r="R487" s="10"/>
      <c r="S487" s="10"/>
      <c r="T487" s="10"/>
    </row>
    <row r="488" spans="2:21" x14ac:dyDescent="0.3">
      <c r="B488" s="3">
        <v>1</v>
      </c>
      <c r="C488" s="253" t="str">
        <f>C510</f>
        <v>Leffler et al. (2020)</v>
      </c>
      <c r="D488" s="254" t="s">
        <v>198</v>
      </c>
      <c r="E488" s="138">
        <f>D510</f>
        <v>1.656326292407595E-2</v>
      </c>
      <c r="F488" s="255">
        <f>D523</f>
        <v>9.0154469080413385E-2</v>
      </c>
      <c r="G488" s="132">
        <f>1/F488</f>
        <v>11.092073528912348</v>
      </c>
      <c r="H488" s="256"/>
      <c r="J488" s="10"/>
      <c r="K488" s="10"/>
      <c r="L488" s="10"/>
      <c r="Q488" s="10"/>
      <c r="R488" s="10"/>
      <c r="S488" s="10"/>
    </row>
    <row r="492" spans="2:21" s="154" customFormat="1" ht="19.5" x14ac:dyDescent="0.4">
      <c r="B492" s="154" t="s">
        <v>199</v>
      </c>
    </row>
    <row r="494" spans="2:21" x14ac:dyDescent="0.3">
      <c r="C494" s="4" t="s">
        <v>13</v>
      </c>
      <c r="L494" s="4" t="s">
        <v>14</v>
      </c>
    </row>
    <row r="495" spans="2:21" x14ac:dyDescent="0.3">
      <c r="C495" s="5"/>
      <c r="D495" s="5" t="s">
        <v>19</v>
      </c>
      <c r="E495" s="5" t="s">
        <v>20</v>
      </c>
      <c r="F495" s="5" t="s">
        <v>21</v>
      </c>
      <c r="G495" s="5" t="s">
        <v>22</v>
      </c>
      <c r="H495" s="5" t="s">
        <v>23</v>
      </c>
      <c r="I495" s="5" t="s">
        <v>24</v>
      </c>
      <c r="J495" s="5" t="s">
        <v>25</v>
      </c>
      <c r="K495" s="5" t="s">
        <v>26</v>
      </c>
      <c r="L495" s="5" t="s">
        <v>27</v>
      </c>
      <c r="M495" s="5" t="s">
        <v>28</v>
      </c>
      <c r="N495" s="5" t="s">
        <v>29</v>
      </c>
      <c r="O495" s="5" t="s">
        <v>30</v>
      </c>
      <c r="P495" s="5" t="s">
        <v>31</v>
      </c>
      <c r="Q495" s="5" t="s">
        <v>32</v>
      </c>
      <c r="R495" s="5" t="s">
        <v>33</v>
      </c>
      <c r="S495" s="136" t="s">
        <v>34</v>
      </c>
      <c r="T495" s="5" t="s">
        <v>35</v>
      </c>
      <c r="U495" s="5" t="s">
        <v>36</v>
      </c>
    </row>
    <row r="496" spans="2:21" x14ac:dyDescent="0.3">
      <c r="B496" s="185">
        <f>B547</f>
        <v>2</v>
      </c>
      <c r="C496" s="29" t="str">
        <f>D547</f>
        <v>Chernozhukov et al. (2021)</v>
      </c>
      <c r="D496" s="55">
        <v>43985</v>
      </c>
      <c r="E496" s="55" t="s">
        <v>49</v>
      </c>
      <c r="F496" s="29" t="s">
        <v>40</v>
      </c>
      <c r="G496" s="29" t="s">
        <v>41</v>
      </c>
      <c r="H496" s="29" t="s">
        <v>42</v>
      </c>
      <c r="I496" s="29" t="s">
        <v>42</v>
      </c>
      <c r="J496" s="29" t="s">
        <v>123</v>
      </c>
      <c r="K496" s="29" t="s">
        <v>57</v>
      </c>
      <c r="L496">
        <f>IF(G496=Input!$J$5,1,0)</f>
        <v>1</v>
      </c>
      <c r="M496">
        <f>IF(D496&gt;Input!$V$5,1,0)</f>
        <v>1</v>
      </c>
      <c r="N496">
        <f>INDEX(Input!$Y$5:$Y$10,MATCH(E496,Input!$X$5:$X$10,0))</f>
        <v>0</v>
      </c>
      <c r="O496">
        <f>IF(H496=Input!$AD$5,1,0)</f>
        <v>1</v>
      </c>
      <c r="P496">
        <f>IF(I496=Input!$AD$5,1,0)</f>
        <v>1</v>
      </c>
      <c r="Q496">
        <f>IFERROR(INDEX(Input!$Q$5:$Q$14,MATCH(J496,Input!$P$5:$P$14,0)),0)</f>
        <v>0</v>
      </c>
      <c r="R496">
        <f>IFERROR(INDEX(Input!$AB$5:$AB$9,MATCH(K496,Input!$AA$5:$AA$9,0)),0)</f>
        <v>1</v>
      </c>
      <c r="S496" s="114">
        <f>INDEX(Input!$D$4:$D$28,MATCH(F496,Input!$C$4:$C$28,0))</f>
        <v>1</v>
      </c>
      <c r="T496">
        <f>IF(MIN(O496,P496,R496)=1,1,0)</f>
        <v>1</v>
      </c>
      <c r="U496" s="11">
        <f>(SUM(L496:S496)/COUNT(L496:S496))^2</f>
        <v>0.5625</v>
      </c>
    </row>
    <row r="497" spans="2:43" x14ac:dyDescent="0.3">
      <c r="B497" s="185">
        <f>B595</f>
        <v>26</v>
      </c>
      <c r="C497" s="29" t="str">
        <f>D595</f>
        <v>Leffler et al. (2020)</v>
      </c>
      <c r="D497" s="55">
        <v>43960</v>
      </c>
      <c r="E497" s="55" t="s">
        <v>49</v>
      </c>
      <c r="F497" s="29" t="s">
        <v>200</v>
      </c>
      <c r="G497" s="29" t="s">
        <v>41</v>
      </c>
      <c r="H497" s="29" t="s">
        <v>50</v>
      </c>
      <c r="I497" s="29" t="s">
        <v>50</v>
      </c>
      <c r="J497" s="29" t="s">
        <v>124</v>
      </c>
      <c r="K497" s="29" t="s">
        <v>48</v>
      </c>
      <c r="L497">
        <f>IF(G497=Input!$J$5,1,0)</f>
        <v>1</v>
      </c>
      <c r="M497">
        <f>IF(D497&gt;Input!$V$5,1,0)</f>
        <v>0</v>
      </c>
      <c r="N497">
        <f>INDEX(Input!$Y$5:$Y$10,MATCH(E497,Input!$X$5:$X$10,0))</f>
        <v>0</v>
      </c>
      <c r="O497">
        <f>IF(H497=Input!$AD$5,1,0)</f>
        <v>0</v>
      </c>
      <c r="P497">
        <f>IF(I497=Input!$AD$5,1,0)</f>
        <v>0</v>
      </c>
      <c r="Q497">
        <f>IFERROR(INDEX(Input!$Q$5:$Q$14,MATCH(J497,Input!$P$5:$P$14,0)),0)</f>
        <v>1</v>
      </c>
      <c r="R497">
        <f>IFERROR(INDEX(Input!$AB$5:$AB$9,MATCH(K497,Input!$AA$5:$AA$9,0)),0)</f>
        <v>0</v>
      </c>
      <c r="S497" s="114">
        <f>INDEX(Input!$D$4:$D$28,MATCH(F497,Input!$C$4:$C$28,0))</f>
        <v>0</v>
      </c>
      <c r="T497">
        <f t="shared" ref="T497:T503" si="96">IF(MIN(O497,P497,R497)=1,1,0)</f>
        <v>0</v>
      </c>
      <c r="U497" s="11">
        <f t="shared" ref="U497:U503" si="97">(SUM(L497:S497)/COUNT(L497:S497))^2</f>
        <v>6.25E-2</v>
      </c>
    </row>
    <row r="498" spans="2:43" x14ac:dyDescent="0.3">
      <c r="B498" s="185">
        <f>B737</f>
        <v>71</v>
      </c>
      <c r="C498" s="29" t="str">
        <f>D737</f>
        <v>Stokes et al. (2020)</v>
      </c>
      <c r="D498" s="55">
        <v>43983</v>
      </c>
      <c r="E498" s="55" t="s">
        <v>49</v>
      </c>
      <c r="F498" s="29" t="s">
        <v>40</v>
      </c>
      <c r="G498" s="29" t="s">
        <v>54</v>
      </c>
      <c r="H498" s="29" t="s">
        <v>42</v>
      </c>
      <c r="I498" s="29" t="s">
        <v>42</v>
      </c>
      <c r="J498" s="29" t="s">
        <v>124</v>
      </c>
      <c r="K498" s="29" t="s">
        <v>57</v>
      </c>
      <c r="L498">
        <f>IF(G498=Input!$J$5,1,0)</f>
        <v>0</v>
      </c>
      <c r="M498">
        <f>IF(D498&gt;Input!$V$5,1,0)</f>
        <v>1</v>
      </c>
      <c r="N498">
        <f>INDEX(Input!$Y$5:$Y$10,MATCH(E498,Input!$X$5:$X$10,0))</f>
        <v>0</v>
      </c>
      <c r="O498">
        <f>IF(H498=Input!$AD$5,1,0)</f>
        <v>1</v>
      </c>
      <c r="P498">
        <f>IF(I498=Input!$AD$5,1,0)</f>
        <v>1</v>
      </c>
      <c r="Q498">
        <f>IFERROR(INDEX(Input!$Q$5:$Q$14,MATCH(J498,Input!$P$5:$P$14,0)),0)</f>
        <v>1</v>
      </c>
      <c r="R498">
        <f>IFERROR(INDEX(Input!$AB$5:$AB$9,MATCH(K498,Input!$AA$5:$AA$9,0)),0)</f>
        <v>1</v>
      </c>
      <c r="S498" s="114">
        <f>INDEX(Input!$D$4:$D$28,MATCH(F498,Input!$C$4:$C$28,0))</f>
        <v>1</v>
      </c>
      <c r="T498">
        <f t="shared" si="96"/>
        <v>1</v>
      </c>
      <c r="U498" s="11">
        <f t="shared" si="97"/>
        <v>0.5625</v>
      </c>
    </row>
    <row r="499" spans="2:43" x14ac:dyDescent="0.3">
      <c r="B499" s="185">
        <f>B1025</f>
        <v>75</v>
      </c>
      <c r="C499" s="29" t="str">
        <f>D1025</f>
        <v>Spiegel and Tookes (2021)</v>
      </c>
      <c r="D499" s="55">
        <v>44196</v>
      </c>
      <c r="E499" s="55" t="s">
        <v>46</v>
      </c>
      <c r="F499" s="29" t="s">
        <v>125</v>
      </c>
      <c r="G499" s="29" t="s">
        <v>41</v>
      </c>
      <c r="H499" s="29" t="s">
        <v>42</v>
      </c>
      <c r="I499" s="29" t="s">
        <v>50</v>
      </c>
      <c r="J499" s="29" t="s">
        <v>77</v>
      </c>
      <c r="K499" s="29" t="s">
        <v>57</v>
      </c>
      <c r="L499">
        <f>IF(G499=Input!$J$5,1,0)</f>
        <v>1</v>
      </c>
      <c r="M499">
        <f>IF(D499&gt;Input!$V$5,1,0)</f>
        <v>1</v>
      </c>
      <c r="N499">
        <f>INDEX(Input!$Y$5:$Y$10,MATCH(E499,Input!$X$5:$X$10,0))</f>
        <v>1</v>
      </c>
      <c r="O499">
        <f>IF(H499=Input!$AD$5,1,0)</f>
        <v>1</v>
      </c>
      <c r="P499">
        <f>IF(I499=Input!$AD$5,1,0)</f>
        <v>0</v>
      </c>
      <c r="Q499">
        <f>IFERROR(INDEX(Input!$Q$5:$Q$14,MATCH(J499,Input!$P$5:$P$14,0)),0)</f>
        <v>0</v>
      </c>
      <c r="R499">
        <f>IFERROR(INDEX(Input!$AB$5:$AB$9,MATCH(K499,Input!$AA$5:$AA$9,0)),0)</f>
        <v>1</v>
      </c>
      <c r="S499" s="114">
        <f>INDEX(Input!$D$4:$D$28,MATCH(F499,Input!$C$4:$C$28,0))</f>
        <v>1</v>
      </c>
      <c r="T499">
        <f t="shared" si="96"/>
        <v>0</v>
      </c>
      <c r="U499" s="11">
        <f t="shared" si="97"/>
        <v>0.5625</v>
      </c>
    </row>
    <row r="500" spans="2:43" x14ac:dyDescent="0.3">
      <c r="B500" s="185">
        <f>B1161</f>
        <v>92</v>
      </c>
      <c r="C500" s="29" t="str">
        <f>D1161</f>
        <v>Bonardi et al. (2020)</v>
      </c>
      <c r="D500" s="55">
        <v>43934</v>
      </c>
      <c r="E500" s="55" t="s">
        <v>39</v>
      </c>
      <c r="F500" s="29" t="s">
        <v>40</v>
      </c>
      <c r="G500" s="29" t="s">
        <v>54</v>
      </c>
      <c r="H500" s="29" t="s">
        <v>42</v>
      </c>
      <c r="I500" s="29" t="s">
        <v>42</v>
      </c>
      <c r="J500" s="29" t="s">
        <v>77</v>
      </c>
      <c r="K500" s="29" t="s">
        <v>126</v>
      </c>
      <c r="L500">
        <f>IF(G500=Input!$J$5,1,0)</f>
        <v>0</v>
      </c>
      <c r="M500">
        <f>IF(D500&gt;Input!$V$5,1,0)</f>
        <v>0</v>
      </c>
      <c r="N500">
        <f>INDEX(Input!$Y$5:$Y$10,MATCH(E500,Input!$X$5:$X$10,0))</f>
        <v>0</v>
      </c>
      <c r="O500">
        <f>IF(H500=Input!$AD$5,1,0)</f>
        <v>1</v>
      </c>
      <c r="P500">
        <f>IF(I500=Input!$AD$5,1,0)</f>
        <v>1</v>
      </c>
      <c r="Q500">
        <f>IFERROR(INDEX(Input!$Q$5:$Q$14,MATCH(J500,Input!$P$5:$P$14,0)),0)</f>
        <v>0</v>
      </c>
      <c r="R500">
        <f>IFERROR(INDEX(Input!$AB$5:$AB$9,MATCH(K500,Input!$AA$5:$AA$9,0)),0)</f>
        <v>1</v>
      </c>
      <c r="S500" s="114">
        <f>INDEX(Input!$D$4:$D$28,MATCH(F500,Input!$C$4:$C$28,0))</f>
        <v>1</v>
      </c>
      <c r="T500">
        <f t="shared" ref="T500" si="98">IF(MIN(O500,P500,R500)=1,1,0)</f>
        <v>1</v>
      </c>
      <c r="U500" s="11">
        <f t="shared" ref="U500" si="99">(SUM(L500:S500)/COUNT(L500:S500))^2</f>
        <v>0.25</v>
      </c>
    </row>
    <row r="501" spans="2:43" x14ac:dyDescent="0.3">
      <c r="B501" s="185">
        <f>B1181</f>
        <v>98</v>
      </c>
      <c r="C501" s="29" t="str">
        <f>D1181</f>
        <v>Guo et al. (2021)</v>
      </c>
      <c r="D501" s="55">
        <v>43928</v>
      </c>
      <c r="E501" s="55" t="s">
        <v>49</v>
      </c>
      <c r="F501" s="29" t="s">
        <v>127</v>
      </c>
      <c r="G501" s="29" t="s">
        <v>41</v>
      </c>
      <c r="H501" s="29" t="s">
        <v>50</v>
      </c>
      <c r="I501" s="29" t="s">
        <v>42</v>
      </c>
      <c r="J501" s="29" t="s">
        <v>77</v>
      </c>
      <c r="K501" s="29" t="s">
        <v>48</v>
      </c>
      <c r="L501">
        <f>IF(G501=Input!$J$5,1,0)</f>
        <v>1</v>
      </c>
      <c r="M501">
        <f>IF(D501&gt;Input!$V$5,1,0)</f>
        <v>0</v>
      </c>
      <c r="N501">
        <f>INDEX(Input!$Y$5:$Y$10,MATCH(E501,Input!$X$5:$X$10,0))</f>
        <v>0</v>
      </c>
      <c r="O501">
        <f>IF(H501=Input!$AD$5,1,0)</f>
        <v>0</v>
      </c>
      <c r="P501">
        <f>IF(I501=Input!$AD$5,1,0)</f>
        <v>1</v>
      </c>
      <c r="Q501">
        <f>IFERROR(INDEX(Input!$Q$5:$Q$14,MATCH(J501,Input!$P$5:$P$14,0)),0)</f>
        <v>0</v>
      </c>
      <c r="R501">
        <f>IFERROR(INDEX(Input!$AB$5:$AB$9,MATCH(K501,Input!$AA$5:$AA$9,0)),0)</f>
        <v>0</v>
      </c>
      <c r="S501" s="114">
        <f>INDEX(Input!$D$4:$D$28,MATCH(F501,Input!$C$4:$C$28,0))</f>
        <v>1</v>
      </c>
      <c r="T501">
        <f t="shared" si="96"/>
        <v>0</v>
      </c>
      <c r="U501" s="11">
        <f t="shared" si="97"/>
        <v>0.140625</v>
      </c>
    </row>
    <row r="502" spans="2:43" x14ac:dyDescent="0.3">
      <c r="B502" s="185">
        <f>B1231</f>
        <v>111</v>
      </c>
      <c r="C502" s="29" t="str">
        <f>D1231</f>
        <v>An et al. (2021)</v>
      </c>
      <c r="D502" s="55">
        <v>44027</v>
      </c>
      <c r="E502" s="55" t="s">
        <v>49</v>
      </c>
      <c r="F502" s="29" t="s">
        <v>128</v>
      </c>
      <c r="G502" s="29" t="s">
        <v>41</v>
      </c>
      <c r="H502" s="29" t="s">
        <v>42</v>
      </c>
      <c r="I502" s="29" t="s">
        <v>42</v>
      </c>
      <c r="J502" s="29" t="s">
        <v>129</v>
      </c>
      <c r="K502" s="29" t="s">
        <v>48</v>
      </c>
      <c r="L502">
        <f>IF(G502=Input!$J$5,1,0)</f>
        <v>1</v>
      </c>
      <c r="M502">
        <f>IF(D502&gt;Input!$V$5,1,0)</f>
        <v>1</v>
      </c>
      <c r="N502">
        <f>INDEX(Input!$Y$5:$Y$10,MATCH(E502,Input!$X$5:$X$10,0))</f>
        <v>0</v>
      </c>
      <c r="O502">
        <f>IF(H502=Input!$AD$5,1,0)</f>
        <v>1</v>
      </c>
      <c r="P502">
        <f>IF(I502=Input!$AD$5,1,0)</f>
        <v>1</v>
      </c>
      <c r="Q502">
        <f>IFERROR(INDEX(Input!$Q$5:$Q$14,MATCH(J502,Input!$P$5:$P$14,0)),0)</f>
        <v>1</v>
      </c>
      <c r="R502">
        <f>IFERROR(INDEX(Input!$AB$5:$AB$9,MATCH(K502,Input!$AA$5:$AA$9,0)),0)</f>
        <v>0</v>
      </c>
      <c r="S502" s="114">
        <f>INDEX(Input!$D$4:$D$28,MATCH(F502,Input!$C$4:$C$28,0))</f>
        <v>1</v>
      </c>
      <c r="T502">
        <f t="shared" si="96"/>
        <v>0</v>
      </c>
      <c r="U502" s="11">
        <f t="shared" si="97"/>
        <v>0.5625</v>
      </c>
    </row>
    <row r="503" spans="2:43" x14ac:dyDescent="0.3">
      <c r="B503" s="185">
        <f>B1337</f>
        <v>136</v>
      </c>
      <c r="C503" s="30" t="str">
        <f>D1337</f>
        <v>Ertem et al. (2022)</v>
      </c>
      <c r="D503" s="54">
        <v>44186</v>
      </c>
      <c r="E503" s="54" t="s">
        <v>201</v>
      </c>
      <c r="F503" s="30" t="s">
        <v>202</v>
      </c>
      <c r="G503" s="30" t="s">
        <v>41</v>
      </c>
      <c r="H503" s="30" t="s">
        <v>42</v>
      </c>
      <c r="I503" s="30" t="s">
        <v>42</v>
      </c>
      <c r="J503" s="30" t="s">
        <v>134</v>
      </c>
      <c r="K503" s="30" t="s">
        <v>48</v>
      </c>
      <c r="L503" s="12">
        <f>IF(G503=Input!$J$5,1,0)</f>
        <v>1</v>
      </c>
      <c r="M503" s="12">
        <f>IF(D503&gt;Input!$V$5,1,0)</f>
        <v>1</v>
      </c>
      <c r="N503" s="12">
        <f>INDEX(Input!$Y$5:$Y$10,MATCH(E503,Input!$X$5:$X$10,0))</f>
        <v>1</v>
      </c>
      <c r="O503" s="12">
        <f>IF(H503=Input!$AD$5,1,0)</f>
        <v>1</v>
      </c>
      <c r="P503" s="12">
        <f>IF(I503=Input!$AD$5,1,0)</f>
        <v>1</v>
      </c>
      <c r="Q503" s="12">
        <f>IFERROR(INDEX(Input!$Q$5:$Q$14,MATCH(J503,Input!$P$5:$P$14,0)),0)</f>
        <v>0</v>
      </c>
      <c r="R503" s="12">
        <f>IFERROR(INDEX(Input!$AB$5:$AB$9,MATCH(K503,Input!$AA$5:$AA$9,0)),0)</f>
        <v>0</v>
      </c>
      <c r="S503" s="42">
        <f>INDEX(Input!$D$4:$D$28,MATCH(F503,Input!$C$4:$C$28,0))</f>
        <v>0</v>
      </c>
      <c r="T503" s="12">
        <f t="shared" si="96"/>
        <v>0</v>
      </c>
      <c r="U503" s="13">
        <f t="shared" si="97"/>
        <v>0.390625</v>
      </c>
    </row>
    <row r="506" spans="2:43" x14ac:dyDescent="0.3">
      <c r="M506" s="18"/>
      <c r="N506" s="18"/>
      <c r="Z506" s="4"/>
    </row>
    <row r="507" spans="2:43" x14ac:dyDescent="0.3">
      <c r="B507" s="4" t="s">
        <v>948</v>
      </c>
      <c r="C507" s="10"/>
      <c r="M507" s="18"/>
      <c r="N507" s="18"/>
      <c r="AA507" s="4"/>
    </row>
    <row r="508" spans="2:43" ht="71.25" x14ac:dyDescent="0.3">
      <c r="B508" s="75" t="s">
        <v>9</v>
      </c>
      <c r="C508" s="52" t="s">
        <v>10</v>
      </c>
      <c r="D508" s="85" t="s">
        <v>203</v>
      </c>
      <c r="E508" s="85" t="s">
        <v>204</v>
      </c>
      <c r="F508" s="85" t="s">
        <v>192</v>
      </c>
      <c r="G508" s="85" t="s">
        <v>205</v>
      </c>
      <c r="H508" s="85" t="s">
        <v>206</v>
      </c>
      <c r="I508" s="85" t="s">
        <v>207</v>
      </c>
      <c r="J508" s="85" t="s">
        <v>208</v>
      </c>
      <c r="K508" s="85" t="s">
        <v>209</v>
      </c>
      <c r="L508" s="85" t="s">
        <v>210</v>
      </c>
      <c r="M508" s="85" t="s">
        <v>211</v>
      </c>
      <c r="N508" s="85" t="s">
        <v>212</v>
      </c>
      <c r="O508" s="85" t="s">
        <v>213</v>
      </c>
      <c r="P508" s="85" t="s">
        <v>146</v>
      </c>
      <c r="Q508" s="85" t="s">
        <v>172</v>
      </c>
      <c r="R508" s="85" t="s">
        <v>214</v>
      </c>
      <c r="S508" s="85" t="s">
        <v>215</v>
      </c>
      <c r="T508" s="85" t="s">
        <v>216</v>
      </c>
      <c r="U508" s="85" t="s">
        <v>217</v>
      </c>
      <c r="V508" s="85" t="s">
        <v>218</v>
      </c>
      <c r="W508" s="85" t="s">
        <v>219</v>
      </c>
      <c r="X508" s="85" t="s">
        <v>220</v>
      </c>
      <c r="Y508" s="85" t="s">
        <v>221</v>
      </c>
      <c r="Z508" s="85" t="s">
        <v>222</v>
      </c>
      <c r="AA508" s="85" t="s">
        <v>189</v>
      </c>
      <c r="AB508" s="85" t="s">
        <v>223</v>
      </c>
      <c r="AC508" s="85" t="s">
        <v>224</v>
      </c>
      <c r="AD508" s="85" t="s">
        <v>225</v>
      </c>
      <c r="AE508" s="85" t="s">
        <v>181</v>
      </c>
      <c r="AF508" s="85" t="s">
        <v>226</v>
      </c>
      <c r="AG508" s="85" t="s">
        <v>227</v>
      </c>
      <c r="AH508" s="85" t="s">
        <v>228</v>
      </c>
      <c r="AI508" s="85" t="s">
        <v>229</v>
      </c>
      <c r="AJ508" s="85" t="s">
        <v>230</v>
      </c>
      <c r="AK508" s="85" t="s">
        <v>231</v>
      </c>
      <c r="AL508" s="85" t="s">
        <v>232</v>
      </c>
      <c r="AM508" s="85" t="s">
        <v>233</v>
      </c>
      <c r="AN508" s="85" t="s">
        <v>234</v>
      </c>
    </row>
    <row r="509" spans="2:43" x14ac:dyDescent="0.3">
      <c r="B509" s="81">
        <f>B547</f>
        <v>2</v>
      </c>
      <c r="C509" s="105" t="str">
        <f>D547</f>
        <v>Chernozhukov et al. (2021)</v>
      </c>
      <c r="D509" s="337"/>
      <c r="E509" s="337"/>
      <c r="F509" s="338"/>
      <c r="G509" s="337"/>
      <c r="H509" s="337"/>
      <c r="I509" s="338">
        <f>H550</f>
        <v>-0.34</v>
      </c>
      <c r="J509" s="338"/>
      <c r="K509" s="338"/>
      <c r="L509" s="338"/>
      <c r="M509" s="338"/>
      <c r="N509" s="338"/>
      <c r="O509" s="338"/>
      <c r="P509" s="339">
        <f>H551</f>
        <v>-0.2857142857142857</v>
      </c>
      <c r="Q509" s="339"/>
      <c r="R509" s="338"/>
      <c r="S509" s="338"/>
      <c r="T509" s="338"/>
      <c r="U509" s="338"/>
      <c r="V509" s="338"/>
      <c r="W509" s="338"/>
      <c r="X509" s="337"/>
      <c r="Y509" s="337"/>
      <c r="Z509" s="337"/>
      <c r="AA509" s="337"/>
      <c r="AB509" s="337"/>
      <c r="AC509" s="337"/>
      <c r="AD509" s="337"/>
      <c r="AE509" s="337"/>
      <c r="AF509" s="337"/>
      <c r="AG509" s="337"/>
      <c r="AH509" s="337"/>
      <c r="AI509" s="337"/>
      <c r="AJ509" s="337"/>
      <c r="AK509" s="337"/>
      <c r="AL509" s="337"/>
      <c r="AM509" s="340"/>
      <c r="AN509" s="341" t="str">
        <f>C555</f>
        <v>Business closure is average of closed nonessential businesses, closed restaurants except takeout, and closed movie theaters</v>
      </c>
      <c r="AP509" s="26"/>
      <c r="AQ509" s="18"/>
    </row>
    <row r="510" spans="2:43" x14ac:dyDescent="0.3">
      <c r="B510" s="81">
        <f>B595</f>
        <v>26</v>
      </c>
      <c r="C510" s="106" t="str">
        <f>D595</f>
        <v>Leffler et al. (2020)</v>
      </c>
      <c r="D510" s="342">
        <f>H601</f>
        <v>1.656326292407595E-2</v>
      </c>
      <c r="E510" s="343"/>
      <c r="F510" s="344"/>
      <c r="G510" s="343"/>
      <c r="H510" s="343"/>
      <c r="I510" s="344"/>
      <c r="J510" s="344"/>
      <c r="K510" s="344"/>
      <c r="L510" s="344"/>
      <c r="M510" s="344"/>
      <c r="N510" s="344"/>
      <c r="O510" s="344"/>
      <c r="P510" s="343"/>
      <c r="Q510" s="343"/>
      <c r="R510" s="343"/>
      <c r="S510" s="343"/>
      <c r="T510" s="343"/>
      <c r="U510" s="343"/>
      <c r="V510" s="343"/>
      <c r="W510" s="343"/>
      <c r="X510" s="343">
        <f>H602</f>
        <v>-0.15641812685587186</v>
      </c>
      <c r="Y510" s="343"/>
      <c r="Z510" s="343"/>
      <c r="AA510" s="343"/>
      <c r="AB510" s="343"/>
      <c r="AC510" s="343"/>
      <c r="AD510" s="343"/>
      <c r="AE510" s="343"/>
      <c r="AF510" s="344"/>
      <c r="AG510" s="344"/>
      <c r="AH510" s="344"/>
      <c r="AI510" s="344"/>
      <c r="AJ510" s="344"/>
      <c r="AK510" s="344"/>
      <c r="AL510" s="344"/>
      <c r="AM510" s="345"/>
      <c r="AN510" s="346" t="str">
        <f>J601&amp;CHAR(10)&amp;J600</f>
        <v>"lockdowns, defined as any closure of schools or workplaces, limits on public gatherings or internal movement, or stay-at-home orders"
&lt;- Masker ikke medtaget, da det er en anbefaling og ikke et påbud, og derfor vil fungere anderledes.</v>
      </c>
      <c r="AP510" s="26"/>
    </row>
    <row r="511" spans="2:43" x14ac:dyDescent="0.3">
      <c r="B511" s="81">
        <f>B737</f>
        <v>71</v>
      </c>
      <c r="C511" s="106" t="str">
        <f>D737</f>
        <v>Stokes et al. (2020)</v>
      </c>
      <c r="D511" s="343"/>
      <c r="E511" s="343"/>
      <c r="F511" s="344"/>
      <c r="G511" s="343"/>
      <c r="H511" s="343"/>
      <c r="I511" s="344"/>
      <c r="J511" s="347">
        <f>D745</f>
        <v>-1.4625152907129822E-2</v>
      </c>
      <c r="K511" s="343">
        <f>E745</f>
        <v>5.4661500408575814E-2</v>
      </c>
      <c r="L511" s="343">
        <f>D747</f>
        <v>2.0179008441482918E-2</v>
      </c>
      <c r="M511" s="343">
        <f>E747</f>
        <v>-1.747896815390506E-2</v>
      </c>
      <c r="N511" s="343">
        <f>D749</f>
        <v>5.183598498729557E-3</v>
      </c>
      <c r="O511" s="343">
        <f>E749</f>
        <v>2.2563758889586526E-2</v>
      </c>
      <c r="P511" s="343"/>
      <c r="Q511" s="343"/>
      <c r="R511" s="343">
        <f>D744</f>
        <v>-4.7763157595436631E-2</v>
      </c>
      <c r="S511" s="343">
        <f>E744</f>
        <v>-4.9735609383384394E-2</v>
      </c>
      <c r="T511" s="343"/>
      <c r="U511" s="343"/>
      <c r="V511" s="343"/>
      <c r="W511" s="343"/>
      <c r="X511" s="344"/>
      <c r="Y511" s="343">
        <f>D750</f>
        <v>-2.0734393994918228E-2</v>
      </c>
      <c r="Z511" s="343">
        <f>E750</f>
        <v>-0.10026571731921902</v>
      </c>
      <c r="AA511" s="343"/>
      <c r="AB511" s="344"/>
      <c r="AC511" s="343">
        <f>D743</f>
        <v>-2.2030293619600617E-2</v>
      </c>
      <c r="AD511" s="343">
        <f>E743</f>
        <v>-0.19671784158667693</v>
      </c>
      <c r="AE511" s="343"/>
      <c r="AF511" s="344"/>
      <c r="AG511" s="344"/>
      <c r="AH511" s="344"/>
      <c r="AI511" s="343">
        <f>D746</f>
        <v>2.4436964351153626E-2</v>
      </c>
      <c r="AJ511" s="343">
        <f>E746</f>
        <v>5.2119105040735081E-2</v>
      </c>
      <c r="AK511" s="343"/>
      <c r="AL511" s="343"/>
      <c r="AM511" s="348"/>
      <c r="AN511" s="346"/>
      <c r="AP511" s="26"/>
      <c r="AQ511" s="18"/>
    </row>
    <row r="512" spans="2:43" x14ac:dyDescent="0.3">
      <c r="B512" s="81">
        <f>B1025</f>
        <v>75</v>
      </c>
      <c r="C512" s="106" t="str">
        <f>D1025</f>
        <v>Spiegel and Tookes (2021)</v>
      </c>
      <c r="D512" s="343"/>
      <c r="E512" s="344"/>
      <c r="F512" s="343">
        <f>S1036</f>
        <v>-0.12178686224489796</v>
      </c>
      <c r="G512" s="344"/>
      <c r="H512" s="344"/>
      <c r="I512" s="343">
        <f>S1034</f>
        <v>-0.1492048469387755</v>
      </c>
      <c r="J512" s="343"/>
      <c r="K512" s="343"/>
      <c r="L512" s="343"/>
      <c r="M512" s="343"/>
      <c r="N512" s="343"/>
      <c r="O512" s="343"/>
      <c r="P512" s="344"/>
      <c r="Q512" s="343">
        <f>S1039</f>
        <v>-0.5024505102040816</v>
      </c>
      <c r="R512" s="343"/>
      <c r="S512" s="343"/>
      <c r="T512" s="343">
        <f>S1040</f>
        <v>-4.9097321428571435E-2</v>
      </c>
      <c r="U512" s="343">
        <f>S1037</f>
        <v>-3.8257653061224478E-3</v>
      </c>
      <c r="V512" s="343">
        <f>S1041</f>
        <v>-0.13772755102040815</v>
      </c>
      <c r="W512" s="343">
        <f>S1042</f>
        <v>0.15876926020408164</v>
      </c>
      <c r="X512" s="344"/>
      <c r="Y512" s="344"/>
      <c r="Z512" s="344"/>
      <c r="AA512" s="344"/>
      <c r="AB512" s="344"/>
      <c r="AC512" s="344"/>
      <c r="AD512" s="344"/>
      <c r="AE512" s="344"/>
      <c r="AF512" s="343">
        <f>S1031</f>
        <v>5.6748852040816318E-2</v>
      </c>
      <c r="AG512" s="343">
        <f>S1033</f>
        <v>6.7588520408163266E-2</v>
      </c>
      <c r="AH512" s="343"/>
      <c r="AI512" s="343"/>
      <c r="AJ512" s="343"/>
      <c r="AK512" s="343">
        <f>S1043</f>
        <v>4.4633928571428567E-2</v>
      </c>
      <c r="AL512" s="343">
        <f>S1044</f>
        <v>0.19128826530612247</v>
      </c>
      <c r="AM512" s="348">
        <f>S1045</f>
        <v>0.24357372448979592</v>
      </c>
      <c r="AN512" s="349"/>
      <c r="AP512" s="26"/>
      <c r="AQ512" s="18"/>
    </row>
    <row r="513" spans="1:43" x14ac:dyDescent="0.3">
      <c r="B513" s="81">
        <f>B1161</f>
        <v>92</v>
      </c>
      <c r="C513" s="106" t="str">
        <f>D1161</f>
        <v>Bonardi et al. (2020)</v>
      </c>
      <c r="D513" s="343"/>
      <c r="E513" s="343">
        <f>D1166</f>
        <v>0</v>
      </c>
      <c r="F513" s="343"/>
      <c r="G513" s="343"/>
      <c r="H513" s="343"/>
      <c r="I513" s="343"/>
      <c r="J513" s="343"/>
      <c r="K513" s="343"/>
      <c r="L513" s="343"/>
      <c r="M513" s="343"/>
      <c r="N513" s="343"/>
      <c r="O513" s="343"/>
      <c r="P513" s="344"/>
      <c r="Q513" s="343"/>
      <c r="R513" s="343"/>
      <c r="S513" s="343"/>
      <c r="T513" s="343"/>
      <c r="U513" s="343"/>
      <c r="V513" s="343"/>
      <c r="W513" s="343"/>
      <c r="X513" s="343">
        <f>D1167</f>
        <v>0</v>
      </c>
      <c r="Y513" s="343"/>
      <c r="Z513" s="343"/>
      <c r="AA513" s="343"/>
      <c r="AB513" s="344"/>
      <c r="AC513" s="344"/>
      <c r="AD513" s="344"/>
      <c r="AE513" s="344"/>
      <c r="AF513" s="343"/>
      <c r="AG513" s="343"/>
      <c r="AH513" s="343"/>
      <c r="AI513" s="343"/>
      <c r="AJ513" s="343"/>
      <c r="AK513" s="343"/>
      <c r="AL513" s="343"/>
      <c r="AM513" s="348"/>
      <c r="AN513" s="349"/>
      <c r="AP513" s="26"/>
      <c r="AQ513" s="18"/>
    </row>
    <row r="514" spans="1:43" x14ac:dyDescent="0.3">
      <c r="B514" s="81">
        <f>B1181</f>
        <v>98</v>
      </c>
      <c r="C514" s="106" t="str">
        <f>D1181</f>
        <v>Guo et al. (2021)</v>
      </c>
      <c r="D514" s="343"/>
      <c r="E514" s="343"/>
      <c r="F514" s="343"/>
      <c r="G514" s="343"/>
      <c r="H514" s="343"/>
      <c r="I514" s="343"/>
      <c r="J514" s="343"/>
      <c r="K514" s="343"/>
      <c r="L514" s="343"/>
      <c r="M514" s="343"/>
      <c r="N514" s="343"/>
      <c r="O514" s="343"/>
      <c r="P514" s="343">
        <f>H1192</f>
        <v>4.7E-2</v>
      </c>
      <c r="Q514" s="343">
        <f>H1191</f>
        <v>-5.5E-2</v>
      </c>
      <c r="R514" s="343"/>
      <c r="S514" s="343"/>
      <c r="T514" s="343"/>
      <c r="U514" s="343"/>
      <c r="V514" s="343"/>
      <c r="W514" s="343"/>
      <c r="X514" s="343"/>
      <c r="Y514" s="343"/>
      <c r="Z514" s="343"/>
      <c r="AA514" s="343">
        <f>H1193</f>
        <v>0.36299999999999999</v>
      </c>
      <c r="AB514" s="347">
        <f>H1187</f>
        <v>-2E-3</v>
      </c>
      <c r="AC514" s="347"/>
      <c r="AD514" s="347"/>
      <c r="AE514" s="347">
        <f>H1188</f>
        <v>0.20399999999999999</v>
      </c>
      <c r="AF514" s="343"/>
      <c r="AG514" s="343"/>
      <c r="AH514" s="343"/>
      <c r="AI514" s="343"/>
      <c r="AJ514" s="343"/>
      <c r="AK514" s="343">
        <f>H1190</f>
        <v>8.6999999999999994E-2</v>
      </c>
      <c r="AL514" s="343">
        <f>H1189</f>
        <v>2.7E-2</v>
      </c>
      <c r="AM514" s="348"/>
      <c r="AN514" s="349"/>
      <c r="AP514" s="26"/>
      <c r="AQ514" s="18"/>
    </row>
    <row r="515" spans="1:43" x14ac:dyDescent="0.3">
      <c r="B515" s="81">
        <f>B1231</f>
        <v>111</v>
      </c>
      <c r="C515" s="106" t="str">
        <f>D1231</f>
        <v>An et al. (2021)</v>
      </c>
      <c r="D515" s="343"/>
      <c r="E515" s="343"/>
      <c r="F515" s="343">
        <f>D1286</f>
        <v>-8.5202895658364086E-2</v>
      </c>
      <c r="G515" s="343">
        <f>E1286</f>
        <v>-7.9787747824888011E-2</v>
      </c>
      <c r="H515" s="343">
        <f>F1286</f>
        <v>-9.0618043491840161E-2</v>
      </c>
      <c r="I515" s="343"/>
      <c r="J515" s="343"/>
      <c r="K515" s="343"/>
      <c r="L515" s="343"/>
      <c r="M515" s="343"/>
      <c r="N515" s="343"/>
      <c r="O515" s="343"/>
      <c r="P515" s="343"/>
      <c r="Q515" s="343">
        <f>D1291</f>
        <v>-5.5390765533310848E-2</v>
      </c>
      <c r="R515" s="343">
        <f>E1291</f>
        <v>-7.5161053828260244E-2</v>
      </c>
      <c r="S515" s="343">
        <f>F1291</f>
        <v>-3.5620477238361453E-2</v>
      </c>
      <c r="T515" s="343"/>
      <c r="U515" s="343"/>
      <c r="V515" s="343"/>
      <c r="W515" s="343"/>
      <c r="X515" s="343">
        <f>D1287</f>
        <v>0.12099192582652503</v>
      </c>
      <c r="Y515" s="343">
        <f>E1287</f>
        <v>5.5181430317846517E-2</v>
      </c>
      <c r="Z515" s="343">
        <f>F1287</f>
        <v>0.18680242133520353</v>
      </c>
      <c r="AA515" s="343"/>
      <c r="AB515" s="347">
        <f>D1290</f>
        <v>3.7614799804670945E-2</v>
      </c>
      <c r="AC515" s="347">
        <f>E1290</f>
        <v>2.8109449265795769E-2</v>
      </c>
      <c r="AD515" s="347">
        <f>F1290</f>
        <v>4.7120150343546108E-2</v>
      </c>
      <c r="AE515" s="347"/>
      <c r="AF515" s="343"/>
      <c r="AG515" s="343"/>
      <c r="AH515" s="343">
        <f>D1289</f>
        <v>8.3873689133817514E-2</v>
      </c>
      <c r="AI515" s="343">
        <f>E1289</f>
        <v>1.1011907694220932E-2</v>
      </c>
      <c r="AJ515" s="343">
        <f>F1289</f>
        <v>0.15673547057341408</v>
      </c>
      <c r="AK515" s="343"/>
      <c r="AL515" s="343"/>
      <c r="AM515" s="348"/>
      <c r="AN515" s="349"/>
      <c r="AP515" s="26"/>
      <c r="AQ515" s="18"/>
    </row>
    <row r="516" spans="1:43" x14ac:dyDescent="0.3">
      <c r="B516" s="81">
        <f>B1337</f>
        <v>136</v>
      </c>
      <c r="C516" s="106" t="str">
        <f>D1337</f>
        <v>Ertem et al. (2022)</v>
      </c>
      <c r="D516" s="343"/>
      <c r="E516" s="343"/>
      <c r="F516" s="343"/>
      <c r="G516" s="343"/>
      <c r="H516" s="343"/>
      <c r="I516" s="343"/>
      <c r="J516" s="343"/>
      <c r="K516" s="343"/>
      <c r="L516" s="343"/>
      <c r="M516" s="343"/>
      <c r="N516" s="343"/>
      <c r="O516" s="343"/>
      <c r="P516" s="343"/>
      <c r="Q516" s="343"/>
      <c r="R516" s="343"/>
      <c r="S516" s="343"/>
      <c r="T516" s="343"/>
      <c r="U516" s="343"/>
      <c r="V516" s="343"/>
      <c r="W516" s="343"/>
      <c r="X516" s="343"/>
      <c r="Y516" s="343"/>
      <c r="Z516" s="343"/>
      <c r="AA516" s="343"/>
      <c r="AB516" s="347">
        <f>D1386</f>
        <v>-3.7275171570998022E-2</v>
      </c>
      <c r="AC516" s="347"/>
      <c r="AD516" s="347"/>
      <c r="AE516" s="347"/>
      <c r="AF516" s="343"/>
      <c r="AG516" s="343"/>
      <c r="AH516" s="343"/>
      <c r="AI516" s="343"/>
      <c r="AJ516" s="343"/>
      <c r="AK516" s="343"/>
      <c r="AL516" s="343"/>
      <c r="AM516" s="348"/>
      <c r="AN516" s="349"/>
      <c r="AP516" s="26"/>
      <c r="AQ516" s="18"/>
    </row>
    <row r="517" spans="1:43" x14ac:dyDescent="0.3">
      <c r="F517" s="10"/>
      <c r="AA517" s="58"/>
      <c r="AB517" s="58"/>
      <c r="AC517" s="58"/>
      <c r="AL517" s="18"/>
      <c r="AM517" s="18"/>
    </row>
    <row r="518" spans="1:43" x14ac:dyDescent="0.3">
      <c r="D518" s="19"/>
      <c r="E518" s="19"/>
      <c r="G518" s="19"/>
      <c r="H518" s="19"/>
      <c r="AL518" s="18"/>
      <c r="AM518" s="18"/>
    </row>
    <row r="519" spans="1:43" x14ac:dyDescent="0.3">
      <c r="AG519" s="10"/>
      <c r="AH519" s="10"/>
      <c r="AI519" s="10"/>
      <c r="AJ519" s="10"/>
      <c r="AK519" s="10"/>
      <c r="AL519" s="18"/>
      <c r="AM519" s="18"/>
    </row>
    <row r="520" spans="1:43" x14ac:dyDescent="0.3">
      <c r="A520" s="3" t="s">
        <v>235</v>
      </c>
      <c r="B520" s="4" t="s">
        <v>236</v>
      </c>
      <c r="T520" s="18"/>
      <c r="U520" s="18"/>
      <c r="AL520" s="4"/>
    </row>
    <row r="521" spans="1:43" ht="71.25" x14ac:dyDescent="0.3">
      <c r="B521" s="75" t="s">
        <v>9</v>
      </c>
      <c r="C521" s="52" t="s">
        <v>10</v>
      </c>
      <c r="D521" s="85" t="s">
        <v>203</v>
      </c>
      <c r="E521" s="85" t="s">
        <v>204</v>
      </c>
      <c r="F521" s="85" t="s">
        <v>192</v>
      </c>
      <c r="G521" s="85" t="s">
        <v>205</v>
      </c>
      <c r="H521" s="85" t="s">
        <v>206</v>
      </c>
      <c r="I521" s="85" t="s">
        <v>207</v>
      </c>
      <c r="J521" s="85" t="s">
        <v>208</v>
      </c>
      <c r="K521" s="85" t="s">
        <v>209</v>
      </c>
      <c r="L521" s="85" t="s">
        <v>210</v>
      </c>
      <c r="M521" s="85" t="s">
        <v>211</v>
      </c>
      <c r="N521" s="85" t="s">
        <v>212</v>
      </c>
      <c r="O521" s="85" t="s">
        <v>213</v>
      </c>
      <c r="P521" s="85" t="s">
        <v>146</v>
      </c>
      <c r="Q521" s="85" t="s">
        <v>237</v>
      </c>
      <c r="R521" s="85" t="s">
        <v>214</v>
      </c>
      <c r="S521" s="85" t="s">
        <v>215</v>
      </c>
      <c r="T521" s="85" t="s">
        <v>216</v>
      </c>
      <c r="U521" s="85" t="s">
        <v>217</v>
      </c>
      <c r="V521" s="85" t="s">
        <v>218</v>
      </c>
      <c r="W521" s="85" t="s">
        <v>219</v>
      </c>
      <c r="X521" s="85" t="s">
        <v>220</v>
      </c>
      <c r="Y521" s="85" t="s">
        <v>221</v>
      </c>
      <c r="Z521" s="85" t="s">
        <v>222</v>
      </c>
      <c r="AA521" s="85" t="s">
        <v>189</v>
      </c>
      <c r="AB521" s="85" t="s">
        <v>223</v>
      </c>
      <c r="AC521" s="85" t="s">
        <v>224</v>
      </c>
      <c r="AD521" s="85" t="s">
        <v>225</v>
      </c>
      <c r="AE521" s="85" t="s">
        <v>181</v>
      </c>
      <c r="AF521" s="85" t="s">
        <v>226</v>
      </c>
      <c r="AG521" s="85" t="s">
        <v>227</v>
      </c>
      <c r="AH521" s="85" t="s">
        <v>228</v>
      </c>
      <c r="AI521" s="85" t="s">
        <v>229</v>
      </c>
      <c r="AJ521" s="85" t="s">
        <v>230</v>
      </c>
      <c r="AK521" s="85" t="s">
        <v>231</v>
      </c>
      <c r="AL521" s="85" t="s">
        <v>232</v>
      </c>
      <c r="AM521" s="85" t="s">
        <v>233</v>
      </c>
    </row>
    <row r="522" spans="1:43" x14ac:dyDescent="0.3">
      <c r="B522" s="81">
        <f>B547</f>
        <v>2</v>
      </c>
      <c r="C522" s="105" t="str">
        <f>D547</f>
        <v>Chernozhukov et al. (2021)</v>
      </c>
      <c r="D522" s="337"/>
      <c r="E522" s="337"/>
      <c r="F522" s="338"/>
      <c r="G522" s="337"/>
      <c r="H522" s="337"/>
      <c r="I522" s="338">
        <f>I550</f>
        <v>8.5106382978723374E-2</v>
      </c>
      <c r="J522" s="338"/>
      <c r="K522" s="338"/>
      <c r="L522" s="338"/>
      <c r="M522" s="338"/>
      <c r="N522" s="338"/>
      <c r="O522" s="338"/>
      <c r="P522" s="339">
        <f>I551</f>
        <v>0.20842379504993483</v>
      </c>
      <c r="Q522" s="339"/>
      <c r="R522" s="338"/>
      <c r="S522" s="338"/>
      <c r="T522" s="338"/>
      <c r="U522" s="338"/>
      <c r="V522" s="338"/>
      <c r="W522" s="338"/>
      <c r="X522" s="337"/>
      <c r="Y522" s="337"/>
      <c r="Z522" s="337"/>
      <c r="AA522" s="337"/>
      <c r="AB522" s="337"/>
      <c r="AC522" s="337"/>
      <c r="AD522" s="337"/>
      <c r="AE522" s="337"/>
      <c r="AF522" s="337"/>
      <c r="AG522" s="337"/>
      <c r="AH522" s="337"/>
      <c r="AI522" s="337"/>
      <c r="AJ522" s="337"/>
      <c r="AK522" s="337"/>
      <c r="AL522" s="337"/>
      <c r="AM522" s="340"/>
      <c r="AP522" s="26"/>
      <c r="AQ522" s="18"/>
    </row>
    <row r="523" spans="1:43" x14ac:dyDescent="0.3">
      <c r="B523" s="81">
        <f>B595</f>
        <v>26</v>
      </c>
      <c r="C523" s="106" t="str">
        <f>D595</f>
        <v>Leffler et al. (2020)</v>
      </c>
      <c r="D523" s="342">
        <f>I601</f>
        <v>9.0154469080413385E-2</v>
      </c>
      <c r="E523" s="343"/>
      <c r="F523" s="344"/>
      <c r="G523" s="343"/>
      <c r="H523" s="343"/>
      <c r="I523" s="344"/>
      <c r="J523" s="344"/>
      <c r="K523" s="344"/>
      <c r="L523" s="344"/>
      <c r="M523" s="344"/>
      <c r="N523" s="344"/>
      <c r="O523" s="344"/>
      <c r="P523" s="343"/>
      <c r="Q523" s="343"/>
      <c r="R523" s="343"/>
      <c r="S523" s="343"/>
      <c r="T523" s="343"/>
      <c r="U523" s="343"/>
      <c r="V523" s="343"/>
      <c r="W523" s="343"/>
      <c r="X523" s="343">
        <f>I602</f>
        <v>5.7366061194085043E-2</v>
      </c>
      <c r="Y523" s="343"/>
      <c r="Z523" s="343"/>
      <c r="AA523" s="343"/>
      <c r="AB523" s="343"/>
      <c r="AC523" s="343"/>
      <c r="AD523" s="343"/>
      <c r="AE523" s="343"/>
      <c r="AF523" s="344"/>
      <c r="AG523" s="344"/>
      <c r="AH523" s="344"/>
      <c r="AI523" s="344"/>
      <c r="AJ523" s="344"/>
      <c r="AK523" s="344"/>
      <c r="AL523" s="344"/>
      <c r="AM523" s="345"/>
      <c r="AP523" s="26"/>
      <c r="AQ523" s="18"/>
    </row>
    <row r="524" spans="1:43" x14ac:dyDescent="0.3">
      <c r="B524" s="81">
        <f>B737</f>
        <v>71</v>
      </c>
      <c r="C524" s="106" t="str">
        <f>D737</f>
        <v>Stokes et al. (2020)</v>
      </c>
      <c r="D524" s="343"/>
      <c r="E524" s="343"/>
      <c r="F524" s="344"/>
      <c r="G524" s="343"/>
      <c r="H524" s="343"/>
      <c r="I524" s="344"/>
      <c r="J524" s="347">
        <f>G745</f>
        <v>2.3235518051885406E-2</v>
      </c>
      <c r="K524" s="347">
        <f>H745</f>
        <v>1.9943535092118016E-2</v>
      </c>
      <c r="L524" s="343">
        <f>G747</f>
        <v>2.6588611104088382E-2</v>
      </c>
      <c r="M524" s="343">
        <f>H747</f>
        <v>2.2821565562728546E-2</v>
      </c>
      <c r="N524" s="343">
        <f>G749</f>
        <v>2.588021116348212E-2</v>
      </c>
      <c r="O524" s="343">
        <f>H749</f>
        <v>2.221353095626153E-2</v>
      </c>
      <c r="P524" s="344"/>
      <c r="Q524" s="343"/>
      <c r="R524" s="343">
        <f>G744</f>
        <v>1.9551838360732845E-2</v>
      </c>
      <c r="S524" s="343">
        <f>H744</f>
        <v>1.6781755138489552E-2</v>
      </c>
      <c r="T524" s="343"/>
      <c r="U524" s="343"/>
      <c r="V524" s="343"/>
      <c r="W524" s="343"/>
      <c r="X524" s="344"/>
      <c r="Y524" s="343">
        <f>G750</f>
        <v>1.4167998812125247E-2</v>
      </c>
      <c r="Z524" s="343">
        <f>H750</f>
        <v>1.2160692129340253E-2</v>
      </c>
      <c r="AA524" s="343"/>
      <c r="AB524" s="344"/>
      <c r="AC524" s="343">
        <f>G743</f>
        <v>1.6812691923721958E-2</v>
      </c>
      <c r="AD524" s="343">
        <f>H743</f>
        <v>1.4430687993483769E-2</v>
      </c>
      <c r="AE524" s="343"/>
      <c r="AF524" s="344"/>
      <c r="AG524" s="344"/>
      <c r="AH524" s="344"/>
      <c r="AI524" s="343">
        <f>G746</f>
        <v>1.4026318824003996E-2</v>
      </c>
      <c r="AJ524" s="343">
        <f>H746</f>
        <v>1.2039085208046852E-2</v>
      </c>
      <c r="AK524" s="343"/>
      <c r="AL524" s="343"/>
      <c r="AM524" s="348"/>
      <c r="AP524" s="26"/>
      <c r="AQ524" s="18"/>
    </row>
    <row r="525" spans="1:43" x14ac:dyDescent="0.3">
      <c r="B525" s="81">
        <f>B1025</f>
        <v>75</v>
      </c>
      <c r="C525" s="106" t="str">
        <f>D1025</f>
        <v>Spiegel and Tookes (2021)</v>
      </c>
      <c r="D525" s="343"/>
      <c r="E525" s="344"/>
      <c r="F525" s="343">
        <f>T1036</f>
        <v>4.2721045918367354E-2</v>
      </c>
      <c r="G525" s="344"/>
      <c r="H525" s="344"/>
      <c r="I525" s="343">
        <f>T1034</f>
        <v>5.8661734693877546E-2</v>
      </c>
      <c r="J525" s="343"/>
      <c r="K525" s="343"/>
      <c r="L525" s="343"/>
      <c r="M525" s="343"/>
      <c r="N525" s="343"/>
      <c r="O525" s="343"/>
      <c r="P525" s="344"/>
      <c r="Q525" s="343">
        <f>T1039</f>
        <v>8.7354974489795914E-2</v>
      </c>
      <c r="R525" s="343"/>
      <c r="S525" s="343"/>
      <c r="T525" s="343">
        <f>T1040</f>
        <v>4.2083418367346942E-2</v>
      </c>
      <c r="U525" s="343">
        <f>T1037</f>
        <v>5.4198341836734693E-2</v>
      </c>
      <c r="V525" s="343">
        <f>T1041</f>
        <v>4.2721045918367347E-2</v>
      </c>
      <c r="W525" s="343">
        <f>T1042</f>
        <v>4.7822066326530611E-2</v>
      </c>
      <c r="X525" s="344"/>
      <c r="Y525" s="344"/>
      <c r="Z525" s="344"/>
      <c r="AA525" s="344"/>
      <c r="AB525" s="344"/>
      <c r="AC525" s="344"/>
      <c r="AD525" s="344"/>
      <c r="AE525" s="344"/>
      <c r="AF525" s="343">
        <f>T1031</f>
        <v>9.5644132653061223E-2</v>
      </c>
      <c r="AG525" s="343">
        <f>T1033</f>
        <v>4.0170535714285714E-2</v>
      </c>
      <c r="AH525" s="343"/>
      <c r="AI525" s="343"/>
      <c r="AJ525" s="343"/>
      <c r="AK525" s="343">
        <f>T1043</f>
        <v>8.0341071428571428E-2</v>
      </c>
      <c r="AL525" s="343">
        <f>T1044</f>
        <v>6.2487499999999994E-2</v>
      </c>
      <c r="AM525" s="348">
        <f>T1045</f>
        <v>6.6313265306122457E-2</v>
      </c>
      <c r="AN525" s="10"/>
      <c r="AP525" s="26"/>
      <c r="AQ525" s="18"/>
    </row>
    <row r="526" spans="1:43" x14ac:dyDescent="0.3">
      <c r="B526" s="81">
        <f>B1161</f>
        <v>92</v>
      </c>
      <c r="C526" s="106" t="str">
        <f>D1161</f>
        <v>Bonardi et al. (2020)</v>
      </c>
      <c r="D526" s="343"/>
      <c r="E526" s="343" t="str">
        <f>E1166</f>
        <v>n/a</v>
      </c>
      <c r="F526" s="343"/>
      <c r="G526" s="343"/>
      <c r="H526" s="343"/>
      <c r="I526" s="343"/>
      <c r="J526" s="343"/>
      <c r="K526" s="343"/>
      <c r="L526" s="343"/>
      <c r="M526" s="343"/>
      <c r="N526" s="343"/>
      <c r="O526" s="343"/>
      <c r="P526" s="344"/>
      <c r="Q526" s="343"/>
      <c r="R526" s="343"/>
      <c r="S526" s="343"/>
      <c r="T526" s="343"/>
      <c r="U526" s="343"/>
      <c r="V526" s="343"/>
      <c r="W526" s="343"/>
      <c r="X526" s="343" t="str">
        <f>E1167</f>
        <v>n/a</v>
      </c>
      <c r="Y526" s="343"/>
      <c r="Z526" s="343"/>
      <c r="AA526" s="343"/>
      <c r="AB526" s="344"/>
      <c r="AC526" s="344"/>
      <c r="AD526" s="344"/>
      <c r="AE526" s="344"/>
      <c r="AF526" s="343"/>
      <c r="AG526" s="343"/>
      <c r="AH526" s="343"/>
      <c r="AI526" s="343"/>
      <c r="AJ526" s="343"/>
      <c r="AK526" s="343"/>
      <c r="AL526" s="343"/>
      <c r="AM526" s="348"/>
      <c r="AN526" s="10"/>
      <c r="AP526" s="26"/>
      <c r="AQ526" s="18"/>
    </row>
    <row r="527" spans="1:43" x14ac:dyDescent="0.3">
      <c r="B527" s="81">
        <f>B1181</f>
        <v>98</v>
      </c>
      <c r="C527" s="106" t="str">
        <f>D1181</f>
        <v>Guo et al. (2021)</v>
      </c>
      <c r="D527" s="343"/>
      <c r="E527" s="343"/>
      <c r="F527" s="343"/>
      <c r="G527" s="343"/>
      <c r="H527" s="343"/>
      <c r="I527" s="343"/>
      <c r="J527" s="343"/>
      <c r="K527" s="343"/>
      <c r="L527" s="343"/>
      <c r="M527" s="343"/>
      <c r="N527" s="343"/>
      <c r="O527" s="343"/>
      <c r="P527" s="343">
        <f>I1192</f>
        <v>0.13600000000000001</v>
      </c>
      <c r="Q527" s="343">
        <f>I1191</f>
        <v>0.17399999999999999</v>
      </c>
      <c r="R527" s="343"/>
      <c r="S527" s="343"/>
      <c r="T527" s="343"/>
      <c r="U527" s="343"/>
      <c r="V527" s="343"/>
      <c r="W527" s="343"/>
      <c r="X527" s="343"/>
      <c r="Y527" s="343"/>
      <c r="Z527" s="343"/>
      <c r="AA527" s="343">
        <f>I1193</f>
        <v>0.16950000000000004</v>
      </c>
      <c r="AB527" s="343">
        <f>I1187</f>
        <v>0.23399999999999999</v>
      </c>
      <c r="AC527" s="343"/>
      <c r="AD527" s="343"/>
      <c r="AE527" s="343">
        <f>I1188</f>
        <v>0.17500000000000002</v>
      </c>
      <c r="AF527" s="343"/>
      <c r="AG527" s="343"/>
      <c r="AH527" s="343"/>
      <c r="AI527" s="343"/>
      <c r="AJ527" s="343"/>
      <c r="AK527" s="343">
        <f>I1190</f>
        <v>0.1305</v>
      </c>
      <c r="AL527" s="343">
        <f>I1189</f>
        <v>0.13150000000000001</v>
      </c>
      <c r="AM527" s="348"/>
      <c r="AN527" s="10"/>
      <c r="AP527" s="26"/>
      <c r="AQ527" s="18"/>
    </row>
    <row r="528" spans="1:43" x14ac:dyDescent="0.3">
      <c r="B528" s="81">
        <f>B1231</f>
        <v>111</v>
      </c>
      <c r="C528" s="106" t="str">
        <f>D1231</f>
        <v>An et al. (2021)</v>
      </c>
      <c r="D528" s="343"/>
      <c r="E528" s="343"/>
      <c r="F528" s="343">
        <f>G1286</f>
        <v>0.12697051365868833</v>
      </c>
      <c r="G528" s="343">
        <f>H1286</f>
        <v>0.17246217656994692</v>
      </c>
      <c r="H528" s="343">
        <f>I1286</f>
        <v>4.9998203270305297E-2</v>
      </c>
      <c r="I528" s="343"/>
      <c r="J528" s="343"/>
      <c r="K528" s="343"/>
      <c r="L528" s="343"/>
      <c r="M528" s="343"/>
      <c r="N528" s="343"/>
      <c r="O528" s="343"/>
      <c r="P528" s="343"/>
      <c r="Q528" s="343">
        <f>G1291</f>
        <v>0.13061828772755896</v>
      </c>
      <c r="R528" s="343">
        <f>H1291</f>
        <v>5.7604013115523808E-2</v>
      </c>
      <c r="S528" s="343">
        <f>I1291</f>
        <v>0.17551083114937754</v>
      </c>
      <c r="T528" s="343"/>
      <c r="U528" s="343"/>
      <c r="V528" s="343"/>
      <c r="W528" s="343"/>
      <c r="X528" s="343">
        <f>G1287</f>
        <v>8.4402899795809117E-2</v>
      </c>
      <c r="Y528" s="343">
        <f t="shared" ref="Y528:Z528" si="100">H1287</f>
        <v>5.3659208321751285E-2</v>
      </c>
      <c r="Z528" s="343">
        <f t="shared" si="100"/>
        <v>0.10662264464064698</v>
      </c>
      <c r="AA528" s="343"/>
      <c r="AB528" s="347">
        <f>G1290</f>
        <v>7.3738586927529187E-2</v>
      </c>
      <c r="AC528" s="347">
        <f>H1290</f>
        <v>7.5895839605882184E-2</v>
      </c>
      <c r="AD528" s="347">
        <f>I1290</f>
        <v>7.1516291393330503E-2</v>
      </c>
      <c r="AE528" s="347"/>
      <c r="AF528" s="343"/>
      <c r="AG528" s="343"/>
      <c r="AH528" s="343">
        <f>G1289</f>
        <v>0.12441937789339239</v>
      </c>
      <c r="AI528" s="343">
        <f t="shared" ref="AI528:AJ528" si="101">H1289</f>
        <v>8.1490846034556891E-2</v>
      </c>
      <c r="AJ528" s="343">
        <f t="shared" si="101"/>
        <v>0.15594744372169009</v>
      </c>
      <c r="AK528" s="343"/>
      <c r="AL528" s="343"/>
      <c r="AM528" s="348"/>
      <c r="AN528" s="10"/>
      <c r="AP528" s="26"/>
      <c r="AQ528" s="18"/>
    </row>
    <row r="529" spans="1:43" x14ac:dyDescent="0.3">
      <c r="B529" s="81">
        <f>B1337</f>
        <v>136</v>
      </c>
      <c r="C529" s="106" t="str">
        <f>D1337</f>
        <v>Ertem et al. (2022)</v>
      </c>
      <c r="D529" s="343"/>
      <c r="E529" s="343"/>
      <c r="F529" s="343"/>
      <c r="G529" s="343"/>
      <c r="H529" s="343"/>
      <c r="I529" s="343"/>
      <c r="J529" s="343"/>
      <c r="K529" s="343"/>
      <c r="L529" s="343"/>
      <c r="M529" s="343"/>
      <c r="N529" s="343"/>
      <c r="O529" s="343"/>
      <c r="P529" s="343"/>
      <c r="Q529" s="343"/>
      <c r="R529" s="343"/>
      <c r="S529" s="343"/>
      <c r="T529" s="343"/>
      <c r="U529" s="343"/>
      <c r="V529" s="343"/>
      <c r="W529" s="343"/>
      <c r="X529" s="343"/>
      <c r="Y529" s="343"/>
      <c r="Z529" s="343"/>
      <c r="AA529" s="343"/>
      <c r="AB529" s="347">
        <f>D1387</f>
        <v>1.9820994534012402E-2</v>
      </c>
      <c r="AC529" s="347"/>
      <c r="AD529" s="347"/>
      <c r="AE529" s="347"/>
      <c r="AF529" s="343"/>
      <c r="AG529" s="343"/>
      <c r="AH529" s="343"/>
      <c r="AI529" s="343"/>
      <c r="AJ529" s="343"/>
      <c r="AK529" s="343"/>
      <c r="AL529" s="343"/>
      <c r="AM529" s="348"/>
      <c r="AN529" s="10"/>
      <c r="AP529" s="26"/>
      <c r="AQ529" s="18"/>
    </row>
    <row r="530" spans="1:43" x14ac:dyDescent="0.3">
      <c r="G530" s="10"/>
      <c r="T530" s="26"/>
      <c r="U530" s="58"/>
      <c r="X530" s="18"/>
      <c r="Y530" s="18"/>
    </row>
    <row r="531" spans="1:43" x14ac:dyDescent="0.3">
      <c r="E531" s="58"/>
      <c r="F531" s="28"/>
      <c r="G531" s="58"/>
      <c r="H531" s="58"/>
      <c r="I531" s="58"/>
      <c r="J531" s="58"/>
      <c r="O531" s="10"/>
      <c r="U531" s="26"/>
      <c r="V531" s="58"/>
    </row>
    <row r="532" spans="1:43" x14ac:dyDescent="0.3">
      <c r="E532" s="10"/>
      <c r="F532" s="28"/>
      <c r="G532" s="58"/>
      <c r="H532" s="58"/>
      <c r="I532" s="58"/>
      <c r="J532" s="10"/>
      <c r="T532" s="26"/>
      <c r="U532" s="58"/>
    </row>
    <row r="533" spans="1:43" x14ac:dyDescent="0.3">
      <c r="E533" s="10"/>
      <c r="F533" s="26"/>
      <c r="G533" s="26"/>
      <c r="H533" s="26"/>
      <c r="I533" s="26"/>
      <c r="J533" s="26"/>
      <c r="T533" s="26"/>
      <c r="U533" s="58"/>
    </row>
    <row r="534" spans="1:43" s="84" customFormat="1" ht="48.75" customHeight="1" x14ac:dyDescent="0.3">
      <c r="A534" s="84" t="s">
        <v>238</v>
      </c>
    </row>
    <row r="537" spans="1:43" s="8" customFormat="1" ht="19.5" x14ac:dyDescent="0.4">
      <c r="B537" s="8">
        <v>1</v>
      </c>
      <c r="C537" s="8" t="s">
        <v>239</v>
      </c>
      <c r="D537" s="8" t="s" cm="1">
        <v>240</v>
      </c>
      <c r="G537" s="8" t="s">
        <v>241</v>
      </c>
    </row>
    <row r="539" spans="1:43" x14ac:dyDescent="0.3">
      <c r="D539" s="3" t="s">
        <v>242</v>
      </c>
      <c r="E539" s="3" t="s">
        <v>243</v>
      </c>
      <c r="F539" s="3" t="s">
        <v>244</v>
      </c>
      <c r="G539" s="3" t="s">
        <v>15</v>
      </c>
      <c r="J539" s="5"/>
      <c r="K539" s="5" t="s">
        <v>17</v>
      </c>
      <c r="L539" s="5" t="s">
        <v>245</v>
      </c>
      <c r="M539" s="5" t="s">
        <v>89</v>
      </c>
      <c r="N539" s="5"/>
    </row>
    <row r="540" spans="1:43" x14ac:dyDescent="0.3">
      <c r="B540" s="3" t="s">
        <v>246</v>
      </c>
      <c r="C540" s="5" t="s">
        <v>247</v>
      </c>
      <c r="D540" s="206">
        <f>K542</f>
        <v>-3.1714982727932828E-3</v>
      </c>
      <c r="E540" s="206">
        <f>L542</f>
        <v>-2.9925912160233548E-3</v>
      </c>
      <c r="F540" s="118">
        <v>-6.0000000000000001E-3</v>
      </c>
      <c r="G540" s="98">
        <v>1.6E-2</v>
      </c>
      <c r="J540" t="s">
        <v>248</v>
      </c>
      <c r="K540" s="31">
        <f>D143</f>
        <v>76.391666087864692</v>
      </c>
      <c r="L540" s="31">
        <f>E143</f>
        <v>74.089415216876617</v>
      </c>
      <c r="M540" s="22">
        <f>F143</f>
        <v>44.444444444444443</v>
      </c>
      <c r="N540"/>
      <c r="O540" s="19"/>
      <c r="P540" s="28"/>
      <c r="Q540" s="19"/>
      <c r="R540" s="19"/>
      <c r="S540" s="19"/>
      <c r="Z540" s="10"/>
      <c r="AA540" s="10"/>
      <c r="AB540" s="10"/>
      <c r="AC540" s="10"/>
      <c r="AD540" s="10"/>
    </row>
    <row r="541" spans="1:43" x14ac:dyDescent="0.3">
      <c r="B541" s="3" t="s">
        <v>246</v>
      </c>
      <c r="C541" s="9" t="s">
        <v>249</v>
      </c>
      <c r="D541" s="110">
        <f>EXP(LN(K$540)*$F541)-1-$M$541</f>
        <v>0.26459607109041994</v>
      </c>
      <c r="E541" s="128">
        <f t="shared" ref="E541:E543" si="102">EXP(LN(L$540)*$F541)-1-$M$541</f>
        <v>0.2626970721299714</v>
      </c>
      <c r="F541" s="388">
        <v>0.05</v>
      </c>
      <c r="G541" s="388">
        <v>3.5000000000000003E-2</v>
      </c>
      <c r="J541" t="s">
        <v>250</v>
      </c>
      <c r="K541" s="110">
        <f>EXP(LN(K540)*$F$540)-1</f>
        <v>-2.5679760748227198E-2</v>
      </c>
      <c r="L541" s="110">
        <f>EXP(LN(L540)*$F$540)-1</f>
        <v>-2.550085369145727E-2</v>
      </c>
      <c r="M541" s="110">
        <f>EXP(LN(M540)*$F$540)-1</f>
        <v>-2.2508262475433916E-2</v>
      </c>
      <c r="N541"/>
      <c r="P541" s="10"/>
    </row>
    <row r="542" spans="1:43" x14ac:dyDescent="0.3">
      <c r="B542" s="3" t="s">
        <v>246</v>
      </c>
      <c r="C542" t="s">
        <v>251</v>
      </c>
      <c r="D542" s="110">
        <f t="shared" ref="D542:D543" si="103">EXP(LN(K$540)*$F542)-1-$M$541</f>
        <v>-0.31222826606924159</v>
      </c>
      <c r="E542" s="110">
        <f t="shared" si="102"/>
        <v>-0.31031188916189578</v>
      </c>
      <c r="F542" s="388">
        <v>-9.4E-2</v>
      </c>
      <c r="G542" s="388">
        <v>7.0999999999999994E-2</v>
      </c>
      <c r="J542" s="12" t="s">
        <v>252</v>
      </c>
      <c r="K542" s="210">
        <f>K541-$M$541</f>
        <v>-3.1714982727932828E-3</v>
      </c>
      <c r="L542" s="210">
        <f>L541-$M$541</f>
        <v>-2.9925912160233548E-3</v>
      </c>
      <c r="M542" s="23"/>
      <c r="N542" s="12"/>
    </row>
    <row r="543" spans="1:43" x14ac:dyDescent="0.3">
      <c r="B543" s="3" t="s">
        <v>246</v>
      </c>
      <c r="C543" s="12" t="s">
        <v>253</v>
      </c>
      <c r="D543" s="23">
        <f t="shared" si="103"/>
        <v>3.121771821129482E-2</v>
      </c>
      <c r="E543" s="23">
        <f t="shared" si="102"/>
        <v>3.1155985205347903E-2</v>
      </c>
      <c r="F543" s="108">
        <v>2E-3</v>
      </c>
      <c r="G543" s="108">
        <v>3.3000000000000002E-2</v>
      </c>
      <c r="L543" s="134"/>
    </row>
    <row r="544" spans="1:43" x14ac:dyDescent="0.3">
      <c r="K544" s="134"/>
      <c r="L544" s="134"/>
    </row>
    <row r="545" spans="2:32" x14ac:dyDescent="0.3">
      <c r="K545" s="134"/>
      <c r="L545" s="134"/>
    </row>
    <row r="546" spans="2:32" x14ac:dyDescent="0.3">
      <c r="K546" s="134"/>
      <c r="L546" s="134"/>
    </row>
    <row r="547" spans="2:32" s="8" customFormat="1" ht="19.5" x14ac:dyDescent="0.4">
      <c r="B547" s="8">
        <v>2</v>
      </c>
      <c r="C547" s="8" t="s">
        <v>254</v>
      </c>
      <c r="D547" s="8" t="s" cm="1">
        <v>255</v>
      </c>
      <c r="G547" s="8" t="s">
        <v>136</v>
      </c>
    </row>
    <row r="549" spans="2:32" x14ac:dyDescent="0.3">
      <c r="C549" s="5"/>
      <c r="D549" s="5" t="s">
        <v>256</v>
      </c>
      <c r="E549" s="5" t="s">
        <v>257</v>
      </c>
      <c r="F549" s="5" t="s">
        <v>258</v>
      </c>
      <c r="G549" s="5" t="s">
        <v>15</v>
      </c>
      <c r="H549" s="5" t="s">
        <v>259</v>
      </c>
      <c r="I549" s="5" t="s">
        <v>260</v>
      </c>
      <c r="J549" s="10"/>
      <c r="L549" s="58"/>
      <c r="M549" s="58"/>
    </row>
    <row r="550" spans="2:32" x14ac:dyDescent="0.3">
      <c r="C550" t="s">
        <v>261</v>
      </c>
      <c r="D550" s="24">
        <v>-0.34</v>
      </c>
      <c r="E550" s="24">
        <v>0.19</v>
      </c>
      <c r="F550" s="24">
        <v>0.47</v>
      </c>
      <c r="G550" s="11">
        <f>ABS(E550-AVERAGE(E550:F550))/1.645</f>
        <v>8.5106382978723374E-2</v>
      </c>
      <c r="H550" s="11">
        <f>D550</f>
        <v>-0.34</v>
      </c>
      <c r="I550" s="11">
        <f>G550</f>
        <v>8.5106382978723374E-2</v>
      </c>
      <c r="J550" s="10"/>
      <c r="AB550" s="10"/>
      <c r="AC550" s="10"/>
      <c r="AD550" s="10"/>
      <c r="AE550" s="10"/>
      <c r="AF550" s="10"/>
    </row>
    <row r="551" spans="2:32" x14ac:dyDescent="0.3">
      <c r="C551" t="s">
        <v>262</v>
      </c>
      <c r="D551" s="24">
        <v>0.4</v>
      </c>
      <c r="E551" s="24">
        <v>0.01</v>
      </c>
      <c r="F551" s="24">
        <v>0.97</v>
      </c>
      <c r="G551" s="11">
        <f>ABS(E551-AVERAGE(E551:F551))/1.645</f>
        <v>0.2917933130699088</v>
      </c>
      <c r="H551" s="11">
        <f>1/(1+D551)-1</f>
        <v>-0.2857142857142857</v>
      </c>
      <c r="I551" s="11">
        <f>ABS(G551/D551*H551)</f>
        <v>0.20842379504993483</v>
      </c>
      <c r="J551" s="3" t="s">
        <v>263</v>
      </c>
      <c r="AB551" s="10"/>
      <c r="AC551" s="10"/>
      <c r="AD551" s="10"/>
      <c r="AE551" s="10"/>
    </row>
    <row r="552" spans="2:32" x14ac:dyDescent="0.3">
      <c r="C552" s="12" t="s">
        <v>264</v>
      </c>
      <c r="D552" s="25">
        <v>0.215</v>
      </c>
      <c r="E552" s="25">
        <v>-7.0000000000000007E-2</v>
      </c>
      <c r="F552" s="25">
        <v>0.5</v>
      </c>
      <c r="G552" s="13">
        <f>ABS(E552-AVERAGE(E552:F552))/1.645</f>
        <v>0.17325227963525838</v>
      </c>
      <c r="H552" s="13">
        <f>1/(1+D552)-1</f>
        <v>-0.17695473251028815</v>
      </c>
      <c r="I552" s="13">
        <f>ABS(G552/D552*H552)</f>
        <v>0.14259446883560367</v>
      </c>
      <c r="J552" s="3" t="s">
        <v>263</v>
      </c>
      <c r="N552" s="10"/>
    </row>
    <row r="553" spans="2:32" x14ac:dyDescent="0.3">
      <c r="C553" s="3" t="s">
        <v>265</v>
      </c>
      <c r="H553" s="10"/>
      <c r="I553" s="10"/>
      <c r="J553" s="10"/>
      <c r="K553" s="10"/>
    </row>
    <row r="554" spans="2:32" x14ac:dyDescent="0.3">
      <c r="C554" s="3" t="s">
        <v>266</v>
      </c>
      <c r="G554" s="10"/>
      <c r="J554" s="10"/>
    </row>
    <row r="555" spans="2:32" x14ac:dyDescent="0.3">
      <c r="C555" s="62" t="s">
        <v>267</v>
      </c>
      <c r="J555" s="10"/>
    </row>
    <row r="556" spans="2:32" x14ac:dyDescent="0.3">
      <c r="C556" s="62"/>
      <c r="J556" s="10"/>
    </row>
    <row r="557" spans="2:32" x14ac:dyDescent="0.3">
      <c r="D557" s="58"/>
      <c r="E557" s="58"/>
      <c r="F557" s="26"/>
      <c r="J557" s="10"/>
    </row>
    <row r="558" spans="2:32" x14ac:dyDescent="0.3">
      <c r="K558" s="10"/>
    </row>
    <row r="559" spans="2:32" s="8" customFormat="1" ht="19.5" x14ac:dyDescent="0.4">
      <c r="B559" s="8">
        <v>14</v>
      </c>
      <c r="C559" s="8" t="s" cm="1">
        <v>268</v>
      </c>
      <c r="D559" s="8" t="s" cm="1">
        <v>269</v>
      </c>
      <c r="G559" s="8" t="s">
        <v>241</v>
      </c>
    </row>
    <row r="561" spans="2:7" x14ac:dyDescent="0.3">
      <c r="C561" s="5" t="s">
        <v>247</v>
      </c>
      <c r="D561" s="5" t="s">
        <v>2</v>
      </c>
      <c r="E561" s="5" t="s">
        <v>15</v>
      </c>
    </row>
    <row r="562" spans="2:7" x14ac:dyDescent="0.3">
      <c r="C562" t="s">
        <v>947</v>
      </c>
      <c r="D562" s="515">
        <v>-1.3309999999999999E-3</v>
      </c>
      <c r="E562" s="515">
        <v>1.3090000000000001E-4</v>
      </c>
    </row>
    <row r="563" spans="2:7" x14ac:dyDescent="0.3">
      <c r="C563" t="s">
        <v>944</v>
      </c>
      <c r="D563" s="515">
        <v>-8.0769999999999995E-4</v>
      </c>
      <c r="E563" s="515">
        <v>1.5119999999999999E-4</v>
      </c>
    </row>
    <row r="564" spans="2:7" x14ac:dyDescent="0.3">
      <c r="C564" t="s">
        <v>945</v>
      </c>
      <c r="D564" s="515">
        <v>-8.2419999999999998E-4</v>
      </c>
      <c r="E564" s="515">
        <v>1.033E-4</v>
      </c>
    </row>
    <row r="565" spans="2:7" x14ac:dyDescent="0.3">
      <c r="C565" s="12" t="s">
        <v>946</v>
      </c>
      <c r="D565" s="516">
        <v>-1.2015999999999999E-3</v>
      </c>
      <c r="E565" s="516">
        <v>1.12E-4</v>
      </c>
    </row>
    <row r="566" spans="2:7" x14ac:dyDescent="0.3">
      <c r="C566" s="3" t="s">
        <v>952</v>
      </c>
      <c r="D566" s="28"/>
    </row>
    <row r="567" spans="2:7" x14ac:dyDescent="0.3">
      <c r="D567" s="28"/>
    </row>
    <row r="568" spans="2:7" x14ac:dyDescent="0.3">
      <c r="C568" s="4" t="s">
        <v>877</v>
      </c>
      <c r="D568" s="28"/>
    </row>
    <row r="569" spans="2:7" x14ac:dyDescent="0.3">
      <c r="C569" s="5"/>
      <c r="D569" s="40" t="s">
        <v>17</v>
      </c>
      <c r="E569" s="5" t="s">
        <v>18</v>
      </c>
    </row>
    <row r="570" spans="2:7" x14ac:dyDescent="0.3">
      <c r="C570" t="str">
        <f>C562</f>
        <v>High income</v>
      </c>
      <c r="D570" s="110">
        <f t="shared" ref="D570:E573" si="104">EXP((D$143-$F$143)*$D562)-1</f>
        <v>-4.1630381168814345E-2</v>
      </c>
      <c r="E570" s="110">
        <f t="shared" si="104"/>
        <v>-3.8689148964832998E-2</v>
      </c>
      <c r="F570" s="3" t="s">
        <v>953</v>
      </c>
    </row>
    <row r="571" spans="2:7" x14ac:dyDescent="0.3">
      <c r="C571" t="str">
        <f t="shared" ref="C571:C573" si="105">C563</f>
        <v>Low Income</v>
      </c>
      <c r="D571" s="110">
        <f t="shared" si="104"/>
        <v>-2.5473698754331808E-2</v>
      </c>
      <c r="E571" s="110">
        <f t="shared" si="104"/>
        <v>-2.3659853857611601E-2</v>
      </c>
    </row>
    <row r="572" spans="2:7" x14ac:dyDescent="0.3">
      <c r="C572" t="str">
        <f t="shared" si="105"/>
        <v>Lower-middle income</v>
      </c>
      <c r="D572" s="110">
        <f t="shared" si="104"/>
        <v>-2.5987264612434391E-2</v>
      </c>
      <c r="E572" s="110">
        <f t="shared" si="104"/>
        <v>-2.4137306066213338E-2</v>
      </c>
    </row>
    <row r="573" spans="2:7" x14ac:dyDescent="0.3">
      <c r="C573" s="12" t="str">
        <f t="shared" si="105"/>
        <v>Upper-middle income</v>
      </c>
      <c r="D573" s="23">
        <f t="shared" si="104"/>
        <v>-3.7660309028436534E-2</v>
      </c>
      <c r="E573" s="23">
        <f t="shared" si="104"/>
        <v>-3.4994421547584365E-2</v>
      </c>
      <c r="F573" s="58"/>
    </row>
    <row r="574" spans="2:7" x14ac:dyDescent="0.3">
      <c r="C574" s="3" t="s">
        <v>272</v>
      </c>
    </row>
    <row r="576" spans="2:7" s="8" customFormat="1" ht="19.5" x14ac:dyDescent="0.4">
      <c r="B576" s="8">
        <v>23</v>
      </c>
      <c r="C576" s="8" t="s" cm="1">
        <v>273</v>
      </c>
      <c r="D576" s="8" t="s" cm="1">
        <v>274</v>
      </c>
      <c r="G576" s="8" t="s">
        <v>145</v>
      </c>
    </row>
    <row r="577" spans="3:30" x14ac:dyDescent="0.3">
      <c r="E577" s="28"/>
    </row>
    <row r="578" spans="3:30" x14ac:dyDescent="0.3">
      <c r="C578" s="5"/>
      <c r="D578" s="5" t="s">
        <v>949</v>
      </c>
      <c r="E578" s="5" t="s">
        <v>956</v>
      </c>
      <c r="F578" s="5" t="s">
        <v>275</v>
      </c>
      <c r="G578" s="5" t="s">
        <v>16</v>
      </c>
      <c r="H578" s="5" t="s">
        <v>15</v>
      </c>
      <c r="I578" s="5" t="s">
        <v>276</v>
      </c>
    </row>
    <row r="579" spans="3:30" x14ac:dyDescent="0.3">
      <c r="C579" t="s">
        <v>277</v>
      </c>
      <c r="D579" s="142">
        <f>F590</f>
        <v>-0.32151610007036957</v>
      </c>
      <c r="E579" s="142">
        <f>F591</f>
        <v>0.17576213470513535</v>
      </c>
      <c r="F579">
        <f>AVERAGE(F580:F581)</f>
        <v>-0.15000000000000002</v>
      </c>
      <c r="G579" t="s">
        <v>278</v>
      </c>
      <c r="H579">
        <f>AVERAGE(H580:H581)</f>
        <v>8.2000000000000003E-2</v>
      </c>
      <c r="I579" s="21">
        <f>ABS(F579/H579)</f>
        <v>1.8292682926829271</v>
      </c>
      <c r="Z579" s="10"/>
      <c r="AA579" s="10"/>
      <c r="AB579" s="10"/>
      <c r="AC579" s="10"/>
      <c r="AD579" s="10"/>
    </row>
    <row r="580" spans="3:30" x14ac:dyDescent="0.3">
      <c r="C580" t="s">
        <v>279</v>
      </c>
      <c r="D580" s="11"/>
      <c r="E580" s="11"/>
      <c r="F580" s="6">
        <v>-0.16900000000000001</v>
      </c>
      <c r="G580" t="s">
        <v>278</v>
      </c>
      <c r="H580" s="6">
        <v>9.6000000000000002E-2</v>
      </c>
      <c r="I580" s="21">
        <f>ABS(F580/H580)</f>
        <v>1.7604166666666667</v>
      </c>
      <c r="Z580" s="10"/>
      <c r="AA580" s="10"/>
      <c r="AB580" s="10"/>
      <c r="AC580" s="10"/>
      <c r="AD580" s="10"/>
    </row>
    <row r="581" spans="3:30" x14ac:dyDescent="0.3">
      <c r="C581" s="12" t="s">
        <v>280</v>
      </c>
      <c r="D581" s="13"/>
      <c r="E581" s="13"/>
      <c r="F581" s="7">
        <v>-0.13100000000000001</v>
      </c>
      <c r="G581" s="12" t="s">
        <v>278</v>
      </c>
      <c r="H581" s="7">
        <v>6.8000000000000005E-2</v>
      </c>
      <c r="I581" s="38">
        <f>ABS(F581/H581)</f>
        <v>1.9264705882352942</v>
      </c>
      <c r="Z581" s="10"/>
      <c r="AA581" s="10"/>
      <c r="AB581" s="10"/>
      <c r="AC581" s="10"/>
      <c r="AD581" s="10"/>
    </row>
    <row r="582" spans="3:30" x14ac:dyDescent="0.3">
      <c r="C582" s="94" t="s">
        <v>281</v>
      </c>
    </row>
    <row r="585" spans="3:30" x14ac:dyDescent="0.3">
      <c r="C585" s="5"/>
      <c r="D585" s="5" t="s">
        <v>142</v>
      </c>
      <c r="E585" s="5" t="s">
        <v>143</v>
      </c>
      <c r="F585" s="5" t="s">
        <v>282</v>
      </c>
    </row>
    <row r="586" spans="3:30" x14ac:dyDescent="0.3">
      <c r="C586" t="s">
        <v>145</v>
      </c>
      <c r="D586" s="91">
        <v>23</v>
      </c>
      <c r="E586" s="91">
        <v>30</v>
      </c>
      <c r="F586" s="21">
        <f>AVERAGE(D586:E586)</f>
        <v>26.5</v>
      </c>
    </row>
    <row r="587" spans="3:30" x14ac:dyDescent="0.3">
      <c r="C587" t="s">
        <v>283</v>
      </c>
      <c r="D587" s="91">
        <v>48</v>
      </c>
      <c r="E587" s="91">
        <v>71</v>
      </c>
      <c r="F587" s="21">
        <f>AVERAGE(D587:E587)</f>
        <v>59.5</v>
      </c>
    </row>
    <row r="588" spans="3:30" outlineLevel="1" x14ac:dyDescent="0.3">
      <c r="C588" t="s">
        <v>284</v>
      </c>
      <c r="D588" s="91">
        <v>55.921999999999997</v>
      </c>
      <c r="E588" s="91">
        <f>D588</f>
        <v>55.921999999999997</v>
      </c>
      <c r="F588" s="21">
        <f>AVERAGE(D588:E588)</f>
        <v>55.921999999999997</v>
      </c>
    </row>
    <row r="589" spans="3:30" outlineLevel="1" x14ac:dyDescent="0.3">
      <c r="C589" s="12" t="s">
        <v>285</v>
      </c>
      <c r="D589" s="38">
        <f>D588+D586</f>
        <v>78.921999999999997</v>
      </c>
      <c r="E589" s="38">
        <f>E588+E586</f>
        <v>85.921999999999997</v>
      </c>
      <c r="F589" s="38">
        <f>F588+F586</f>
        <v>82.421999999999997</v>
      </c>
    </row>
    <row r="590" spans="3:30" x14ac:dyDescent="0.3">
      <c r="C590" t="s">
        <v>286</v>
      </c>
      <c r="D590" s="11">
        <f>D588/D589-1</f>
        <v>-0.29142697853576949</v>
      </c>
      <c r="E590" s="11">
        <f>E588/E589-1</f>
        <v>-0.34915388375503364</v>
      </c>
      <c r="F590" s="11">
        <f>F588/F589-1</f>
        <v>-0.32151610007036957</v>
      </c>
    </row>
    <row r="591" spans="3:30" x14ac:dyDescent="0.3">
      <c r="C591" s="12" t="s">
        <v>287</v>
      </c>
      <c r="D591" s="13">
        <f>D590/$F$579*$H$579</f>
        <v>0.15931341493288731</v>
      </c>
      <c r="E591" s="13">
        <f>E590/$F$579*$H$579</f>
        <v>0.19087078978608504</v>
      </c>
      <c r="F591" s="13">
        <f>F590/$F$579*$H$579</f>
        <v>0.17576213470513535</v>
      </c>
    </row>
    <row r="594" spans="2:11" x14ac:dyDescent="0.3">
      <c r="E594" s="26"/>
    </row>
    <row r="595" spans="2:11" s="8" customFormat="1" ht="19.5" x14ac:dyDescent="0.4">
      <c r="B595" s="8">
        <v>26</v>
      </c>
      <c r="C595" s="8" t="s" cm="1">
        <v>288</v>
      </c>
      <c r="D595" s="8" t="s" cm="1">
        <v>289</v>
      </c>
      <c r="G595" s="8" t="s">
        <v>136</v>
      </c>
    </row>
    <row r="597" spans="2:11" x14ac:dyDescent="0.3">
      <c r="F597" s="5" t="s">
        <v>290</v>
      </c>
      <c r="G597" s="98">
        <v>8</v>
      </c>
      <c r="H597" s="5" t="s">
        <v>291</v>
      </c>
      <c r="I597" s="3" t="s">
        <v>292</v>
      </c>
      <c r="K597" s="143"/>
    </row>
    <row r="598" spans="2:11" x14ac:dyDescent="0.3">
      <c r="C598" s="62"/>
      <c r="F598" s="3" t="s">
        <v>877</v>
      </c>
      <c r="K598" s="143"/>
    </row>
    <row r="599" spans="2:11" x14ac:dyDescent="0.3">
      <c r="C599" s="5"/>
      <c r="D599" s="5" t="s">
        <v>2</v>
      </c>
      <c r="E599" s="5" t="s">
        <v>15</v>
      </c>
      <c r="F599" s="5" t="s">
        <v>949</v>
      </c>
      <c r="G599" s="5" t="s">
        <v>956</v>
      </c>
      <c r="H599" s="5" t="s">
        <v>293</v>
      </c>
      <c r="I599" s="5" t="s">
        <v>956</v>
      </c>
    </row>
    <row r="600" spans="2:11" x14ac:dyDescent="0.3">
      <c r="C600" t="s">
        <v>294</v>
      </c>
      <c r="D600" s="14">
        <v>-0.12659999999999999</v>
      </c>
      <c r="E600" s="14">
        <v>2.5999999999999999E-2</v>
      </c>
      <c r="F600" s="11">
        <f>$G$597^D600-1</f>
        <v>-0.23145587390181122</v>
      </c>
      <c r="G600" s="11">
        <f>E600/D600*F600</f>
        <v>4.7534381685995983E-2</v>
      </c>
      <c r="H600" s="11"/>
      <c r="I600" s="11"/>
      <c r="J600" s="3" t="s">
        <v>295</v>
      </c>
    </row>
    <row r="601" spans="2:11" x14ac:dyDescent="0.3">
      <c r="C601" t="s">
        <v>296</v>
      </c>
      <c r="D601" s="14">
        <v>7.9000000000000008E-3</v>
      </c>
      <c r="E601" s="14">
        <v>4.2999999999999997E-2</v>
      </c>
      <c r="F601" s="11">
        <f>$G$597^D601-1</f>
        <v>1.656326292407595E-2</v>
      </c>
      <c r="G601" s="11">
        <f>E601/D601*F601</f>
        <v>9.0154469080413385E-2</v>
      </c>
      <c r="H601" s="93">
        <f>F601</f>
        <v>1.656326292407595E-2</v>
      </c>
      <c r="I601" s="93">
        <f>G601</f>
        <v>9.0154469080413385E-2</v>
      </c>
      <c r="J601" s="3" t="s">
        <v>297</v>
      </c>
    </row>
    <row r="602" spans="2:11" x14ac:dyDescent="0.3">
      <c r="C602" s="12" t="s">
        <v>298</v>
      </c>
      <c r="D602" s="7">
        <v>-8.1799999999999998E-2</v>
      </c>
      <c r="E602" s="7">
        <v>0.03</v>
      </c>
      <c r="F602" s="13">
        <f>$G$597^D602-1</f>
        <v>-0.15641812685587186</v>
      </c>
      <c r="G602" s="13">
        <f>E602/D602*F602</f>
        <v>5.7366061194085043E-2</v>
      </c>
      <c r="H602" s="135">
        <f>F602</f>
        <v>-0.15641812685587186</v>
      </c>
      <c r="I602" s="135">
        <f>G602</f>
        <v>5.7366061194085043E-2</v>
      </c>
    </row>
    <row r="603" spans="2:11" x14ac:dyDescent="0.3">
      <c r="C603" s="3" t="s">
        <v>299</v>
      </c>
      <c r="D603" s="3" t="s">
        <v>300</v>
      </c>
    </row>
    <row r="604" spans="2:11" x14ac:dyDescent="0.3">
      <c r="C604" s="3" t="s">
        <v>301</v>
      </c>
      <c r="D604" s="3" t="s">
        <v>302</v>
      </c>
    </row>
    <row r="605" spans="2:11" x14ac:dyDescent="0.3">
      <c r="F605" s="10"/>
    </row>
    <row r="606" spans="2:11" x14ac:dyDescent="0.3">
      <c r="F606" s="10"/>
    </row>
    <row r="607" spans="2:11" s="8" customFormat="1" ht="19.5" x14ac:dyDescent="0.4">
      <c r="B607" s="8">
        <v>30</v>
      </c>
      <c r="C607" s="8" t="s">
        <v>303</v>
      </c>
      <c r="D607" s="8" t="s" cm="1">
        <v>304</v>
      </c>
      <c r="G607" s="8" t="s">
        <v>145</v>
      </c>
    </row>
    <row r="609" spans="2:12" x14ac:dyDescent="0.3">
      <c r="C609" s="3" t="s">
        <v>949</v>
      </c>
      <c r="D609" s="149">
        <v>-0.01</v>
      </c>
      <c r="E609" s="3" t="s">
        <v>305</v>
      </c>
      <c r="F609" s="10"/>
    </row>
    <row r="610" spans="2:12" x14ac:dyDescent="0.3">
      <c r="C610" s="3" t="s">
        <v>956</v>
      </c>
      <c r="D610" s="119">
        <f>D613/D611*D609</f>
        <v>5.9171597633136102E-3</v>
      </c>
    </row>
    <row r="611" spans="2:12" outlineLevel="1" x14ac:dyDescent="0.3">
      <c r="C611" s="3" t="s">
        <v>2</v>
      </c>
      <c r="D611" s="14">
        <v>-1E-4</v>
      </c>
      <c r="F611" s="10"/>
    </row>
    <row r="612" spans="2:12" outlineLevel="1" x14ac:dyDescent="0.3">
      <c r="C612" s="3" t="s">
        <v>306</v>
      </c>
      <c r="D612" s="14">
        <v>1.69</v>
      </c>
      <c r="E612" s="3" t="s">
        <v>307</v>
      </c>
    </row>
    <row r="613" spans="2:12" x14ac:dyDescent="0.3">
      <c r="C613" s="3" t="s">
        <v>308</v>
      </c>
      <c r="D613" s="151">
        <f>ABS(D611/D612)</f>
        <v>5.9171597633136101E-5</v>
      </c>
      <c r="J613" s="10"/>
      <c r="K613" s="152"/>
    </row>
    <row r="614" spans="2:12" x14ac:dyDescent="0.3">
      <c r="D614" s="28"/>
      <c r="K614" s="134"/>
    </row>
    <row r="615" spans="2:12" x14ac:dyDescent="0.3">
      <c r="E615" s="152"/>
      <c r="F615" s="10"/>
      <c r="J615" s="28"/>
      <c r="K615" s="152"/>
    </row>
    <row r="616" spans="2:12" x14ac:dyDescent="0.3">
      <c r="F616" s="10"/>
      <c r="J616" s="10"/>
      <c r="K616" s="28"/>
      <c r="L616" s="10"/>
    </row>
    <row r="617" spans="2:12" s="8" customFormat="1" ht="19.5" x14ac:dyDescent="0.4">
      <c r="B617" s="8">
        <v>48</v>
      </c>
      <c r="C617" s="8" t="s" cm="1">
        <v>309</v>
      </c>
      <c r="D617" s="8" t="s" cm="1">
        <v>310</v>
      </c>
      <c r="G617" s="8" t="s">
        <v>145</v>
      </c>
    </row>
    <row r="619" spans="2:12" x14ac:dyDescent="0.3">
      <c r="C619" s="5"/>
      <c r="D619" s="5" t="s">
        <v>311</v>
      </c>
      <c r="E619" s="5" t="s">
        <v>312</v>
      </c>
      <c r="F619" s="5" t="s">
        <v>956</v>
      </c>
    </row>
    <row r="620" spans="2:12" x14ac:dyDescent="0.3">
      <c r="C620" s="12" t="s">
        <v>313</v>
      </c>
      <c r="D620" s="96">
        <f>D640</f>
        <v>0.6539999999999998</v>
      </c>
      <c r="E620" s="40">
        <f>L695/K695-1</f>
        <v>1.1261750695743089E-2</v>
      </c>
      <c r="F620" s="35"/>
      <c r="I620" s="19"/>
    </row>
    <row r="621" spans="2:12" x14ac:dyDescent="0.3">
      <c r="C621" s="3" t="s">
        <v>314</v>
      </c>
    </row>
    <row r="623" spans="2:12" x14ac:dyDescent="0.3">
      <c r="C623" s="4" t="s">
        <v>315</v>
      </c>
      <c r="D623" s="4"/>
    </row>
    <row r="624" spans="2:12" x14ac:dyDescent="0.3">
      <c r="C624" s="5" t="s">
        <v>316</v>
      </c>
      <c r="D624" s="5" t="s">
        <v>311</v>
      </c>
    </row>
    <row r="625" spans="3:7" outlineLevel="1" x14ac:dyDescent="0.3">
      <c r="C625" t="s">
        <v>317</v>
      </c>
      <c r="D625" s="6">
        <v>1.9E-2</v>
      </c>
    </row>
    <row r="626" spans="3:7" outlineLevel="1" x14ac:dyDescent="0.3">
      <c r="C626" t="s">
        <v>318</v>
      </c>
      <c r="D626" s="6">
        <v>4.8000000000000001E-2</v>
      </c>
    </row>
    <row r="627" spans="3:7" outlineLevel="1" x14ac:dyDescent="0.3">
      <c r="C627" t="s">
        <v>319</v>
      </c>
      <c r="D627" s="6">
        <v>0.377</v>
      </c>
    </row>
    <row r="628" spans="3:7" outlineLevel="1" x14ac:dyDescent="0.3">
      <c r="C628" t="s">
        <v>320</v>
      </c>
      <c r="D628" s="6">
        <v>-1.0999999999999999E-2</v>
      </c>
      <c r="G628" s="153"/>
    </row>
    <row r="629" spans="3:7" outlineLevel="1" x14ac:dyDescent="0.3">
      <c r="C629" t="s">
        <v>321</v>
      </c>
      <c r="D629" s="6">
        <v>-0.26200000000000001</v>
      </c>
    </row>
    <row r="630" spans="3:7" outlineLevel="1" x14ac:dyDescent="0.3">
      <c r="C630" t="s">
        <v>322</v>
      </c>
      <c r="D630" s="6">
        <v>-0.108</v>
      </c>
    </row>
    <row r="631" spans="3:7" outlineLevel="1" x14ac:dyDescent="0.3">
      <c r="C631" t="s">
        <v>323</v>
      </c>
      <c r="D631" s="6">
        <v>9.0999999999999998E-2</v>
      </c>
    </row>
    <row r="632" spans="3:7" outlineLevel="1" x14ac:dyDescent="0.3">
      <c r="C632" t="s">
        <v>324</v>
      </c>
      <c r="D632" s="6">
        <v>0.152</v>
      </c>
    </row>
    <row r="633" spans="3:7" outlineLevel="1" x14ac:dyDescent="0.3">
      <c r="C633" t="s">
        <v>325</v>
      </c>
      <c r="D633" s="6">
        <v>-0.48499999999999999</v>
      </c>
    </row>
    <row r="634" spans="3:7" outlineLevel="1" x14ac:dyDescent="0.3">
      <c r="C634" t="s">
        <v>326</v>
      </c>
      <c r="D634" s="6">
        <v>-0.17899999999999999</v>
      </c>
    </row>
    <row r="635" spans="3:7" outlineLevel="1" x14ac:dyDescent="0.3">
      <c r="C635" t="s">
        <v>327</v>
      </c>
      <c r="D635" s="6">
        <v>1.502</v>
      </c>
    </row>
    <row r="636" spans="3:7" outlineLevel="1" x14ac:dyDescent="0.3">
      <c r="C636" t="s">
        <v>328</v>
      </c>
      <c r="D636" s="6">
        <v>-0.46800000000000003</v>
      </c>
    </row>
    <row r="637" spans="3:7" outlineLevel="1" x14ac:dyDescent="0.3">
      <c r="C637" t="s">
        <v>329</v>
      </c>
      <c r="D637" s="6">
        <v>-0.218</v>
      </c>
    </row>
    <row r="638" spans="3:7" outlineLevel="1" x14ac:dyDescent="0.3">
      <c r="C638" t="s">
        <v>330</v>
      </c>
      <c r="D638" s="6">
        <v>0.86199999999999999</v>
      </c>
    </row>
    <row r="639" spans="3:7" outlineLevel="1" x14ac:dyDescent="0.3">
      <c r="C639" t="s">
        <v>331</v>
      </c>
      <c r="D639" s="6">
        <v>-0.66600000000000004</v>
      </c>
    </row>
    <row r="640" spans="3:7" x14ac:dyDescent="0.3">
      <c r="C640" s="5" t="s">
        <v>332</v>
      </c>
      <c r="D640" s="5">
        <f>SUM(D625:D639)</f>
        <v>0.6539999999999998</v>
      </c>
    </row>
    <row r="643" spans="3:12" ht="28.5" x14ac:dyDescent="0.3">
      <c r="C643" s="359"/>
      <c r="D643" s="359" t="s">
        <v>333</v>
      </c>
      <c r="E643" s="359" t="s">
        <v>334</v>
      </c>
      <c r="F643" s="359" t="s">
        <v>335</v>
      </c>
      <c r="G643" s="359" t="s">
        <v>336</v>
      </c>
      <c r="H643" s="359" t="s">
        <v>337</v>
      </c>
      <c r="I643" s="359" t="s">
        <v>338</v>
      </c>
      <c r="J643" s="359" t="s">
        <v>339</v>
      </c>
      <c r="K643" s="359" t="s">
        <v>340</v>
      </c>
      <c r="L643" s="359" t="s">
        <v>341</v>
      </c>
    </row>
    <row r="644" spans="3:12" outlineLevel="1" x14ac:dyDescent="0.3">
      <c r="C644" t="s">
        <v>342</v>
      </c>
      <c r="D644" s="14">
        <v>20200324</v>
      </c>
      <c r="E644" s="358">
        <v>43914</v>
      </c>
      <c r="F644" s="358">
        <v>43914</v>
      </c>
      <c r="G644" s="358">
        <v>43928</v>
      </c>
      <c r="H644" s="358" t="s">
        <v>343</v>
      </c>
      <c r="I644" s="14">
        <v>64</v>
      </c>
      <c r="J644" s="218">
        <v>4903185</v>
      </c>
      <c r="K644" s="22">
        <f t="shared" ref="K644:K675" si="106">IF(ISNUMBER(D644),I644,I644+J644/1000000*$D$640)</f>
        <v>64</v>
      </c>
      <c r="L644" s="22">
        <f t="shared" ref="L644:L675" si="107">IF(ISNUMBER(D644),I644+J644/1000000*$D$640,I644)</f>
        <v>67.206682990000004</v>
      </c>
    </row>
    <row r="645" spans="3:12" outlineLevel="1" x14ac:dyDescent="0.3">
      <c r="C645" t="s">
        <v>344</v>
      </c>
      <c r="D645" s="14">
        <v>20200322</v>
      </c>
      <c r="E645" s="358">
        <v>43912</v>
      </c>
      <c r="F645" s="358">
        <v>43912</v>
      </c>
      <c r="G645" s="358">
        <v>43926</v>
      </c>
      <c r="H645" s="358" t="s">
        <v>345</v>
      </c>
      <c r="I645" s="14">
        <v>6</v>
      </c>
      <c r="J645" s="218">
        <v>731545</v>
      </c>
      <c r="K645" s="22">
        <f t="shared" si="106"/>
        <v>6</v>
      </c>
      <c r="L645" s="22">
        <f t="shared" si="107"/>
        <v>6.4784304299999995</v>
      </c>
    </row>
    <row r="646" spans="3:12" outlineLevel="1" x14ac:dyDescent="0.3">
      <c r="C646" t="s">
        <v>346</v>
      </c>
      <c r="D646" s="14">
        <v>20200331</v>
      </c>
      <c r="E646" s="358">
        <v>43921</v>
      </c>
      <c r="F646" s="358">
        <v>43921</v>
      </c>
      <c r="G646" s="358">
        <v>43935</v>
      </c>
      <c r="H646" s="358" t="s">
        <v>347</v>
      </c>
      <c r="I646" s="14">
        <v>143</v>
      </c>
      <c r="J646" s="218">
        <v>7278717</v>
      </c>
      <c r="K646" s="22">
        <f t="shared" si="106"/>
        <v>143</v>
      </c>
      <c r="L646" s="22">
        <f t="shared" si="107"/>
        <v>147.76028091800001</v>
      </c>
    </row>
    <row r="647" spans="3:12" outlineLevel="1" x14ac:dyDescent="0.3">
      <c r="C647" t="s">
        <v>348</v>
      </c>
      <c r="D647" s="14" t="s">
        <v>349</v>
      </c>
      <c r="E647" s="358" t="e">
        <v>#VALUE!</v>
      </c>
      <c r="F647" s="358">
        <v>43921</v>
      </c>
      <c r="G647" s="358">
        <v>43935</v>
      </c>
      <c r="H647" s="358" t="s">
        <v>347</v>
      </c>
      <c r="I647" s="14">
        <v>32</v>
      </c>
      <c r="J647" s="218">
        <v>3017804</v>
      </c>
      <c r="K647" s="22">
        <f t="shared" si="106"/>
        <v>33.973643815999999</v>
      </c>
      <c r="L647" s="22">
        <f t="shared" si="107"/>
        <v>32</v>
      </c>
    </row>
    <row r="648" spans="3:12" outlineLevel="1" x14ac:dyDescent="0.3">
      <c r="C648" t="s">
        <v>350</v>
      </c>
      <c r="D648" s="14">
        <v>20200317</v>
      </c>
      <c r="E648" s="358">
        <v>43907</v>
      </c>
      <c r="F648" s="358">
        <v>43907</v>
      </c>
      <c r="G648" s="358">
        <v>43921</v>
      </c>
      <c r="H648" s="358" t="s">
        <v>351</v>
      </c>
      <c r="I648" s="14">
        <v>170</v>
      </c>
      <c r="J648" s="218">
        <v>39512223</v>
      </c>
      <c r="K648" s="22">
        <f t="shared" si="106"/>
        <v>170</v>
      </c>
      <c r="L648" s="22">
        <f t="shared" si="107"/>
        <v>195.84099384199999</v>
      </c>
    </row>
    <row r="649" spans="3:12" outlineLevel="1" x14ac:dyDescent="0.3">
      <c r="C649" t="s">
        <v>352</v>
      </c>
      <c r="D649" s="14">
        <v>20200324</v>
      </c>
      <c r="E649" s="358">
        <v>43914</v>
      </c>
      <c r="F649" s="358">
        <v>43914</v>
      </c>
      <c r="G649" s="358">
        <v>43928</v>
      </c>
      <c r="H649" s="358" t="s">
        <v>343</v>
      </c>
      <c r="I649" s="14">
        <v>179</v>
      </c>
      <c r="J649" s="218">
        <v>5758736</v>
      </c>
      <c r="K649" s="22">
        <f t="shared" si="106"/>
        <v>179</v>
      </c>
      <c r="L649" s="22">
        <f t="shared" si="107"/>
        <v>182.76621334399999</v>
      </c>
    </row>
    <row r="650" spans="3:12" outlineLevel="1" x14ac:dyDescent="0.3">
      <c r="C650" t="s">
        <v>353</v>
      </c>
      <c r="D650" s="14" t="s">
        <v>349</v>
      </c>
      <c r="E650" s="358" t="e">
        <v>#VALUE!</v>
      </c>
      <c r="F650" s="358">
        <v>43921</v>
      </c>
      <c r="G650" s="358">
        <v>43935</v>
      </c>
      <c r="H650" s="358" t="s">
        <v>347</v>
      </c>
      <c r="I650" s="14">
        <v>671</v>
      </c>
      <c r="J650" s="218">
        <v>3565287</v>
      </c>
      <c r="K650" s="22">
        <f t="shared" si="106"/>
        <v>673.33169769799997</v>
      </c>
      <c r="L650" s="22">
        <f t="shared" si="107"/>
        <v>671</v>
      </c>
    </row>
    <row r="651" spans="3:12" outlineLevel="1" x14ac:dyDescent="0.3">
      <c r="C651" t="s">
        <v>354</v>
      </c>
      <c r="D651" s="14">
        <v>20200324</v>
      </c>
      <c r="E651" s="358">
        <v>43914</v>
      </c>
      <c r="F651" s="358">
        <v>43914</v>
      </c>
      <c r="G651" s="358">
        <v>43928</v>
      </c>
      <c r="H651" s="358" t="s">
        <v>343</v>
      </c>
      <c r="I651" s="14">
        <v>28</v>
      </c>
      <c r="J651" s="218">
        <v>973764</v>
      </c>
      <c r="K651" s="22">
        <f t="shared" si="106"/>
        <v>28</v>
      </c>
      <c r="L651" s="22">
        <f t="shared" si="107"/>
        <v>28.636841656000001</v>
      </c>
    </row>
    <row r="652" spans="3:12" outlineLevel="1" x14ac:dyDescent="0.3">
      <c r="C652" t="s">
        <v>355</v>
      </c>
      <c r="D652" s="14">
        <v>20200316</v>
      </c>
      <c r="E652" s="358">
        <v>43906</v>
      </c>
      <c r="F652" s="358">
        <v>43906</v>
      </c>
      <c r="G652" s="358">
        <v>43920</v>
      </c>
      <c r="H652" s="358" t="s">
        <v>356</v>
      </c>
      <c r="I652" s="14">
        <v>63</v>
      </c>
      <c r="J652" s="218">
        <v>21477737</v>
      </c>
      <c r="K652" s="22">
        <f t="shared" si="106"/>
        <v>63</v>
      </c>
      <c r="L652" s="22">
        <f t="shared" si="107"/>
        <v>77.046439997999997</v>
      </c>
    </row>
    <row r="653" spans="3:12" outlineLevel="1" x14ac:dyDescent="0.3">
      <c r="C653" t="s">
        <v>357</v>
      </c>
      <c r="D653" s="14">
        <v>20200321</v>
      </c>
      <c r="E653" s="358">
        <v>43911</v>
      </c>
      <c r="F653" s="358">
        <v>43911</v>
      </c>
      <c r="G653" s="358">
        <v>43925</v>
      </c>
      <c r="H653" s="358" t="s">
        <v>358</v>
      </c>
      <c r="I653" s="14">
        <v>201</v>
      </c>
      <c r="J653" s="218">
        <v>10617423</v>
      </c>
      <c r="K653" s="22">
        <f t="shared" si="106"/>
        <v>201</v>
      </c>
      <c r="L653" s="22">
        <f t="shared" si="107"/>
        <v>207.943794642</v>
      </c>
    </row>
    <row r="654" spans="3:12" outlineLevel="1" x14ac:dyDescent="0.3">
      <c r="C654" t="s">
        <v>359</v>
      </c>
      <c r="D654" s="14">
        <v>20200325</v>
      </c>
      <c r="E654" s="358">
        <v>43915</v>
      </c>
      <c r="F654" s="358">
        <v>43915</v>
      </c>
      <c r="G654" s="358">
        <v>43929</v>
      </c>
      <c r="H654" s="358" t="s">
        <v>360</v>
      </c>
      <c r="I654" s="14">
        <v>5</v>
      </c>
      <c r="J654" s="218">
        <v>1415872</v>
      </c>
      <c r="K654" s="22">
        <f t="shared" si="106"/>
        <v>5</v>
      </c>
      <c r="L654" s="22">
        <f t="shared" si="107"/>
        <v>5.9259802879999999</v>
      </c>
    </row>
    <row r="655" spans="3:12" outlineLevel="1" x14ac:dyDescent="0.3">
      <c r="C655" t="s">
        <v>361</v>
      </c>
      <c r="D655" s="14">
        <v>20200325</v>
      </c>
      <c r="E655" s="358">
        <v>43915</v>
      </c>
      <c r="F655" s="358">
        <v>43915</v>
      </c>
      <c r="G655" s="358">
        <v>43929</v>
      </c>
      <c r="H655" s="358" t="s">
        <v>360</v>
      </c>
      <c r="I655" s="14">
        <v>15</v>
      </c>
      <c r="J655" s="218">
        <v>1787065</v>
      </c>
      <c r="K655" s="22">
        <f t="shared" si="106"/>
        <v>15</v>
      </c>
      <c r="L655" s="22">
        <f t="shared" si="107"/>
        <v>16.168740509999999</v>
      </c>
    </row>
    <row r="656" spans="3:12" outlineLevel="1" x14ac:dyDescent="0.3">
      <c r="C656" t="s">
        <v>362</v>
      </c>
      <c r="D656" s="14">
        <v>20200321</v>
      </c>
      <c r="E656" s="358">
        <v>43911</v>
      </c>
      <c r="F656" s="358">
        <v>43911</v>
      </c>
      <c r="G656" s="358">
        <v>43925</v>
      </c>
      <c r="H656" s="358" t="s">
        <v>358</v>
      </c>
      <c r="I656" s="14">
        <v>244</v>
      </c>
      <c r="J656" s="218">
        <v>12671821</v>
      </c>
      <c r="K656" s="22">
        <f t="shared" si="106"/>
        <v>244</v>
      </c>
      <c r="L656" s="22">
        <f t="shared" si="107"/>
        <v>252.28737093399999</v>
      </c>
    </row>
    <row r="657" spans="3:12" outlineLevel="1" x14ac:dyDescent="0.3">
      <c r="C657" t="s">
        <v>363</v>
      </c>
      <c r="D657" s="14">
        <v>20200325</v>
      </c>
      <c r="E657" s="358">
        <v>43915</v>
      </c>
      <c r="F657" s="358">
        <v>43915</v>
      </c>
      <c r="G657" s="358">
        <v>43929</v>
      </c>
      <c r="H657" s="358" t="s">
        <v>360</v>
      </c>
      <c r="I657" s="14">
        <v>338</v>
      </c>
      <c r="J657" s="218">
        <v>6732219</v>
      </c>
      <c r="K657" s="22">
        <f t="shared" si="106"/>
        <v>338</v>
      </c>
      <c r="L657" s="22">
        <f t="shared" si="107"/>
        <v>342.402871226</v>
      </c>
    </row>
    <row r="658" spans="3:12" outlineLevel="1" x14ac:dyDescent="0.3">
      <c r="C658" t="s">
        <v>364</v>
      </c>
      <c r="D658" s="14" t="s">
        <v>349</v>
      </c>
      <c r="E658" s="358" t="e">
        <v>#VALUE!</v>
      </c>
      <c r="F658" s="358">
        <v>43921</v>
      </c>
      <c r="G658" s="358">
        <v>43935</v>
      </c>
      <c r="H658" s="358" t="s">
        <v>347</v>
      </c>
      <c r="I658" s="14">
        <v>49</v>
      </c>
      <c r="J658" s="218">
        <v>3155070</v>
      </c>
      <c r="K658" s="22">
        <f t="shared" si="106"/>
        <v>51.06341578</v>
      </c>
      <c r="L658" s="22">
        <f t="shared" si="107"/>
        <v>49</v>
      </c>
    </row>
    <row r="659" spans="3:12" outlineLevel="1" x14ac:dyDescent="0.3">
      <c r="C659" t="s">
        <v>365</v>
      </c>
      <c r="D659" s="14">
        <v>20200330</v>
      </c>
      <c r="E659" s="358">
        <v>43920</v>
      </c>
      <c r="F659" s="358">
        <v>43920</v>
      </c>
      <c r="G659" s="358">
        <v>43934</v>
      </c>
      <c r="H659" s="358" t="s">
        <v>366</v>
      </c>
      <c r="I659" s="14">
        <v>61</v>
      </c>
      <c r="J659" s="218">
        <v>2913314</v>
      </c>
      <c r="K659" s="22">
        <f t="shared" si="106"/>
        <v>61</v>
      </c>
      <c r="L659" s="22">
        <f t="shared" si="107"/>
        <v>62.905307356000002</v>
      </c>
    </row>
    <row r="660" spans="3:12" outlineLevel="1" x14ac:dyDescent="0.3">
      <c r="C660" t="s">
        <v>367</v>
      </c>
      <c r="D660" s="14">
        <v>20200326</v>
      </c>
      <c r="E660" s="358">
        <v>43916</v>
      </c>
      <c r="F660" s="358">
        <v>43916</v>
      </c>
      <c r="G660" s="358">
        <v>43930</v>
      </c>
      <c r="H660" s="358" t="s">
        <v>368</v>
      </c>
      <c r="I660" s="14">
        <v>73</v>
      </c>
      <c r="J660" s="218">
        <v>4467673</v>
      </c>
      <c r="K660" s="22">
        <f t="shared" si="106"/>
        <v>73</v>
      </c>
      <c r="L660" s="22">
        <f t="shared" si="107"/>
        <v>75.921858142000005</v>
      </c>
    </row>
    <row r="661" spans="3:12" outlineLevel="1" x14ac:dyDescent="0.3">
      <c r="C661" t="s">
        <v>369</v>
      </c>
      <c r="D661" s="14">
        <v>20200323</v>
      </c>
      <c r="E661" s="358">
        <v>43913</v>
      </c>
      <c r="F661" s="358">
        <v>43913</v>
      </c>
      <c r="G661" s="358">
        <v>43927</v>
      </c>
      <c r="H661" s="358" t="s">
        <v>370</v>
      </c>
      <c r="I661" s="14">
        <v>512</v>
      </c>
      <c r="J661" s="218">
        <v>4648794</v>
      </c>
      <c r="K661" s="22">
        <f t="shared" si="106"/>
        <v>512</v>
      </c>
      <c r="L661" s="22">
        <f t="shared" si="107"/>
        <v>515.04031127600001</v>
      </c>
    </row>
    <row r="662" spans="3:12" outlineLevel="1" x14ac:dyDescent="0.3">
      <c r="C662" t="s">
        <v>371</v>
      </c>
      <c r="D662" s="14">
        <v>20200325</v>
      </c>
      <c r="E662" s="358">
        <v>43915</v>
      </c>
      <c r="F662" s="358">
        <v>43915</v>
      </c>
      <c r="G662" s="358">
        <v>43929</v>
      </c>
      <c r="H662" s="358" t="s">
        <v>360</v>
      </c>
      <c r="I662" s="14">
        <v>14</v>
      </c>
      <c r="J662" s="218">
        <v>1344212</v>
      </c>
      <c r="K662" s="22">
        <f t="shared" si="106"/>
        <v>14</v>
      </c>
      <c r="L662" s="22">
        <f t="shared" si="107"/>
        <v>14.879114648</v>
      </c>
    </row>
    <row r="663" spans="3:12" outlineLevel="1" x14ac:dyDescent="0.3">
      <c r="C663" t="s">
        <v>372</v>
      </c>
      <c r="D663" s="14">
        <v>20200330</v>
      </c>
      <c r="E663" s="358">
        <v>43920</v>
      </c>
      <c r="F663" s="358">
        <v>43920</v>
      </c>
      <c r="G663" s="358">
        <v>43934</v>
      </c>
      <c r="H663" s="358" t="s">
        <v>366</v>
      </c>
      <c r="I663" s="14">
        <v>262</v>
      </c>
      <c r="J663" s="218">
        <v>6045680</v>
      </c>
      <c r="K663" s="22">
        <f t="shared" si="106"/>
        <v>262</v>
      </c>
      <c r="L663" s="22">
        <f t="shared" si="107"/>
        <v>265.95387471999999</v>
      </c>
    </row>
    <row r="664" spans="3:12" outlineLevel="1" x14ac:dyDescent="0.3">
      <c r="C664" t="s">
        <v>373</v>
      </c>
      <c r="D664" s="14" t="s">
        <v>349</v>
      </c>
      <c r="E664" s="358" t="e">
        <v>#VALUE!</v>
      </c>
      <c r="F664" s="358">
        <v>43921</v>
      </c>
      <c r="G664" s="358">
        <v>43935</v>
      </c>
      <c r="H664" s="358" t="s">
        <v>347</v>
      </c>
      <c r="I664" s="14">
        <v>844</v>
      </c>
      <c r="J664" s="218">
        <v>6892503</v>
      </c>
      <c r="K664" s="22">
        <f t="shared" si="106"/>
        <v>848.50769696199995</v>
      </c>
      <c r="L664" s="22">
        <f t="shared" si="107"/>
        <v>844</v>
      </c>
    </row>
    <row r="665" spans="3:12" outlineLevel="1" x14ac:dyDescent="0.3">
      <c r="C665" t="s">
        <v>374</v>
      </c>
      <c r="D665" s="14">
        <v>20200324</v>
      </c>
      <c r="E665" s="358">
        <v>43914</v>
      </c>
      <c r="F665" s="358">
        <v>43914</v>
      </c>
      <c r="G665" s="358">
        <v>43928</v>
      </c>
      <c r="H665" s="358" t="s">
        <v>343</v>
      </c>
      <c r="I665" s="14">
        <v>917</v>
      </c>
      <c r="J665" s="218">
        <v>9986857</v>
      </c>
      <c r="K665" s="22">
        <f t="shared" si="106"/>
        <v>917</v>
      </c>
      <c r="L665" s="22">
        <f t="shared" si="107"/>
        <v>923.53140447800001</v>
      </c>
    </row>
    <row r="666" spans="3:12" outlineLevel="1" x14ac:dyDescent="0.3">
      <c r="C666" t="s">
        <v>375</v>
      </c>
      <c r="D666" s="14">
        <v>20200327</v>
      </c>
      <c r="E666" s="358">
        <v>43917</v>
      </c>
      <c r="F666" s="358">
        <v>43917</v>
      </c>
      <c r="G666" s="358">
        <v>43931</v>
      </c>
      <c r="H666" s="358" t="s">
        <v>376</v>
      </c>
      <c r="I666" s="14">
        <v>57</v>
      </c>
      <c r="J666" s="218">
        <v>5639632</v>
      </c>
      <c r="K666" s="22">
        <f t="shared" si="106"/>
        <v>57</v>
      </c>
      <c r="L666" s="22">
        <f t="shared" si="107"/>
        <v>60.688319327999999</v>
      </c>
    </row>
    <row r="667" spans="3:12" outlineLevel="1" x14ac:dyDescent="0.3">
      <c r="C667" t="s">
        <v>377</v>
      </c>
      <c r="D667" s="14">
        <v>20200403</v>
      </c>
      <c r="E667" s="358">
        <v>43924</v>
      </c>
      <c r="F667" s="358">
        <v>43924</v>
      </c>
      <c r="G667" s="358">
        <v>43938</v>
      </c>
      <c r="H667" s="358" t="s">
        <v>378</v>
      </c>
      <c r="I667" s="14">
        <v>140</v>
      </c>
      <c r="J667" s="218">
        <v>2976149</v>
      </c>
      <c r="K667" s="22">
        <f t="shared" si="106"/>
        <v>140</v>
      </c>
      <c r="L667" s="22">
        <f t="shared" si="107"/>
        <v>141.94640144600001</v>
      </c>
    </row>
    <row r="668" spans="3:12" outlineLevel="1" x14ac:dyDescent="0.3">
      <c r="C668" t="s">
        <v>379</v>
      </c>
      <c r="D668" s="14">
        <v>20200323</v>
      </c>
      <c r="E668" s="358">
        <v>43913</v>
      </c>
      <c r="F668" s="358">
        <v>43913</v>
      </c>
      <c r="G668" s="358">
        <v>43927</v>
      </c>
      <c r="H668" s="358" t="s">
        <v>370</v>
      </c>
      <c r="I668" s="14">
        <v>72</v>
      </c>
      <c r="J668" s="218">
        <v>6137428</v>
      </c>
      <c r="K668" s="22">
        <f t="shared" si="106"/>
        <v>72</v>
      </c>
      <c r="L668" s="22">
        <f t="shared" si="107"/>
        <v>76.013877911999998</v>
      </c>
    </row>
    <row r="669" spans="3:12" outlineLevel="1" x14ac:dyDescent="0.3">
      <c r="C669" t="s">
        <v>380</v>
      </c>
      <c r="D669" s="14">
        <v>20200327</v>
      </c>
      <c r="E669" s="358">
        <v>43917</v>
      </c>
      <c r="F669" s="358">
        <v>43917</v>
      </c>
      <c r="G669" s="358">
        <v>43931</v>
      </c>
      <c r="H669" s="358" t="s">
        <v>376</v>
      </c>
      <c r="I669" s="14">
        <v>6</v>
      </c>
      <c r="J669" s="218">
        <v>1068778</v>
      </c>
      <c r="K669" s="22">
        <f t="shared" si="106"/>
        <v>6</v>
      </c>
      <c r="L669" s="22">
        <f t="shared" si="107"/>
        <v>6.6989808120000003</v>
      </c>
    </row>
    <row r="670" spans="3:12" outlineLevel="1" x14ac:dyDescent="0.3">
      <c r="C670" t="s">
        <v>381</v>
      </c>
      <c r="D670" s="14">
        <v>20201203</v>
      </c>
      <c r="E670" s="358">
        <v>44168</v>
      </c>
      <c r="F670" s="358">
        <v>44168</v>
      </c>
      <c r="G670" s="358">
        <v>44182</v>
      </c>
      <c r="H670" s="358" t="s">
        <v>382</v>
      </c>
      <c r="I670" s="14">
        <v>1453</v>
      </c>
      <c r="J670" s="218">
        <v>1934408</v>
      </c>
      <c r="K670" s="22">
        <f t="shared" si="106"/>
        <v>1453</v>
      </c>
      <c r="L670" s="22">
        <f t="shared" si="107"/>
        <v>1454.2651028319999</v>
      </c>
    </row>
    <row r="671" spans="3:12" outlineLevel="1" x14ac:dyDescent="0.3">
      <c r="C671" t="s">
        <v>383</v>
      </c>
      <c r="D671" s="14">
        <v>20200401</v>
      </c>
      <c r="E671" s="358">
        <v>43922</v>
      </c>
      <c r="F671" s="358">
        <v>43922</v>
      </c>
      <c r="G671" s="358">
        <v>43936</v>
      </c>
      <c r="H671" s="358" t="s">
        <v>384</v>
      </c>
      <c r="I671" s="14">
        <v>131</v>
      </c>
      <c r="J671" s="218">
        <v>3080156</v>
      </c>
      <c r="K671" s="22">
        <f t="shared" si="106"/>
        <v>131</v>
      </c>
      <c r="L671" s="22">
        <f t="shared" si="107"/>
        <v>133.014422024</v>
      </c>
    </row>
    <row r="672" spans="3:12" outlineLevel="1" x14ac:dyDescent="0.3">
      <c r="C672" t="s">
        <v>385</v>
      </c>
      <c r="D672" s="14">
        <v>20200327</v>
      </c>
      <c r="E672" s="358">
        <v>43917</v>
      </c>
      <c r="F672" s="358">
        <v>43917</v>
      </c>
      <c r="G672" s="358">
        <v>43931</v>
      </c>
      <c r="H672" s="358" t="s">
        <v>376</v>
      </c>
      <c r="I672" s="14">
        <v>21</v>
      </c>
      <c r="J672" s="218">
        <v>1359711</v>
      </c>
      <c r="K672" s="22">
        <f t="shared" si="106"/>
        <v>21</v>
      </c>
      <c r="L672" s="22">
        <f t="shared" si="107"/>
        <v>21.889250994000001</v>
      </c>
    </row>
    <row r="673" spans="3:12" outlineLevel="1" x14ac:dyDescent="0.3">
      <c r="C673" t="s">
        <v>386</v>
      </c>
      <c r="D673" s="14">
        <v>20200321</v>
      </c>
      <c r="E673" s="358">
        <v>43911</v>
      </c>
      <c r="F673" s="358">
        <v>43911</v>
      </c>
      <c r="G673" s="358">
        <v>43925</v>
      </c>
      <c r="H673" s="358" t="s">
        <v>358</v>
      </c>
      <c r="I673" s="14">
        <v>1059</v>
      </c>
      <c r="J673" s="218">
        <v>8882190</v>
      </c>
      <c r="K673" s="22">
        <f t="shared" si="106"/>
        <v>1059</v>
      </c>
      <c r="L673" s="22">
        <f t="shared" si="107"/>
        <v>1064.8089522600001</v>
      </c>
    </row>
    <row r="674" spans="3:12" outlineLevel="1" x14ac:dyDescent="0.3">
      <c r="C674" t="s">
        <v>387</v>
      </c>
      <c r="D674" s="14" t="s">
        <v>349</v>
      </c>
      <c r="E674" s="358" t="e">
        <v>#VALUE!</v>
      </c>
      <c r="F674" s="358">
        <v>43921</v>
      </c>
      <c r="G674" s="358">
        <v>43935</v>
      </c>
      <c r="H674" s="358" t="s">
        <v>347</v>
      </c>
      <c r="I674" s="14">
        <v>31</v>
      </c>
      <c r="J674" s="218">
        <v>2096829</v>
      </c>
      <c r="K674" s="22">
        <f t="shared" si="106"/>
        <v>32.371326166000003</v>
      </c>
      <c r="L674" s="22">
        <f t="shared" si="107"/>
        <v>31</v>
      </c>
    </row>
    <row r="675" spans="3:12" outlineLevel="1" x14ac:dyDescent="0.3">
      <c r="C675" t="s">
        <v>388</v>
      </c>
      <c r="D675" s="14">
        <v>20200322</v>
      </c>
      <c r="E675" s="358">
        <v>43912</v>
      </c>
      <c r="F675" s="358">
        <v>43912</v>
      </c>
      <c r="G675" s="358">
        <v>43926</v>
      </c>
      <c r="H675" s="358" t="s">
        <v>345</v>
      </c>
      <c r="I675" s="14">
        <v>6612</v>
      </c>
      <c r="J675" s="218">
        <v>19453561</v>
      </c>
      <c r="K675" s="22">
        <f t="shared" si="106"/>
        <v>6612</v>
      </c>
      <c r="L675" s="22">
        <f t="shared" si="107"/>
        <v>6624.7226288940001</v>
      </c>
    </row>
    <row r="676" spans="3:12" outlineLevel="1" x14ac:dyDescent="0.3">
      <c r="C676" t="s">
        <v>389</v>
      </c>
      <c r="D676" s="14">
        <v>20200325</v>
      </c>
      <c r="E676" s="358">
        <v>43915</v>
      </c>
      <c r="F676" s="358">
        <v>43915</v>
      </c>
      <c r="G676" s="358">
        <v>43929</v>
      </c>
      <c r="H676" s="358" t="s">
        <v>360</v>
      </c>
      <c r="I676" s="14">
        <v>66</v>
      </c>
      <c r="J676" s="218">
        <v>10488084</v>
      </c>
      <c r="K676" s="22">
        <f t="shared" ref="K676:K694" si="108">IF(ISNUMBER(D676),I676,I676+J676/1000000*$D$640)</f>
        <v>66</v>
      </c>
      <c r="L676" s="22">
        <f t="shared" ref="L676:L694" si="109">IF(ISNUMBER(D676),I676+J676/1000000*$D$640,I676)</f>
        <v>72.859206935999993</v>
      </c>
    </row>
    <row r="677" spans="3:12" outlineLevel="1" x14ac:dyDescent="0.3">
      <c r="C677" t="s">
        <v>390</v>
      </c>
      <c r="D677" s="14" t="s">
        <v>349</v>
      </c>
      <c r="E677" s="358" t="e">
        <v>#VALUE!</v>
      </c>
      <c r="F677" s="358">
        <v>43921</v>
      </c>
      <c r="G677" s="358">
        <v>43935</v>
      </c>
      <c r="H677" s="358" t="s">
        <v>347</v>
      </c>
      <c r="I677" s="14">
        <v>8</v>
      </c>
      <c r="J677" s="218">
        <v>762062</v>
      </c>
      <c r="K677" s="22">
        <f t="shared" si="108"/>
        <v>8.4983885479999994</v>
      </c>
      <c r="L677" s="22">
        <f t="shared" si="109"/>
        <v>8</v>
      </c>
    </row>
    <row r="678" spans="3:12" outlineLevel="1" x14ac:dyDescent="0.3">
      <c r="C678" t="s">
        <v>391</v>
      </c>
      <c r="D678" s="14">
        <v>20200323</v>
      </c>
      <c r="E678" s="358">
        <v>43913</v>
      </c>
      <c r="F678" s="358">
        <v>43913</v>
      </c>
      <c r="G678" s="358">
        <v>43927</v>
      </c>
      <c r="H678" s="358" t="s">
        <v>370</v>
      </c>
      <c r="I678" s="14">
        <v>210</v>
      </c>
      <c r="J678" s="218">
        <v>11689100</v>
      </c>
      <c r="K678" s="22">
        <f t="shared" si="108"/>
        <v>210</v>
      </c>
      <c r="L678" s="22">
        <f t="shared" si="109"/>
        <v>217.64467139999999</v>
      </c>
    </row>
    <row r="679" spans="3:12" outlineLevel="1" x14ac:dyDescent="0.3">
      <c r="C679" t="s">
        <v>392</v>
      </c>
      <c r="D679" s="14">
        <v>20200324</v>
      </c>
      <c r="E679" s="358">
        <v>43914</v>
      </c>
      <c r="F679" s="358">
        <v>43914</v>
      </c>
      <c r="G679" s="358">
        <v>43928</v>
      </c>
      <c r="H679" s="358" t="s">
        <v>343</v>
      </c>
      <c r="I679" s="14">
        <v>67</v>
      </c>
      <c r="J679" s="218">
        <v>3956971</v>
      </c>
      <c r="K679" s="22">
        <f t="shared" si="108"/>
        <v>67</v>
      </c>
      <c r="L679" s="22">
        <f t="shared" si="109"/>
        <v>69.587859034000004</v>
      </c>
    </row>
    <row r="680" spans="3:12" outlineLevel="1" x14ac:dyDescent="0.3">
      <c r="C680" t="s">
        <v>393</v>
      </c>
      <c r="D680" s="14">
        <v>20200327</v>
      </c>
      <c r="E680" s="358">
        <v>43917</v>
      </c>
      <c r="F680" s="358">
        <v>43917</v>
      </c>
      <c r="G680" s="358">
        <v>43931</v>
      </c>
      <c r="H680" s="358" t="s">
        <v>376</v>
      </c>
      <c r="I680" s="14">
        <v>44</v>
      </c>
      <c r="J680" s="218">
        <v>4217737</v>
      </c>
      <c r="K680" s="22">
        <f t="shared" si="108"/>
        <v>44</v>
      </c>
      <c r="L680" s="22">
        <f t="shared" si="109"/>
        <v>46.758399998000002</v>
      </c>
    </row>
    <row r="681" spans="3:12" outlineLevel="1" x14ac:dyDescent="0.3">
      <c r="C681" t="s">
        <v>394</v>
      </c>
      <c r="D681" s="14">
        <v>20200323</v>
      </c>
      <c r="E681" s="358">
        <v>43913</v>
      </c>
      <c r="F681" s="358">
        <v>43913</v>
      </c>
      <c r="G681" s="358">
        <v>43927</v>
      </c>
      <c r="H681" s="358" t="s">
        <v>370</v>
      </c>
      <c r="I681" s="14">
        <v>186</v>
      </c>
      <c r="J681" s="218">
        <v>12801989</v>
      </c>
      <c r="K681" s="22">
        <f t="shared" si="108"/>
        <v>186</v>
      </c>
      <c r="L681" s="22">
        <f t="shared" si="109"/>
        <v>194.37250080600001</v>
      </c>
    </row>
    <row r="682" spans="3:12" outlineLevel="1" x14ac:dyDescent="0.3">
      <c r="C682" t="s">
        <v>395</v>
      </c>
      <c r="D682" s="14">
        <v>20200324</v>
      </c>
      <c r="E682" s="358">
        <v>43914</v>
      </c>
      <c r="F682" s="358">
        <v>43914</v>
      </c>
      <c r="G682" s="358">
        <v>43928</v>
      </c>
      <c r="H682" s="358" t="s">
        <v>343</v>
      </c>
      <c r="I682" s="14">
        <v>42</v>
      </c>
      <c r="J682" s="218">
        <v>1059361</v>
      </c>
      <c r="K682" s="22">
        <f t="shared" si="108"/>
        <v>42</v>
      </c>
      <c r="L682" s="22">
        <f t="shared" si="109"/>
        <v>42.692822094</v>
      </c>
    </row>
    <row r="683" spans="3:12" outlineLevel="1" x14ac:dyDescent="0.3">
      <c r="C683" t="s">
        <v>396</v>
      </c>
      <c r="D683" s="14">
        <v>20200326</v>
      </c>
      <c r="E683" s="358">
        <v>43916</v>
      </c>
      <c r="F683" s="358">
        <v>43916</v>
      </c>
      <c r="G683" s="358">
        <v>43930</v>
      </c>
      <c r="H683" s="358" t="s">
        <v>368</v>
      </c>
      <c r="I683" s="14">
        <v>67</v>
      </c>
      <c r="J683" s="218">
        <v>5148714</v>
      </c>
      <c r="K683" s="22">
        <f t="shared" si="108"/>
        <v>67</v>
      </c>
      <c r="L683" s="22">
        <f t="shared" si="109"/>
        <v>70.367258956000001</v>
      </c>
    </row>
    <row r="684" spans="3:12" outlineLevel="1" x14ac:dyDescent="0.3">
      <c r="C684" t="s">
        <v>397</v>
      </c>
      <c r="D684" s="14" t="s">
        <v>349</v>
      </c>
      <c r="E684" s="358" t="e">
        <v>#VALUE!</v>
      </c>
      <c r="F684" s="358">
        <v>43921</v>
      </c>
      <c r="G684" s="358">
        <v>43935</v>
      </c>
      <c r="H684" s="358" t="s">
        <v>347</v>
      </c>
      <c r="I684" s="14">
        <v>6</v>
      </c>
      <c r="J684" s="218">
        <v>884659</v>
      </c>
      <c r="K684" s="22">
        <f t="shared" si="108"/>
        <v>6.5785669860000002</v>
      </c>
      <c r="L684" s="22">
        <f t="shared" si="109"/>
        <v>6</v>
      </c>
    </row>
    <row r="685" spans="3:12" outlineLevel="1" x14ac:dyDescent="0.3">
      <c r="C685" t="s">
        <v>398</v>
      </c>
      <c r="D685" s="14">
        <v>20200315</v>
      </c>
      <c r="E685" s="358">
        <v>43905</v>
      </c>
      <c r="F685" s="358">
        <v>43905</v>
      </c>
      <c r="G685" s="358">
        <v>43919</v>
      </c>
      <c r="H685" s="358" t="s">
        <v>399</v>
      </c>
      <c r="I685" s="14">
        <v>8</v>
      </c>
      <c r="J685" s="218">
        <v>6829174</v>
      </c>
      <c r="K685" s="22">
        <f t="shared" si="108"/>
        <v>8</v>
      </c>
      <c r="L685" s="22">
        <f t="shared" si="109"/>
        <v>12.466279795999998</v>
      </c>
    </row>
    <row r="686" spans="3:12" outlineLevel="1" x14ac:dyDescent="0.3">
      <c r="C686" t="s">
        <v>400</v>
      </c>
      <c r="D686" s="14">
        <v>20200323</v>
      </c>
      <c r="E686" s="358">
        <v>43913</v>
      </c>
      <c r="F686" s="358">
        <v>43913</v>
      </c>
      <c r="G686" s="358">
        <v>43927</v>
      </c>
      <c r="H686" s="358" t="s">
        <v>370</v>
      </c>
      <c r="I686" s="14">
        <v>206</v>
      </c>
      <c r="J686" s="218">
        <v>28995881</v>
      </c>
      <c r="K686" s="22">
        <f t="shared" si="108"/>
        <v>206</v>
      </c>
      <c r="L686" s="22">
        <f t="shared" si="109"/>
        <v>224.963306174</v>
      </c>
    </row>
    <row r="687" spans="3:12" outlineLevel="1" x14ac:dyDescent="0.3">
      <c r="C687" t="s">
        <v>401</v>
      </c>
      <c r="D687" s="14" t="s">
        <v>349</v>
      </c>
      <c r="E687" s="358" t="e">
        <v>#VALUE!</v>
      </c>
      <c r="F687" s="358">
        <v>43921</v>
      </c>
      <c r="G687" s="358">
        <v>43935</v>
      </c>
      <c r="H687" s="358" t="s">
        <v>347</v>
      </c>
      <c r="I687" s="14">
        <v>18</v>
      </c>
      <c r="J687" s="218">
        <v>3205958</v>
      </c>
      <c r="K687" s="22">
        <f t="shared" si="108"/>
        <v>20.096696531999999</v>
      </c>
      <c r="L687" s="22">
        <f t="shared" si="109"/>
        <v>18</v>
      </c>
    </row>
    <row r="688" spans="3:12" outlineLevel="1" x14ac:dyDescent="0.3">
      <c r="C688" t="s">
        <v>402</v>
      </c>
      <c r="D688" s="14">
        <v>20200324</v>
      </c>
      <c r="E688" s="358">
        <v>43914</v>
      </c>
      <c r="F688" s="358">
        <v>43914</v>
      </c>
      <c r="G688" s="358">
        <v>43928</v>
      </c>
      <c r="H688" s="358" t="s">
        <v>343</v>
      </c>
      <c r="I688" s="14">
        <v>23</v>
      </c>
      <c r="J688" s="218">
        <v>623989</v>
      </c>
      <c r="K688" s="22">
        <f t="shared" si="108"/>
        <v>23</v>
      </c>
      <c r="L688" s="22">
        <f t="shared" si="109"/>
        <v>23.408088805999999</v>
      </c>
    </row>
    <row r="689" spans="2:20" outlineLevel="1" x14ac:dyDescent="0.3">
      <c r="C689" t="s">
        <v>403</v>
      </c>
      <c r="D689" s="14">
        <v>20200330</v>
      </c>
      <c r="E689" s="358">
        <v>43920</v>
      </c>
      <c r="F689" s="358">
        <v>43920</v>
      </c>
      <c r="G689" s="358">
        <v>43934</v>
      </c>
      <c r="H689" s="358" t="s">
        <v>366</v>
      </c>
      <c r="I689" s="14">
        <v>149</v>
      </c>
      <c r="J689" s="218">
        <v>8535519</v>
      </c>
      <c r="K689" s="22">
        <f t="shared" si="108"/>
        <v>149</v>
      </c>
      <c r="L689" s="22">
        <f t="shared" si="109"/>
        <v>154.582229426</v>
      </c>
    </row>
    <row r="690" spans="2:20" outlineLevel="1" x14ac:dyDescent="0.3">
      <c r="C690" t="s">
        <v>404</v>
      </c>
      <c r="D690" s="14">
        <v>20200323</v>
      </c>
      <c r="E690" s="358">
        <v>43913</v>
      </c>
      <c r="F690" s="358">
        <v>43913</v>
      </c>
      <c r="G690" s="358">
        <v>43927</v>
      </c>
      <c r="H690" s="358" t="s">
        <v>370</v>
      </c>
      <c r="I690" s="14">
        <v>450</v>
      </c>
      <c r="J690" s="218">
        <v>7614893</v>
      </c>
      <c r="K690" s="22">
        <f t="shared" si="108"/>
        <v>450</v>
      </c>
      <c r="L690" s="22">
        <f t="shared" si="109"/>
        <v>454.980140022</v>
      </c>
    </row>
    <row r="691" spans="2:20" outlineLevel="1" x14ac:dyDescent="0.3">
      <c r="C691" t="s">
        <v>405</v>
      </c>
      <c r="D691" s="14">
        <v>20200401</v>
      </c>
      <c r="E691" s="358">
        <v>43922</v>
      </c>
      <c r="F691" s="358">
        <v>43922</v>
      </c>
      <c r="G691" s="358">
        <v>43936</v>
      </c>
      <c r="H691" s="358" t="s">
        <v>384</v>
      </c>
      <c r="I691" s="14">
        <v>72</v>
      </c>
      <c r="J691" s="218">
        <v>705749</v>
      </c>
      <c r="K691" s="22">
        <f t="shared" si="108"/>
        <v>72</v>
      </c>
      <c r="L691" s="22">
        <f t="shared" si="109"/>
        <v>72.461559846</v>
      </c>
    </row>
    <row r="692" spans="2:20" outlineLevel="1" x14ac:dyDescent="0.3">
      <c r="C692" t="s">
        <v>406</v>
      </c>
      <c r="D692" s="14">
        <v>20200323</v>
      </c>
      <c r="E692" s="358">
        <v>43913</v>
      </c>
      <c r="F692" s="358">
        <v>43913</v>
      </c>
      <c r="G692" s="358">
        <v>43927</v>
      </c>
      <c r="H692" s="358" t="s">
        <v>370</v>
      </c>
      <c r="I692" s="14">
        <v>4</v>
      </c>
      <c r="J692" s="218">
        <v>1792147</v>
      </c>
      <c r="K692" s="22">
        <f t="shared" si="108"/>
        <v>4</v>
      </c>
      <c r="L692" s="22">
        <f t="shared" si="109"/>
        <v>5.1720641379999996</v>
      </c>
    </row>
    <row r="693" spans="2:20" outlineLevel="1" x14ac:dyDescent="0.3">
      <c r="C693" t="s">
        <v>407</v>
      </c>
      <c r="D693" s="14">
        <v>20200325</v>
      </c>
      <c r="E693" s="358">
        <v>43915</v>
      </c>
      <c r="F693" s="358">
        <v>43915</v>
      </c>
      <c r="G693" s="358">
        <v>43929</v>
      </c>
      <c r="H693" s="358" t="s">
        <v>360</v>
      </c>
      <c r="I693" s="14">
        <v>140</v>
      </c>
      <c r="J693" s="218">
        <v>5822434</v>
      </c>
      <c r="K693" s="22">
        <f t="shared" si="108"/>
        <v>140</v>
      </c>
      <c r="L693" s="22">
        <f t="shared" si="109"/>
        <v>143.807871836</v>
      </c>
    </row>
    <row r="694" spans="2:20" outlineLevel="1" x14ac:dyDescent="0.3">
      <c r="C694" t="s">
        <v>408</v>
      </c>
      <c r="D694" s="14" t="s">
        <v>349</v>
      </c>
      <c r="E694" s="358" t="e">
        <v>#VALUE!</v>
      </c>
      <c r="F694" s="358">
        <v>43921</v>
      </c>
      <c r="G694" s="358">
        <v>43935</v>
      </c>
      <c r="H694" s="358" t="s">
        <v>347</v>
      </c>
      <c r="I694" s="14">
        <v>1</v>
      </c>
      <c r="J694" s="218">
        <v>578759</v>
      </c>
      <c r="K694" s="22">
        <f t="shared" si="108"/>
        <v>1.378508386</v>
      </c>
      <c r="L694" s="22">
        <f t="shared" si="109"/>
        <v>1</v>
      </c>
    </row>
    <row r="695" spans="2:20" x14ac:dyDescent="0.3">
      <c r="C695" s="5" t="s">
        <v>409</v>
      </c>
      <c r="D695" s="5"/>
      <c r="E695" s="334"/>
      <c r="F695" s="334"/>
      <c r="G695" s="334"/>
      <c r="H695" s="334"/>
      <c r="I695" s="5"/>
      <c r="J695" s="32"/>
      <c r="K695" s="32">
        <f>SUM(K644:K694)</f>
        <v>16255.799940874</v>
      </c>
      <c r="L695" s="32">
        <f>SUM(L644:L694)</f>
        <v>16438.868707168</v>
      </c>
    </row>
    <row r="696" spans="2:20" x14ac:dyDescent="0.3">
      <c r="C696" s="62" t="s">
        <v>410</v>
      </c>
      <c r="E696" s="18"/>
    </row>
    <row r="698" spans="2:20" x14ac:dyDescent="0.3">
      <c r="E698" s="58"/>
    </row>
    <row r="701" spans="2:20" s="8" customFormat="1" ht="19.5" x14ac:dyDescent="0.4">
      <c r="B701" s="8">
        <v>49</v>
      </c>
      <c r="C701" s="8" t="s" cm="1">
        <v>411</v>
      </c>
      <c r="D701" s="8" t="s">
        <v>412</v>
      </c>
      <c r="G701" s="8" t="s">
        <v>241</v>
      </c>
    </row>
    <row r="702" spans="2:20" x14ac:dyDescent="0.3">
      <c r="E702" s="97"/>
      <c r="N702" s="26"/>
      <c r="O702" s="26"/>
      <c r="P702" s="26"/>
      <c r="Q702" s="26"/>
      <c r="R702" s="26"/>
    </row>
    <row r="703" spans="2:20" x14ac:dyDescent="0.3">
      <c r="C703" s="5"/>
      <c r="D703" s="5"/>
      <c r="E703" s="5" t="s">
        <v>244</v>
      </c>
      <c r="F703" s="5" t="s">
        <v>15</v>
      </c>
      <c r="G703" s="5" t="s">
        <v>413</v>
      </c>
      <c r="H703" s="26"/>
      <c r="I703" s="26"/>
      <c r="Q703" s="3" t="s">
        <v>414</v>
      </c>
      <c r="S703" s="3" t="s">
        <v>415</v>
      </c>
    </row>
    <row r="704" spans="2:20" x14ac:dyDescent="0.3">
      <c r="C704" t="s">
        <v>416</v>
      </c>
      <c r="D704"/>
      <c r="E704" s="6">
        <v>1.2999999999999999E-2</v>
      </c>
      <c r="F704" s="6">
        <v>1.6000000000000001E-3</v>
      </c>
      <c r="G704" t="s">
        <v>417</v>
      </c>
      <c r="I704" s="19"/>
      <c r="Q704" s="3" t="s">
        <v>418</v>
      </c>
      <c r="R704" s="3" t="s">
        <v>419</v>
      </c>
      <c r="S704" s="3" t="s">
        <v>418</v>
      </c>
      <c r="T704" s="3" t="s">
        <v>419</v>
      </c>
    </row>
    <row r="705" spans="3:20" x14ac:dyDescent="0.3">
      <c r="C705" t="s">
        <v>420</v>
      </c>
      <c r="D705" t="s">
        <v>421</v>
      </c>
      <c r="E705" s="6">
        <v>8.7400000000000005E-2</v>
      </c>
      <c r="F705" s="6">
        <v>1.11E-2</v>
      </c>
      <c r="G705" t="s">
        <v>422</v>
      </c>
      <c r="I705" s="19"/>
      <c r="P705" s="3">
        <v>0</v>
      </c>
      <c r="Q705" s="19">
        <f>P705*$E$704</f>
        <v>0</v>
      </c>
      <c r="R705" s="19">
        <f>P705*$E$705+P705^2*$E$706</f>
        <v>0</v>
      </c>
      <c r="S705" s="3">
        <f t="shared" ref="S705:S724" si="110">EXP(Q705)</f>
        <v>1</v>
      </c>
      <c r="T705" s="3">
        <f t="shared" ref="T705:T724" si="111">EXP(R705)</f>
        <v>1</v>
      </c>
    </row>
    <row r="706" spans="3:20" x14ac:dyDescent="0.3">
      <c r="C706" s="12"/>
      <c r="D706" s="12" t="s">
        <v>423</v>
      </c>
      <c r="E706" s="7">
        <v>-6.9999999999999999E-4</v>
      </c>
      <c r="F706" s="7">
        <v>1E-4</v>
      </c>
      <c r="G706" s="12"/>
      <c r="I706" s="19"/>
      <c r="P706" s="26">
        <f>P705+10</f>
        <v>10</v>
      </c>
      <c r="Q706" s="19">
        <f>P706*$E$704</f>
        <v>0.13</v>
      </c>
      <c r="R706" s="19">
        <f>P706*$E$705+P706^2*$E$706</f>
        <v>0.80400000000000016</v>
      </c>
      <c r="S706" s="3">
        <f t="shared" si="110"/>
        <v>1.1388283833246218</v>
      </c>
      <c r="T706" s="3">
        <f t="shared" si="111"/>
        <v>2.2344609202967272</v>
      </c>
    </row>
    <row r="707" spans="3:20" x14ac:dyDescent="0.3">
      <c r="C707" t="s">
        <v>424</v>
      </c>
      <c r="D707" t="s">
        <v>421</v>
      </c>
      <c r="E707" s="6">
        <v>8.6300000000000002E-2</v>
      </c>
      <c r="F707" s="6">
        <v>1.12E-2</v>
      </c>
      <c r="G707" t="s">
        <v>425</v>
      </c>
      <c r="I707" s="19"/>
      <c r="P707" s="26"/>
      <c r="Q707" s="19"/>
      <c r="R707" s="19"/>
    </row>
    <row r="708" spans="3:20" x14ac:dyDescent="0.3">
      <c r="C708"/>
      <c r="D708" t="s">
        <v>423</v>
      </c>
      <c r="E708" s="6">
        <v>-6.9999999999999999E-4</v>
      </c>
      <c r="F708" s="6">
        <v>1E-4</v>
      </c>
      <c r="G708"/>
      <c r="I708" s="19"/>
      <c r="P708" s="26"/>
      <c r="Q708" s="19"/>
      <c r="R708" s="19"/>
    </row>
    <row r="709" spans="3:20" x14ac:dyDescent="0.3">
      <c r="C709" t="s">
        <v>426</v>
      </c>
      <c r="D709" t="s">
        <v>421</v>
      </c>
      <c r="E709" s="6">
        <v>8.5800000000000001E-2</v>
      </c>
      <c r="F709" s="6">
        <v>1.1299999999999999E-2</v>
      </c>
      <c r="G709" t="s">
        <v>427</v>
      </c>
      <c r="I709" s="19"/>
      <c r="P709" s="26"/>
      <c r="Q709" s="19"/>
      <c r="R709" s="19"/>
    </row>
    <row r="710" spans="3:20" x14ac:dyDescent="0.3">
      <c r="C710"/>
      <c r="D710" t="s">
        <v>423</v>
      </c>
      <c r="E710" s="6">
        <v>-6.9999999999999999E-4</v>
      </c>
      <c r="F710" s="6">
        <v>1E-4</v>
      </c>
      <c r="G710"/>
      <c r="I710" s="19"/>
      <c r="P710" s="26"/>
      <c r="Q710" s="19"/>
      <c r="R710" s="19"/>
    </row>
    <row r="711" spans="3:20" x14ac:dyDescent="0.3">
      <c r="C711" t="s">
        <v>428</v>
      </c>
      <c r="D711" t="s">
        <v>421</v>
      </c>
      <c r="E711" s="6">
        <v>6.1799999999999997E-3</v>
      </c>
      <c r="F711" s="6">
        <v>6.3E-3</v>
      </c>
      <c r="G711" t="s">
        <v>937</v>
      </c>
      <c r="I711" s="19"/>
      <c r="P711" s="26"/>
      <c r="Q711" s="19"/>
      <c r="R711" s="19"/>
    </row>
    <row r="712" spans="3:20" x14ac:dyDescent="0.3">
      <c r="C712"/>
      <c r="D712" t="s">
        <v>423</v>
      </c>
      <c r="E712" s="6">
        <v>9.0000000000000006E-5</v>
      </c>
      <c r="F712" s="6">
        <v>6.9999999999999994E-5</v>
      </c>
      <c r="G712"/>
      <c r="I712" s="19"/>
      <c r="P712" s="26"/>
      <c r="Q712" s="19"/>
      <c r="R712" s="19"/>
    </row>
    <row r="713" spans="3:20" x14ac:dyDescent="0.3">
      <c r="C713" t="s">
        <v>429</v>
      </c>
      <c r="D713" t="s">
        <v>421</v>
      </c>
      <c r="E713" s="6">
        <v>6.6699999999999995E-2</v>
      </c>
      <c r="F713" s="6">
        <v>1.0800000000000001E-2</v>
      </c>
      <c r="G713" t="s">
        <v>430</v>
      </c>
      <c r="I713" s="19"/>
      <c r="P713" s="26"/>
      <c r="Q713" s="19"/>
      <c r="R713" s="19"/>
    </row>
    <row r="714" spans="3:20" x14ac:dyDescent="0.3">
      <c r="C714"/>
      <c r="D714" t="s">
        <v>423</v>
      </c>
      <c r="E714" s="6">
        <v>-5.0000000000000001E-4</v>
      </c>
      <c r="F714" s="6">
        <v>1E-4</v>
      </c>
      <c r="G714"/>
      <c r="I714" s="19"/>
      <c r="P714" s="26"/>
      <c r="Q714" s="19"/>
      <c r="R714" s="19"/>
    </row>
    <row r="715" spans="3:20" x14ac:dyDescent="0.3">
      <c r="C715" s="3" t="s">
        <v>431</v>
      </c>
      <c r="E715" s="10"/>
      <c r="I715" s="19"/>
      <c r="N715" s="26"/>
      <c r="O715" s="26"/>
      <c r="P715" s="26">
        <f>P706+10</f>
        <v>20</v>
      </c>
      <c r="Q715" s="19">
        <f t="shared" ref="Q715:Q720" si="112">P715*$E$704</f>
        <v>0.26</v>
      </c>
      <c r="R715" s="19">
        <f t="shared" ref="R715:R720" si="113">P715*$E$705+P715^2*$E$706</f>
        <v>1.4680000000000002</v>
      </c>
      <c r="S715" s="3">
        <f t="shared" si="110"/>
        <v>1.2969300866657718</v>
      </c>
      <c r="T715" s="3">
        <f t="shared" si="111"/>
        <v>4.3405453634548161</v>
      </c>
    </row>
    <row r="716" spans="3:20" x14ac:dyDescent="0.3">
      <c r="C716" s="3" t="s">
        <v>432</v>
      </c>
      <c r="P716" s="26">
        <f>P715+10</f>
        <v>30</v>
      </c>
      <c r="Q716" s="19">
        <f t="shared" si="112"/>
        <v>0.38999999999999996</v>
      </c>
      <c r="R716" s="19">
        <f t="shared" si="113"/>
        <v>1.9920000000000004</v>
      </c>
      <c r="S716" s="3">
        <f t="shared" si="110"/>
        <v>1.4769807938826425</v>
      </c>
      <c r="T716" s="3">
        <f t="shared" si="111"/>
        <v>7.3301794706606378</v>
      </c>
    </row>
    <row r="717" spans="3:20" x14ac:dyDescent="0.3">
      <c r="C717" s="3" t="s">
        <v>433</v>
      </c>
      <c r="H717" s="28"/>
      <c r="P717" s="26">
        <f>P716+10</f>
        <v>40</v>
      </c>
      <c r="Q717" s="19">
        <f t="shared" si="112"/>
        <v>0.52</v>
      </c>
      <c r="R717" s="19">
        <f t="shared" si="113"/>
        <v>2.3760000000000003</v>
      </c>
      <c r="S717" s="3">
        <f t="shared" si="110"/>
        <v>1.6820276496988864</v>
      </c>
      <c r="T717" s="3">
        <f t="shared" si="111"/>
        <v>10.761769576561312</v>
      </c>
    </row>
    <row r="718" spans="3:20" x14ac:dyDescent="0.3">
      <c r="P718" s="26">
        <f>$F$143</f>
        <v>44.444444444444443</v>
      </c>
      <c r="Q718" s="19">
        <f t="shared" si="112"/>
        <v>0.57777777777777772</v>
      </c>
      <c r="R718" s="19">
        <f t="shared" si="113"/>
        <v>2.5017283950617286</v>
      </c>
      <c r="S718" s="3">
        <f t="shared" si="110"/>
        <v>1.7820738631661199</v>
      </c>
      <c r="T718" s="3">
        <f t="shared" si="111"/>
        <v>12.203568330276466</v>
      </c>
    </row>
    <row r="719" spans="3:20" x14ac:dyDescent="0.3">
      <c r="C719" s="4" t="s">
        <v>877</v>
      </c>
      <c r="D719" s="28"/>
      <c r="P719" s="26">
        <f>P717+10</f>
        <v>50</v>
      </c>
      <c r="Q719" s="19">
        <f t="shared" si="112"/>
        <v>0.65</v>
      </c>
      <c r="R719" s="19">
        <f t="shared" si="113"/>
        <v>2.62</v>
      </c>
      <c r="S719" s="3">
        <f t="shared" si="110"/>
        <v>1.9155408290138962</v>
      </c>
      <c r="T719" s="3">
        <f t="shared" si="111"/>
        <v>13.735723585077926</v>
      </c>
    </row>
    <row r="720" spans="3:20" x14ac:dyDescent="0.3">
      <c r="C720" s="5"/>
      <c r="D720" s="40" t="s">
        <v>17</v>
      </c>
      <c r="E720" s="5" t="s">
        <v>18</v>
      </c>
      <c r="F720" s="5" t="s">
        <v>434</v>
      </c>
      <c r="P720" s="26">
        <f>P719+10</f>
        <v>60</v>
      </c>
      <c r="Q720" s="19">
        <f t="shared" si="112"/>
        <v>0.77999999999999992</v>
      </c>
      <c r="R720" s="19">
        <f t="shared" si="113"/>
        <v>2.7240000000000006</v>
      </c>
      <c r="S720" s="3">
        <f t="shared" si="110"/>
        <v>2.1814722654982011</v>
      </c>
      <c r="T720" s="3">
        <f t="shared" si="111"/>
        <v>15.241165138597172</v>
      </c>
    </row>
    <row r="721" spans="2:22" x14ac:dyDescent="0.3">
      <c r="C721" t="s">
        <v>241</v>
      </c>
      <c r="D721" s="31">
        <f>D143</f>
        <v>76.391666087864692</v>
      </c>
      <c r="E721" s="31">
        <f>E143</f>
        <v>74.089415216876617</v>
      </c>
      <c r="F721" s="207">
        <f>F143</f>
        <v>44.444444444444443</v>
      </c>
      <c r="P721" s="26"/>
      <c r="Q721" s="19"/>
      <c r="R721" s="19"/>
    </row>
    <row r="722" spans="2:22" x14ac:dyDescent="0.3">
      <c r="C722" t="s">
        <v>435</v>
      </c>
      <c r="D722" s="11">
        <f>EXP($E$704*(D721-$F$721))-1</f>
        <v>0.51484614805329243</v>
      </c>
      <c r="E722" s="11">
        <f>EXP($E$704*(E721-$F$721))-1</f>
        <v>0.47017967327847376</v>
      </c>
      <c r="F722" s="11"/>
      <c r="H722" s="10"/>
      <c r="I722" s="10"/>
      <c r="P722" s="26">
        <f>P720+10</f>
        <v>70</v>
      </c>
      <c r="Q722" s="19">
        <f>P722*$E$704</f>
        <v>0.90999999999999992</v>
      </c>
      <c r="R722" s="19">
        <f>P722*$E$705+P722^2*$E$706</f>
        <v>2.6880000000000002</v>
      </c>
      <c r="S722" s="3">
        <f t="shared" si="110"/>
        <v>2.4843225333848165</v>
      </c>
      <c r="T722" s="3">
        <f t="shared" si="111"/>
        <v>14.702242012321111</v>
      </c>
    </row>
    <row r="723" spans="2:22" x14ac:dyDescent="0.3">
      <c r="C723" s="12" t="s">
        <v>436</v>
      </c>
      <c r="D723" s="23">
        <f>EXP($E705*(D$721-$F$721)+$E706*(D$721^2-$F$721^2))-1</f>
        <v>9.4089562490236922E-2</v>
      </c>
      <c r="E723" s="23">
        <f>EXP($E705*(E$721-$F$721)+$E706*(E$721^2-$F$721^2))-1</f>
        <v>0.14021573059597614</v>
      </c>
      <c r="F723" s="12"/>
      <c r="H723" s="10"/>
      <c r="I723" s="10"/>
      <c r="P723" s="26">
        <f>D143</f>
        <v>76.391666087864692</v>
      </c>
      <c r="Q723" s="19">
        <f>P723*$E$704</f>
        <v>0.99309165914224096</v>
      </c>
      <c r="R723" s="19">
        <f>P723*$E$705+P723^2*$E$706</f>
        <v>2.5916509627035031</v>
      </c>
      <c r="S723" s="3">
        <f t="shared" si="110"/>
        <v>2.6995677271636467</v>
      </c>
      <c r="T723" s="3">
        <f t="shared" si="111"/>
        <v>13.351796735291897</v>
      </c>
      <c r="U723" s="3">
        <f>S723/S718-1</f>
        <v>0.51484614805329221</v>
      </c>
      <c r="V723" s="3">
        <f>T723/T718-1</f>
        <v>9.4089562490237366E-2</v>
      </c>
    </row>
    <row r="724" spans="2:22" x14ac:dyDescent="0.3">
      <c r="C724" s="9" t="s">
        <v>424</v>
      </c>
      <c r="D724" s="128">
        <f>EXP($E707*(D$721-$F$721)+$E708*(D$721^2-$F$721^2))-1</f>
        <v>5.630886026786186E-2</v>
      </c>
      <c r="E724" s="128">
        <f>EXP($E707*(E$721-$F$721)+$E708*(E$721^2-$F$721^2))-1</f>
        <v>0.10363360585726866</v>
      </c>
      <c r="F724" s="389"/>
      <c r="P724" s="26">
        <v>125</v>
      </c>
      <c r="Q724" s="19">
        <f>P724*$E$704</f>
        <v>1.625</v>
      </c>
      <c r="R724" s="19">
        <f>P724*$E$705+P724^2*$E$706</f>
        <v>-1.2499999999999289E-2</v>
      </c>
      <c r="S724" s="3">
        <f t="shared" si="110"/>
        <v>5.0784190371800815</v>
      </c>
      <c r="T724" s="3">
        <f t="shared" si="111"/>
        <v>0.98757780049388211</v>
      </c>
    </row>
    <row r="725" spans="2:22" x14ac:dyDescent="0.3">
      <c r="C725" t="s">
        <v>426</v>
      </c>
      <c r="D725" s="110">
        <f>EXP($E709*(D$721-$F$721)+$E710*(D$721^2-$F$721^2))-1</f>
        <v>3.9569840837969217E-2</v>
      </c>
      <c r="E725" s="110">
        <f>EXP($E709*(E$721-$F$721)+$E710*(E$721^2-$F$721^2))-1</f>
        <v>8.7395653564962039E-2</v>
      </c>
      <c r="F725" s="11"/>
    </row>
    <row r="726" spans="2:22" x14ac:dyDescent="0.3">
      <c r="C726" t="str">
        <f>C711</f>
        <v>Ordinary Least Squares</v>
      </c>
      <c r="D726" s="110">
        <f>E711*(D721-$F$721)+E712*(D721-$F$721)^2</f>
        <v>0.28929007712238086</v>
      </c>
      <c r="E726" s="110">
        <f>F711*(E721-$F$721)+F712*(E721-$F$721)^2</f>
        <v>0.24828101631320773</v>
      </c>
      <c r="F726" s="11"/>
    </row>
    <row r="727" spans="2:22" x14ac:dyDescent="0.3">
      <c r="C727" s="12" t="s">
        <v>429</v>
      </c>
      <c r="D727" s="23">
        <f>EXP($E713*(D$721-$F$721)+$E714*(D$721^2-$F$721^2))-1</f>
        <v>0.22224664894619561</v>
      </c>
      <c r="E727" s="23">
        <f>EXP($E713*(E$721-$F$721)+$E714*(E$721^2-$F$721^2))-1</f>
        <v>0.24651685770274545</v>
      </c>
      <c r="F727" s="13"/>
    </row>
    <row r="728" spans="2:22" x14ac:dyDescent="0.3">
      <c r="F728" s="10"/>
    </row>
    <row r="729" spans="2:22" x14ac:dyDescent="0.3">
      <c r="F729" s="10"/>
    </row>
    <row r="730" spans="2:22" s="8" customFormat="1" ht="19.5" x14ac:dyDescent="0.4">
      <c r="B730" s="8">
        <v>64</v>
      </c>
      <c r="C730" s="8" t="s" cm="1">
        <v>437</v>
      </c>
      <c r="D730" s="8" t="s" cm="1">
        <v>438</v>
      </c>
      <c r="G730" s="8" t="s">
        <v>145</v>
      </c>
    </row>
    <row r="732" spans="2:22" x14ac:dyDescent="0.3">
      <c r="D732" s="3" t="s">
        <v>949</v>
      </c>
      <c r="E732" s="3" t="s">
        <v>2</v>
      </c>
      <c r="F732" s="99" t="s">
        <v>270</v>
      </c>
      <c r="G732" s="3" t="s">
        <v>271</v>
      </c>
      <c r="H732" s="3" t="s">
        <v>15</v>
      </c>
      <c r="I732" s="3" t="s">
        <v>956</v>
      </c>
    </row>
    <row r="733" spans="2:22" x14ac:dyDescent="0.3">
      <c r="C733" s="34" t="s">
        <v>439</v>
      </c>
      <c r="D733" s="33">
        <v>-0.35</v>
      </c>
      <c r="E733" s="122">
        <v>41000</v>
      </c>
      <c r="F733" s="122">
        <v>27000</v>
      </c>
      <c r="G733" s="122">
        <v>59000</v>
      </c>
      <c r="H733" s="32">
        <f>ABS(F733-AVERAGE(F733:G733))/1.96</f>
        <v>8163.2653061224491</v>
      </c>
      <c r="I733" s="16">
        <f>-D733/E733*H733</f>
        <v>6.968641114982578E-2</v>
      </c>
    </row>
    <row r="734" spans="2:22" x14ac:dyDescent="0.3">
      <c r="C734" s="3" t="s">
        <v>440</v>
      </c>
    </row>
    <row r="737" spans="2:13" s="8" customFormat="1" ht="19.5" x14ac:dyDescent="0.4">
      <c r="B737" s="8">
        <v>71</v>
      </c>
      <c r="C737" s="8" t="s">
        <v>441</v>
      </c>
      <c r="D737" s="8" t="s" cm="1">
        <v>442</v>
      </c>
      <c r="G737" s="8" t="s">
        <v>136</v>
      </c>
    </row>
    <row r="739" spans="2:13" s="154" customFormat="1" ht="19.5" x14ac:dyDescent="0.4">
      <c r="B739" s="154" t="s">
        <v>877</v>
      </c>
    </row>
    <row r="741" spans="2:13" x14ac:dyDescent="0.3">
      <c r="C741" s="113"/>
      <c r="D741" s="92" t="s">
        <v>949</v>
      </c>
      <c r="E741" s="92"/>
      <c r="F741" s="115"/>
      <c r="G741" s="92" t="s">
        <v>956</v>
      </c>
      <c r="H741" s="92"/>
      <c r="I741" s="92"/>
    </row>
    <row r="742" spans="2:13" x14ac:dyDescent="0.3">
      <c r="C742" s="42"/>
      <c r="D742" s="12" t="s">
        <v>443</v>
      </c>
      <c r="E742" s="12" t="s">
        <v>444</v>
      </c>
      <c r="F742" s="42" t="s">
        <v>282</v>
      </c>
      <c r="G742" s="12" t="s">
        <v>443</v>
      </c>
      <c r="H742" s="12" t="s">
        <v>444</v>
      </c>
      <c r="I742" s="12" t="s">
        <v>282</v>
      </c>
    </row>
    <row r="743" spans="2:13" x14ac:dyDescent="0.3">
      <c r="C743" s="114" t="s">
        <v>93</v>
      </c>
      <c r="D743" s="228">
        <f t="shared" ref="D743:D750" si="114">F763</f>
        <v>-2.2030293619600617E-2</v>
      </c>
      <c r="E743" s="314">
        <f t="shared" ref="E743:E750" si="115">H763</f>
        <v>-0.19671784158667693</v>
      </c>
      <c r="F743" s="317"/>
      <c r="G743" s="237">
        <f t="shared" ref="G743:G750" si="116">G763</f>
        <v>1.6812691923721958E-2</v>
      </c>
      <c r="H743" s="237">
        <f t="shared" ref="H743:H750" si="117">I763</f>
        <v>1.4430687993483769E-2</v>
      </c>
      <c r="I743" s="315"/>
    </row>
    <row r="744" spans="2:13" x14ac:dyDescent="0.3">
      <c r="C744" s="114" t="s">
        <v>94</v>
      </c>
      <c r="D744" s="228">
        <f t="shared" si="114"/>
        <v>-4.7763157595436631E-2</v>
      </c>
      <c r="E744" s="314">
        <f t="shared" si="115"/>
        <v>-4.9735609383384394E-2</v>
      </c>
      <c r="F744" s="318"/>
      <c r="G744" s="237">
        <f t="shared" si="116"/>
        <v>1.9551838360732845E-2</v>
      </c>
      <c r="H744" s="237">
        <f t="shared" si="117"/>
        <v>1.6781755138489552E-2</v>
      </c>
      <c r="I744" s="315"/>
    </row>
    <row r="745" spans="2:13" x14ac:dyDescent="0.3">
      <c r="C745" s="114" t="s">
        <v>95</v>
      </c>
      <c r="D745" s="228">
        <f t="shared" si="114"/>
        <v>-1.4625152907129822E-2</v>
      </c>
      <c r="E745" s="314">
        <f t="shared" si="115"/>
        <v>5.4661500408575814E-2</v>
      </c>
      <c r="F745" s="318"/>
      <c r="G745" s="237">
        <f t="shared" si="116"/>
        <v>2.3235518051885406E-2</v>
      </c>
      <c r="H745" s="237">
        <f t="shared" si="117"/>
        <v>1.9943535092118016E-2</v>
      </c>
      <c r="I745" s="315"/>
    </row>
    <row r="746" spans="2:13" x14ac:dyDescent="0.3">
      <c r="C746" s="114" t="s">
        <v>96</v>
      </c>
      <c r="D746" s="228">
        <f t="shared" si="114"/>
        <v>2.4436964351153626E-2</v>
      </c>
      <c r="E746" s="314">
        <f t="shared" si="115"/>
        <v>5.2119105040735081E-2</v>
      </c>
      <c r="F746" s="318"/>
      <c r="G746" s="237">
        <f t="shared" si="116"/>
        <v>1.4026318824003996E-2</v>
      </c>
      <c r="H746" s="237">
        <f t="shared" si="117"/>
        <v>1.2039085208046852E-2</v>
      </c>
      <c r="I746" s="315"/>
    </row>
    <row r="747" spans="2:13" x14ac:dyDescent="0.3">
      <c r="C747" s="114" t="s">
        <v>97</v>
      </c>
      <c r="D747" s="228">
        <f t="shared" si="114"/>
        <v>2.0179008441482918E-2</v>
      </c>
      <c r="E747" s="314">
        <f t="shared" si="115"/>
        <v>-1.747896815390506E-2</v>
      </c>
      <c r="F747" s="318"/>
      <c r="G747" s="237">
        <f t="shared" si="116"/>
        <v>2.6588611104088382E-2</v>
      </c>
      <c r="H747" s="237">
        <f t="shared" si="117"/>
        <v>2.2821565562728546E-2</v>
      </c>
      <c r="I747" s="315"/>
    </row>
    <row r="748" spans="2:13" x14ac:dyDescent="0.3">
      <c r="C748" s="114" t="s">
        <v>98</v>
      </c>
      <c r="D748" s="228">
        <f t="shared" si="114"/>
        <v>1.758720919211814E-2</v>
      </c>
      <c r="E748" s="314">
        <f t="shared" si="115"/>
        <v>8.0403253507963263E-2</v>
      </c>
      <c r="F748" s="318">
        <f>AVERAGE(D748:E748)</f>
        <v>4.8995231350040705E-2</v>
      </c>
      <c r="G748" s="237">
        <f t="shared" si="116"/>
        <v>3.0083384144412608E-2</v>
      </c>
      <c r="H748" s="237">
        <f t="shared" si="117"/>
        <v>2.5821202954632472E-2</v>
      </c>
      <c r="I748" s="315">
        <f>SQRT(SUMSQ(G748:H748)/COUNT(G748:H748))</f>
        <v>2.8033413309875563E-2</v>
      </c>
      <c r="J748" s="134"/>
    </row>
    <row r="749" spans="2:13" x14ac:dyDescent="0.3">
      <c r="C749" s="114" t="s">
        <v>99</v>
      </c>
      <c r="D749" s="228">
        <f t="shared" si="114"/>
        <v>5.183598498729557E-3</v>
      </c>
      <c r="E749" s="314">
        <f t="shared" si="115"/>
        <v>2.2563758889586526E-2</v>
      </c>
      <c r="F749" s="318"/>
      <c r="G749" s="237">
        <f t="shared" si="116"/>
        <v>2.588021116348212E-2</v>
      </c>
      <c r="H749" s="237">
        <f t="shared" si="117"/>
        <v>2.221353095626153E-2</v>
      </c>
      <c r="I749" s="315"/>
    </row>
    <row r="750" spans="2:13" x14ac:dyDescent="0.3">
      <c r="C750" s="42" t="s">
        <v>100</v>
      </c>
      <c r="D750" s="229">
        <f t="shared" si="114"/>
        <v>-2.0734393994918228E-2</v>
      </c>
      <c r="E750" s="229">
        <f t="shared" si="115"/>
        <v>-0.10026571731921902</v>
      </c>
      <c r="F750" s="319"/>
      <c r="G750" s="238">
        <f t="shared" si="116"/>
        <v>1.4167998812125247E-2</v>
      </c>
      <c r="H750" s="238">
        <f t="shared" si="117"/>
        <v>1.2160692129340253E-2</v>
      </c>
      <c r="I750" s="316"/>
    </row>
    <row r="751" spans="2:13" x14ac:dyDescent="0.3">
      <c r="C751" s="62" t="s">
        <v>445</v>
      </c>
      <c r="M751" s="10"/>
    </row>
    <row r="752" spans="2:13" x14ac:dyDescent="0.3">
      <c r="C752" s="62" t="s">
        <v>446</v>
      </c>
    </row>
    <row r="753" spans="3:11" x14ac:dyDescent="0.3">
      <c r="D753" s="134"/>
      <c r="E753" s="134"/>
    </row>
    <row r="754" spans="3:11" x14ac:dyDescent="0.3">
      <c r="C754" s="4" t="s">
        <v>447</v>
      </c>
    </row>
    <row r="755" spans="3:11" x14ac:dyDescent="0.3">
      <c r="C755" s="9" t="s">
        <v>443</v>
      </c>
    </row>
    <row r="756" spans="3:11" x14ac:dyDescent="0.3">
      <c r="C756" t="s">
        <v>444</v>
      </c>
    </row>
    <row r="757" spans="3:11" x14ac:dyDescent="0.3">
      <c r="C757" t="s">
        <v>282</v>
      </c>
    </row>
    <row r="758" spans="3:11" x14ac:dyDescent="0.3">
      <c r="C758" s="98">
        <v>1</v>
      </c>
    </row>
    <row r="761" spans="3:11" x14ac:dyDescent="0.3">
      <c r="C761" s="113"/>
      <c r="D761" s="9" t="s">
        <v>448</v>
      </c>
      <c r="E761" s="113" t="str">
        <f>INDEX(C755:C757,C758)</f>
        <v>24 days</v>
      </c>
      <c r="F761" s="92" t="s">
        <v>443</v>
      </c>
      <c r="G761" s="115"/>
      <c r="H761" s="92" t="s">
        <v>444</v>
      </c>
      <c r="I761" s="92"/>
    </row>
    <row r="762" spans="3:11" x14ac:dyDescent="0.3">
      <c r="C762" s="42"/>
      <c r="D762" s="12" t="s">
        <v>2</v>
      </c>
      <c r="E762" s="42" t="s">
        <v>15</v>
      </c>
      <c r="F762" s="43" t="s">
        <v>2</v>
      </c>
      <c r="G762" s="222" t="s">
        <v>15</v>
      </c>
      <c r="H762" s="43" t="s">
        <v>2</v>
      </c>
      <c r="I762" s="43" t="s">
        <v>15</v>
      </c>
    </row>
    <row r="763" spans="3:11" x14ac:dyDescent="0.3">
      <c r="C763" s="114" t="s">
        <v>93</v>
      </c>
      <c r="D763" s="110">
        <f t="array" ref="D763:E770">TRANSPOSE(F781:M782)</f>
        <v>-2.2027844603601451E-2</v>
      </c>
      <c r="E763" s="387">
        <v>1.6810822926775246E-2</v>
      </c>
      <c r="F763" s="144">
        <v>-2.2030293619600617E-2</v>
      </c>
      <c r="G763" s="231">
        <v>1.6812691923721958E-2</v>
      </c>
      <c r="H763" s="144">
        <v>-0.19671784158667693</v>
      </c>
      <c r="I763" s="232">
        <v>1.4430687993483769E-2</v>
      </c>
      <c r="J763" s="58"/>
      <c r="K763" s="58"/>
    </row>
    <row r="764" spans="3:11" x14ac:dyDescent="0.3">
      <c r="C764" s="114" t="s">
        <v>94</v>
      </c>
      <c r="D764" s="110">
        <v>-4.7757847964110714E-2</v>
      </c>
      <c r="E764" s="387">
        <v>1.9549664864283577E-2</v>
      </c>
      <c r="F764" s="141">
        <v>-4.7763157595436631E-2</v>
      </c>
      <c r="G764" s="233">
        <v>1.9551838360732845E-2</v>
      </c>
      <c r="H764" s="141">
        <v>-4.9735609383384394E-2</v>
      </c>
      <c r="I764" s="234">
        <v>1.6781755138489552E-2</v>
      </c>
      <c r="J764" s="58"/>
      <c r="K764" s="58"/>
    </row>
    <row r="765" spans="3:11" x14ac:dyDescent="0.3">
      <c r="C765" s="114" t="s">
        <v>95</v>
      </c>
      <c r="D765" s="110">
        <v>-1.4623527089785839E-2</v>
      </c>
      <c r="E765" s="387">
        <v>2.323293505610512E-2</v>
      </c>
      <c r="F765" s="141">
        <v>-1.4625152907129822E-2</v>
      </c>
      <c r="G765" s="233">
        <v>2.3235518051885406E-2</v>
      </c>
      <c r="H765" s="141">
        <v>5.4661500408575814E-2</v>
      </c>
      <c r="I765" s="234">
        <v>1.9943535092118016E-2</v>
      </c>
      <c r="J765" s="58"/>
      <c r="K765" s="58"/>
    </row>
    <row r="766" spans="3:11" x14ac:dyDescent="0.3">
      <c r="C766" s="114" t="s">
        <v>96</v>
      </c>
      <c r="D766" s="110">
        <v>2.4434247795591529E-2</v>
      </c>
      <c r="E766" s="387">
        <v>1.4024759576551261E-2</v>
      </c>
      <c r="F766" s="141">
        <v>2.4436964351153626E-2</v>
      </c>
      <c r="G766" s="233">
        <v>1.4026318824003996E-2</v>
      </c>
      <c r="H766" s="141">
        <v>5.2119105040735081E-2</v>
      </c>
      <c r="I766" s="234">
        <v>1.2039085208046852E-2</v>
      </c>
      <c r="J766" s="58"/>
      <c r="K766" s="58"/>
    </row>
    <row r="767" spans="3:11" x14ac:dyDescent="0.3">
      <c r="C767" s="114" t="s">
        <v>97</v>
      </c>
      <c r="D767" s="110">
        <v>2.0176765225147553E-2</v>
      </c>
      <c r="E767" s="387">
        <v>2.6585655358917038E-2</v>
      </c>
      <c r="F767" s="141">
        <v>2.0179008441482918E-2</v>
      </c>
      <c r="G767" s="233">
        <v>2.6588611104088382E-2</v>
      </c>
      <c r="H767" s="141">
        <v>-1.747896815390506E-2</v>
      </c>
      <c r="I767" s="234">
        <v>2.2821565562728546E-2</v>
      </c>
      <c r="J767" s="58"/>
      <c r="K767" s="58"/>
    </row>
    <row r="768" spans="3:11" x14ac:dyDescent="0.3">
      <c r="C768" s="114" t="s">
        <v>98</v>
      </c>
      <c r="D768" s="110">
        <v>1.7585254095312086E-2</v>
      </c>
      <c r="E768" s="387">
        <v>3.0080039899875937E-2</v>
      </c>
      <c r="F768" s="141">
        <v>1.758720919211814E-2</v>
      </c>
      <c r="G768" s="233">
        <v>3.0083384144412608E-2</v>
      </c>
      <c r="H768" s="141">
        <v>8.0403253507963263E-2</v>
      </c>
      <c r="I768" s="234">
        <v>2.5821202954632472E-2</v>
      </c>
      <c r="J768" s="58"/>
      <c r="K768" s="58"/>
    </row>
    <row r="769" spans="3:13" x14ac:dyDescent="0.3">
      <c r="C769" s="114" t="s">
        <v>99</v>
      </c>
      <c r="D769" s="110">
        <v>5.1830222596709304E-3</v>
      </c>
      <c r="E769" s="387">
        <v>2.5877334168182126E-2</v>
      </c>
      <c r="F769" s="141">
        <v>5.183598498729557E-3</v>
      </c>
      <c r="G769" s="233">
        <v>2.588021116348212E-2</v>
      </c>
      <c r="H769" s="141">
        <v>2.2563758889586526E-2</v>
      </c>
      <c r="I769" s="234">
        <v>2.221353095626153E-2</v>
      </c>
      <c r="J769" s="58"/>
      <c r="K769" s="58"/>
    </row>
    <row r="770" spans="3:13" x14ac:dyDescent="0.3">
      <c r="C770" s="42" t="s">
        <v>100</v>
      </c>
      <c r="D770" s="23">
        <v>-2.0732089038683722E-2</v>
      </c>
      <c r="E770" s="386">
        <v>1.4166423814698242E-2</v>
      </c>
      <c r="F770" s="155">
        <v>-2.0734393994918228E-2</v>
      </c>
      <c r="G770" s="235">
        <v>1.4167998812125247E-2</v>
      </c>
      <c r="H770" s="155">
        <v>-0.10026571731921902</v>
      </c>
      <c r="I770" s="236">
        <v>1.2160692129340253E-2</v>
      </c>
      <c r="J770" s="58"/>
      <c r="K770" s="58"/>
    </row>
    <row r="771" spans="3:13" x14ac:dyDescent="0.3">
      <c r="C771" s="385" t="s">
        <v>449</v>
      </c>
    </row>
    <row r="774" spans="3:13" x14ac:dyDescent="0.3">
      <c r="C774" s="4" t="s">
        <v>450</v>
      </c>
    </row>
    <row r="775" spans="3:13" x14ac:dyDescent="0.3">
      <c r="C775" s="5"/>
      <c r="D775" s="5" t="s">
        <v>339</v>
      </c>
      <c r="E775" s="5" t="s">
        <v>451</v>
      </c>
      <c r="F775" s="5" t="s">
        <v>93</v>
      </c>
      <c r="G775" s="5" t="s">
        <v>94</v>
      </c>
      <c r="H775" s="5" t="s">
        <v>95</v>
      </c>
      <c r="I775" s="5" t="s">
        <v>96</v>
      </c>
      <c r="J775" s="5" t="s">
        <v>97</v>
      </c>
      <c r="K775" s="5" t="s">
        <v>98</v>
      </c>
      <c r="L775" s="5" t="s">
        <v>99</v>
      </c>
      <c r="M775" s="5" t="s">
        <v>100</v>
      </c>
    </row>
    <row r="776" spans="3:13" outlineLevel="1" x14ac:dyDescent="0.3">
      <c r="C776" t="s">
        <v>2</v>
      </c>
      <c r="D776"/>
      <c r="E776"/>
      <c r="F776" s="405">
        <f>P913</f>
        <v>-0.11899999999999999</v>
      </c>
      <c r="G776" s="405">
        <f>P914</f>
        <v>-0.25800000000000001</v>
      </c>
      <c r="H776" s="405">
        <f>P915</f>
        <v>-7.9000000000000001E-2</v>
      </c>
      <c r="I776" s="405">
        <f>P916</f>
        <v>0.13200000000000001</v>
      </c>
      <c r="J776" s="405">
        <f>P917</f>
        <v>0.109</v>
      </c>
      <c r="K776" s="405">
        <f>P918</f>
        <v>9.5000000000000001E-2</v>
      </c>
      <c r="L776" s="405">
        <f>P919</f>
        <v>2.8000000000000001E-2</v>
      </c>
      <c r="M776" s="405">
        <f>P920</f>
        <v>-0.112</v>
      </c>
    </row>
    <row r="777" spans="3:13" outlineLevel="1" x14ac:dyDescent="0.3">
      <c r="C777" s="12" t="s">
        <v>15</v>
      </c>
      <c r="D777" s="12"/>
      <c r="E777" s="12"/>
      <c r="F777" s="96">
        <f>H913</f>
        <v>9.0816326530612237E-2</v>
      </c>
      <c r="G777" s="96">
        <f>H914</f>
        <v>0.1056122448979592</v>
      </c>
      <c r="H777" s="96">
        <f>H915</f>
        <v>0.12551020408163266</v>
      </c>
      <c r="I777" s="96">
        <f>H916</f>
        <v>7.5765306122448986E-2</v>
      </c>
      <c r="J777" s="96">
        <f>H917</f>
        <v>0.14362244897959184</v>
      </c>
      <c r="K777" s="96">
        <f>H918</f>
        <v>0.16250000000000001</v>
      </c>
      <c r="L777" s="96">
        <f>H919</f>
        <v>0.13979591836734695</v>
      </c>
      <c r="M777" s="96">
        <f>H920</f>
        <v>7.6530612244897961E-2</v>
      </c>
    </row>
    <row r="778" spans="3:13" outlineLevel="1" x14ac:dyDescent="0.3">
      <c r="C778" s="192" t="s">
        <v>452</v>
      </c>
      <c r="D778"/>
      <c r="E778"/>
      <c r="F778" s="11"/>
      <c r="G778" s="11"/>
      <c r="H778" s="11"/>
      <c r="I778" s="11"/>
      <c r="J778" s="11"/>
      <c r="K778" s="11"/>
      <c r="L778" s="11"/>
      <c r="M778" s="11"/>
    </row>
    <row r="779" spans="3:13" outlineLevel="2" x14ac:dyDescent="0.3">
      <c r="C779" s="22" t="s">
        <v>17</v>
      </c>
      <c r="D779" s="22">
        <f>D846</f>
        <v>747627702</v>
      </c>
      <c r="E779" s="22">
        <f>AG846</f>
        <v>187172.97273569804</v>
      </c>
      <c r="F779" s="11">
        <f t="shared" ref="F779:M780" si="118">$F$792*F$776*$D779/1000000/$E779</f>
        <v>-2.5667464393141635E-2</v>
      </c>
      <c r="G779" s="11">
        <f t="shared" si="118"/>
        <v>-5.5648788348155814E-2</v>
      </c>
      <c r="H779" s="11">
        <f t="shared" si="118"/>
        <v>-1.7039745269396549E-2</v>
      </c>
      <c r="I779" s="11">
        <f t="shared" si="118"/>
        <v>2.8471473108358788E-2</v>
      </c>
      <c r="J779" s="11">
        <f t="shared" si="118"/>
        <v>2.3510534612205366E-2</v>
      </c>
      <c r="K779" s="11">
        <f t="shared" si="118"/>
        <v>2.0490832918894582E-2</v>
      </c>
      <c r="L779" s="11">
        <f t="shared" si="118"/>
        <v>6.0394033866215616E-3</v>
      </c>
      <c r="M779" s="11">
        <f t="shared" si="118"/>
        <v>-2.4157613546486247E-2</v>
      </c>
    </row>
    <row r="780" spans="3:13" outlineLevel="2" x14ac:dyDescent="0.3">
      <c r="C780" t="s">
        <v>156</v>
      </c>
      <c r="D780" s="22">
        <f>D905</f>
        <v>328239523</v>
      </c>
      <c r="E780" s="22">
        <f>AG905</f>
        <v>114707.49330762298</v>
      </c>
      <c r="F780" s="11">
        <f t="shared" si="118"/>
        <v>-1.8388224814061271E-2</v>
      </c>
      <c r="G780" s="11">
        <f t="shared" si="118"/>
        <v>-3.9866907580065614E-2</v>
      </c>
      <c r="H780" s="11">
        <f t="shared" si="118"/>
        <v>-1.220730891017513E-2</v>
      </c>
      <c r="I780" s="11">
        <f t="shared" si="118"/>
        <v>2.0397022482824267E-2</v>
      </c>
      <c r="J780" s="11">
        <f t="shared" si="118"/>
        <v>1.6842995838089736E-2</v>
      </c>
      <c r="K780" s="11">
        <f t="shared" si="118"/>
        <v>1.4679675271729586E-2</v>
      </c>
      <c r="L780" s="11">
        <f t="shared" si="118"/>
        <v>4.3266411327202992E-3</v>
      </c>
      <c r="M780" s="11">
        <f t="shared" si="118"/>
        <v>-1.7306564530881197E-2</v>
      </c>
    </row>
    <row r="781" spans="3:13" outlineLevel="1" x14ac:dyDescent="0.3">
      <c r="C781" s="192" t="s">
        <v>949</v>
      </c>
      <c r="D781" s="195"/>
      <c r="E781" s="195"/>
      <c r="F781" s="230">
        <f t="shared" ref="F781:M781" si="119">AVERAGE(F779:F780)</f>
        <v>-2.2027844603601451E-2</v>
      </c>
      <c r="G781" s="230">
        <f t="shared" si="119"/>
        <v>-4.7757847964110714E-2</v>
      </c>
      <c r="H781" s="230">
        <f t="shared" si="119"/>
        <v>-1.4623527089785839E-2</v>
      </c>
      <c r="I781" s="230">
        <f t="shared" si="119"/>
        <v>2.4434247795591529E-2</v>
      </c>
      <c r="J781" s="230">
        <f t="shared" si="119"/>
        <v>2.0176765225147553E-2</v>
      </c>
      <c r="K781" s="230">
        <f t="shared" si="119"/>
        <v>1.7585254095312086E-2</v>
      </c>
      <c r="L781" s="230">
        <f t="shared" si="119"/>
        <v>5.1830222596709304E-3</v>
      </c>
      <c r="M781" s="230">
        <f t="shared" si="119"/>
        <v>-2.0732089038683722E-2</v>
      </c>
    </row>
    <row r="782" spans="3:13" x14ac:dyDescent="0.3">
      <c r="C782" s="193" t="s">
        <v>956</v>
      </c>
      <c r="D782" s="194"/>
      <c r="E782" s="194"/>
      <c r="F782" s="384">
        <f t="shared" ref="F782:M782" si="120">F781/F776*F777</f>
        <v>1.6810822926775246E-2</v>
      </c>
      <c r="G782" s="384">
        <f t="shared" si="120"/>
        <v>1.9549664864283577E-2</v>
      </c>
      <c r="H782" s="384">
        <f t="shared" si="120"/>
        <v>2.323293505610512E-2</v>
      </c>
      <c r="I782" s="384">
        <f t="shared" si="120"/>
        <v>1.4024759576551261E-2</v>
      </c>
      <c r="J782" s="384">
        <f t="shared" si="120"/>
        <v>2.6585655358917038E-2</v>
      </c>
      <c r="K782" s="384">
        <f t="shared" si="120"/>
        <v>3.0080039899875937E-2</v>
      </c>
      <c r="L782" s="384">
        <f t="shared" si="120"/>
        <v>2.5877334168182126E-2</v>
      </c>
      <c r="M782" s="384">
        <f t="shared" si="120"/>
        <v>1.4166423814698242E-2</v>
      </c>
    </row>
    <row r="783" spans="3:13" x14ac:dyDescent="0.3">
      <c r="C783" s="80" t="s">
        <v>453</v>
      </c>
      <c r="D783" s="83"/>
      <c r="E783" s="83"/>
      <c r="F783" s="383"/>
      <c r="G783" s="383"/>
      <c r="H783" s="383"/>
      <c r="I783" s="383"/>
      <c r="J783" s="383"/>
      <c r="K783" s="383"/>
      <c r="L783" s="383"/>
      <c r="M783" s="383"/>
    </row>
    <row r="784" spans="3:13" outlineLevel="1" x14ac:dyDescent="0.3">
      <c r="C784" s="166" t="s">
        <v>17</v>
      </c>
      <c r="D784" s="83"/>
      <c r="E784" s="83"/>
      <c r="F784" s="165">
        <f>X846/$AG846</f>
        <v>-2.8252848122406454E-2</v>
      </c>
      <c r="G784" s="165">
        <f>Y846/$AG846</f>
        <v>-5.4100896590668433E-2</v>
      </c>
      <c r="H784" s="165">
        <f t="shared" ref="H784:M784" si="121">Z846/$AG846</f>
        <v>-1.8796498137260191E-2</v>
      </c>
      <c r="I784" s="165">
        <f t="shared" si="121"/>
        <v>2.8951656020508792E-2</v>
      </c>
      <c r="J784" s="165">
        <f t="shared" si="121"/>
        <v>3.417172975844999E-3</v>
      </c>
      <c r="K784" s="165">
        <f t="shared" si="121"/>
        <v>1.5558382980068982E-2</v>
      </c>
      <c r="L784" s="165">
        <f t="shared" si="121"/>
        <v>5.0702736032091737E-3</v>
      </c>
      <c r="M784" s="165">
        <f t="shared" si="121"/>
        <v>-2.9096497920189906E-2</v>
      </c>
    </row>
    <row r="785" spans="2:33" outlineLevel="1" x14ac:dyDescent="0.3">
      <c r="C785" s="83" t="s">
        <v>156</v>
      </c>
      <c r="D785" s="83"/>
      <c r="E785" s="83"/>
      <c r="F785" s="165">
        <f>X905/$AG905</f>
        <v>-1.8587422150766399E-2</v>
      </c>
      <c r="G785" s="165">
        <f>Y905/$AG905</f>
        <v>-3.8157360881820673E-2</v>
      </c>
      <c r="H785" s="165">
        <f t="shared" ref="H785:M785" si="122">Z905/$AG905</f>
        <v>-1.177849100289957E-2</v>
      </c>
      <c r="I785" s="165">
        <f t="shared" si="122"/>
        <v>1.9904362786491738E-2</v>
      </c>
      <c r="J785" s="165">
        <f t="shared" si="122"/>
        <v>9.8545257980533259E-4</v>
      </c>
      <c r="K785" s="165">
        <f t="shared" si="122"/>
        <v>1.157134156946826E-2</v>
      </c>
      <c r="L785" s="165">
        <f t="shared" si="122"/>
        <v>1.9351303826743859E-3</v>
      </c>
      <c r="M785" s="165">
        <f t="shared" si="122"/>
        <v>-2.1793451631480037E-2</v>
      </c>
    </row>
    <row r="786" spans="2:33" x14ac:dyDescent="0.3">
      <c r="C786" s="80" t="s">
        <v>949</v>
      </c>
      <c r="D786" s="80"/>
      <c r="E786" s="80"/>
      <c r="F786" s="382">
        <f t="shared" ref="F786:M786" si="123">AVERAGE(F784:F785)</f>
        <v>-2.3420135136586424E-2</v>
      </c>
      <c r="G786" s="382">
        <f t="shared" si="123"/>
        <v>-4.6129128736244557E-2</v>
      </c>
      <c r="H786" s="382">
        <f t="shared" si="123"/>
        <v>-1.5287494570079881E-2</v>
      </c>
      <c r="I786" s="382">
        <f t="shared" si="123"/>
        <v>2.4428009403500265E-2</v>
      </c>
      <c r="J786" s="382">
        <f t="shared" si="123"/>
        <v>2.2013127778251658E-3</v>
      </c>
      <c r="K786" s="382">
        <f t="shared" si="123"/>
        <v>1.3564862274768621E-2</v>
      </c>
      <c r="L786" s="382">
        <f t="shared" si="123"/>
        <v>3.5027019929417796E-3</v>
      </c>
      <c r="M786" s="382">
        <f t="shared" si="123"/>
        <v>-2.5444974775834971E-2</v>
      </c>
    </row>
    <row r="787" spans="2:33" x14ac:dyDescent="0.3">
      <c r="C787" s="381" t="s">
        <v>956</v>
      </c>
      <c r="D787" s="381"/>
      <c r="E787" s="381"/>
      <c r="F787" s="380">
        <f t="shared" ref="F787:M787" si="124">F786/F776*F777</f>
        <v>1.7873366722313426E-2</v>
      </c>
      <c r="G787" s="380">
        <f t="shared" si="124"/>
        <v>1.8882948996208321E-2</v>
      </c>
      <c r="H787" s="380">
        <f t="shared" si="124"/>
        <v>2.4287804599842745E-2</v>
      </c>
      <c r="I787" s="380">
        <f t="shared" si="124"/>
        <v>1.4021178866804998E-2</v>
      </c>
      <c r="J787" s="380">
        <f t="shared" si="124"/>
        <v>2.9005314873515454E-3</v>
      </c>
      <c r="K787" s="380">
        <f t="shared" si="124"/>
        <v>2.3203053891051591E-2</v>
      </c>
      <c r="L787" s="380">
        <f t="shared" si="124"/>
        <v>1.7487980066801159E-2</v>
      </c>
      <c r="M787" s="380">
        <f t="shared" si="124"/>
        <v>1.7386781233487816E-2</v>
      </c>
    </row>
    <row r="788" spans="2:33" x14ac:dyDescent="0.3">
      <c r="D788" s="26"/>
      <c r="E788" s="26"/>
      <c r="F788" s="10"/>
      <c r="G788" s="10"/>
      <c r="H788" s="10"/>
      <c r="I788" s="10"/>
      <c r="J788" s="10"/>
      <c r="K788" s="10"/>
      <c r="L788" s="10"/>
      <c r="M788" s="10"/>
    </row>
    <row r="789" spans="2:33" x14ac:dyDescent="0.3">
      <c r="D789" s="26"/>
      <c r="E789" s="26"/>
      <c r="F789" s="10"/>
      <c r="G789" s="10"/>
      <c r="H789" s="10"/>
      <c r="I789" s="10"/>
      <c r="J789" s="10"/>
      <c r="K789" s="10"/>
      <c r="L789" s="10"/>
      <c r="M789" s="10"/>
    </row>
    <row r="790" spans="2:33" outlineLevel="1" x14ac:dyDescent="0.3">
      <c r="C790" s="9" t="s">
        <v>454</v>
      </c>
      <c r="D790" s="9"/>
      <c r="E790" s="9"/>
      <c r="F790" s="360">
        <v>43905</v>
      </c>
      <c r="G790" s="26"/>
    </row>
    <row r="791" spans="2:33" outlineLevel="1" x14ac:dyDescent="0.3">
      <c r="C791" t="s">
        <v>455</v>
      </c>
      <c r="D791"/>
      <c r="E791"/>
      <c r="F791" s="332">
        <v>43959</v>
      </c>
      <c r="H791" s="26"/>
      <c r="I791" s="58"/>
    </row>
    <row r="792" spans="2:33" x14ac:dyDescent="0.3">
      <c r="C792" s="12" t="s">
        <v>456</v>
      </c>
      <c r="D792" s="27"/>
      <c r="E792" s="27"/>
      <c r="F792" s="27">
        <f>F791-F790</f>
        <v>54</v>
      </c>
      <c r="H792" s="26"/>
      <c r="I792" s="58"/>
    </row>
    <row r="793" spans="2:33" x14ac:dyDescent="0.3">
      <c r="D793" s="26"/>
      <c r="E793" s="26"/>
      <c r="F793" s="10"/>
      <c r="G793" s="10"/>
      <c r="H793" s="10"/>
      <c r="I793" s="10"/>
      <c r="J793" s="10"/>
      <c r="K793" s="10"/>
      <c r="L793" s="10"/>
      <c r="M793" s="10"/>
    </row>
    <row r="794" spans="2:33" x14ac:dyDescent="0.3">
      <c r="D794" s="26"/>
      <c r="E794" s="26"/>
      <c r="F794" s="10"/>
      <c r="G794" s="10"/>
      <c r="H794" s="10"/>
      <c r="I794" s="10"/>
      <c r="J794" s="10"/>
      <c r="K794" s="10"/>
      <c r="L794" s="10"/>
      <c r="M794" s="10"/>
    </row>
    <row r="795" spans="2:33" s="154" customFormat="1" ht="19.5" x14ac:dyDescent="0.4">
      <c r="B795" s="154" t="s">
        <v>457</v>
      </c>
      <c r="D795" s="379"/>
      <c r="F795" s="226"/>
      <c r="G795" s="226"/>
      <c r="H795" s="226"/>
      <c r="I795" s="226"/>
      <c r="J795" s="226"/>
      <c r="K795" s="226"/>
      <c r="L795" s="226"/>
      <c r="M795" s="226"/>
    </row>
    <row r="796" spans="2:33" x14ac:dyDescent="0.3">
      <c r="D796" s="26"/>
      <c r="F796" s="10"/>
      <c r="G796" s="10"/>
      <c r="H796" s="10"/>
      <c r="I796" s="10"/>
      <c r="J796" s="10"/>
      <c r="K796" s="10"/>
      <c r="L796" s="10"/>
      <c r="M796" s="10"/>
    </row>
    <row r="798" spans="2:33" x14ac:dyDescent="0.3">
      <c r="N798" s="378" t="s">
        <v>458</v>
      </c>
    </row>
    <row r="799" spans="2:33" x14ac:dyDescent="0.3">
      <c r="B799" s="4" t="s">
        <v>459</v>
      </c>
      <c r="E799" s="378" t="s">
        <v>460</v>
      </c>
      <c r="N799" s="62" t="s">
        <v>461</v>
      </c>
      <c r="W799" s="62" t="s">
        <v>462</v>
      </c>
    </row>
    <row r="800" spans="2:33" x14ac:dyDescent="0.3">
      <c r="B800" s="113"/>
      <c r="C800" s="113"/>
      <c r="D800" s="376" t="s">
        <v>339</v>
      </c>
      <c r="E800" s="9"/>
      <c r="F800" s="365" t="s">
        <v>463</v>
      </c>
      <c r="G800" s="375"/>
      <c r="H800" s="9"/>
      <c r="I800" s="9"/>
      <c r="J800" s="9"/>
      <c r="K800" s="9"/>
      <c r="L800" s="9"/>
      <c r="M800" s="113"/>
      <c r="N800" s="9"/>
      <c r="O800" s="365" t="s">
        <v>464</v>
      </c>
      <c r="P800" s="9"/>
      <c r="Q800" s="9"/>
      <c r="R800" s="9"/>
      <c r="S800" s="9"/>
      <c r="T800" s="9"/>
      <c r="U800" s="9"/>
      <c r="V800" s="113"/>
      <c r="W800" s="9"/>
      <c r="X800" s="365" t="s">
        <v>465</v>
      </c>
      <c r="Y800" s="9"/>
      <c r="Z800" s="9"/>
      <c r="AA800" s="9"/>
      <c r="AB800" s="9"/>
      <c r="AC800" s="9"/>
      <c r="AD800" s="9"/>
      <c r="AE800" s="113"/>
      <c r="AF800" s="365" t="s">
        <v>466</v>
      </c>
      <c r="AG800" s="113"/>
    </row>
    <row r="801" spans="2:44" x14ac:dyDescent="0.3">
      <c r="B801" s="42"/>
      <c r="C801" s="42"/>
      <c r="D801" s="374"/>
      <c r="E801" s="12"/>
      <c r="F801" s="12" t="s">
        <v>467</v>
      </c>
      <c r="G801" s="12" t="s">
        <v>468</v>
      </c>
      <c r="H801" s="12" t="s">
        <v>469</v>
      </c>
      <c r="I801" s="12" t="s">
        <v>470</v>
      </c>
      <c r="J801" s="12" t="s">
        <v>471</v>
      </c>
      <c r="K801" s="12" t="s">
        <v>472</v>
      </c>
      <c r="L801" s="12" t="s">
        <v>473</v>
      </c>
      <c r="M801" s="42" t="s">
        <v>474</v>
      </c>
      <c r="N801" s="12"/>
      <c r="O801" s="12" t="s">
        <v>467</v>
      </c>
      <c r="P801" s="12" t="s">
        <v>468</v>
      </c>
      <c r="Q801" s="12" t="s">
        <v>469</v>
      </c>
      <c r="R801" s="12" t="s">
        <v>470</v>
      </c>
      <c r="S801" s="12" t="s">
        <v>471</v>
      </c>
      <c r="T801" s="12" t="s">
        <v>472</v>
      </c>
      <c r="U801" s="12" t="s">
        <v>473</v>
      </c>
      <c r="V801" s="42" t="s">
        <v>474</v>
      </c>
      <c r="W801" s="12"/>
      <c r="X801" s="12" t="s">
        <v>93</v>
      </c>
      <c r="Y801" s="12" t="s">
        <v>94</v>
      </c>
      <c r="Z801" s="12" t="s">
        <v>95</v>
      </c>
      <c r="AA801" s="12" t="s">
        <v>96</v>
      </c>
      <c r="AB801" s="12" t="s">
        <v>97</v>
      </c>
      <c r="AC801" s="12" t="s">
        <v>98</v>
      </c>
      <c r="AD801" s="12" t="s">
        <v>99</v>
      </c>
      <c r="AE801" s="42" t="s">
        <v>100</v>
      </c>
      <c r="AF801" s="12" t="s">
        <v>475</v>
      </c>
      <c r="AG801" s="42" t="s">
        <v>476</v>
      </c>
    </row>
    <row r="802" spans="2:44" x14ac:dyDescent="0.3">
      <c r="B802" s="136"/>
      <c r="C802" s="136"/>
      <c r="D802" s="373"/>
      <c r="E802" s="5" t="s">
        <v>477</v>
      </c>
      <c r="F802" s="98">
        <v>1</v>
      </c>
      <c r="G802" s="98">
        <v>1</v>
      </c>
      <c r="H802" s="98">
        <v>1</v>
      </c>
      <c r="I802" s="98">
        <v>0</v>
      </c>
      <c r="J802" s="98">
        <v>1</v>
      </c>
      <c r="K802" s="98">
        <v>1</v>
      </c>
      <c r="L802" s="98">
        <v>1</v>
      </c>
      <c r="M802" s="377">
        <v>0</v>
      </c>
      <c r="N802" s="5"/>
      <c r="O802" s="5"/>
      <c r="P802" s="5"/>
      <c r="Q802" s="5"/>
      <c r="R802" s="5"/>
      <c r="S802" s="5"/>
      <c r="T802" s="5"/>
      <c r="U802" s="5"/>
      <c r="V802" s="136"/>
      <c r="W802" s="5" t="s">
        <v>2</v>
      </c>
      <c r="X802" s="330">
        <f>P913</f>
        <v>-0.11899999999999999</v>
      </c>
      <c r="Y802" s="330">
        <f>P914</f>
        <v>-0.25800000000000001</v>
      </c>
      <c r="Z802" s="330">
        <f>P915</f>
        <v>-7.9000000000000001E-2</v>
      </c>
      <c r="AA802" s="330">
        <f>P916</f>
        <v>0.13200000000000001</v>
      </c>
      <c r="AB802" s="330">
        <f>P917</f>
        <v>0.109</v>
      </c>
      <c r="AC802" s="330">
        <f>P918</f>
        <v>9.5000000000000001E-2</v>
      </c>
      <c r="AD802" s="330">
        <f>P919</f>
        <v>2.8000000000000001E-2</v>
      </c>
      <c r="AE802" s="372">
        <f>P920</f>
        <v>-0.112</v>
      </c>
      <c r="AF802" s="330"/>
      <c r="AG802" s="372"/>
    </row>
    <row r="803" spans="2:44" outlineLevel="1" x14ac:dyDescent="0.3">
      <c r="B803" s="114">
        <v>1</v>
      </c>
      <c r="C803" s="114" t="s">
        <v>478</v>
      </c>
      <c r="D803" s="370">
        <v>2872934</v>
      </c>
      <c r="E803"/>
      <c r="F803" s="14">
        <v>68</v>
      </c>
      <c r="G803" s="14">
        <v>70</v>
      </c>
      <c r="H803" s="14">
        <v>68</v>
      </c>
      <c r="I803" s="14">
        <v>68</v>
      </c>
      <c r="J803" s="14">
        <v>72</v>
      </c>
      <c r="K803" s="14">
        <v>72</v>
      </c>
      <c r="L803" s="14">
        <v>72</v>
      </c>
      <c r="M803" s="184">
        <v>55</v>
      </c>
      <c r="N803" s="14"/>
      <c r="O803" s="218">
        <v>61</v>
      </c>
      <c r="P803" s="218">
        <v>59</v>
      </c>
      <c r="Q803" s="218">
        <v>61</v>
      </c>
      <c r="R803" s="218">
        <v>61</v>
      </c>
      <c r="S803" s="218">
        <v>57</v>
      </c>
      <c r="T803" s="218">
        <v>57</v>
      </c>
      <c r="U803" s="218">
        <v>57</v>
      </c>
      <c r="V803" s="333">
        <v>59</v>
      </c>
      <c r="W803"/>
      <c r="X803" s="22">
        <f t="shared" ref="X803:X845" si="125">O803*X$802*$D803/1000000</f>
        <v>-20.854627906000001</v>
      </c>
      <c r="Y803" s="22">
        <f t="shared" ref="Y803:Y845" si="126">P803*Y$802*$D803/1000000</f>
        <v>-43.731801348000005</v>
      </c>
      <c r="Z803" s="22">
        <f t="shared" ref="Z803:Z845" si="127">Q803*Z$802*$D803/1000000</f>
        <v>-13.844668946000001</v>
      </c>
      <c r="AA803" s="22">
        <f t="shared" ref="AA803:AA845" si="128">R803*AA$802*$D803/1000000</f>
        <v>23.132864567999999</v>
      </c>
      <c r="AB803" s="22">
        <f t="shared" ref="AB803:AB845" si="129">S803*AB$802*$D803/1000000</f>
        <v>17.849538942000002</v>
      </c>
      <c r="AC803" s="22">
        <f t="shared" ref="AC803:AC845" si="130">T803*AC$802*$D803/1000000</f>
        <v>15.556937609999999</v>
      </c>
      <c r="AD803" s="22">
        <f t="shared" ref="AD803:AD845" si="131">U803*AD$802*$D803/1000000</f>
        <v>4.5852026639999997</v>
      </c>
      <c r="AE803" s="371">
        <f t="shared" ref="AE803:AE845" si="132">V803*AE$802*$D803/1000000</f>
        <v>-18.984347872000001</v>
      </c>
      <c r="AF803" s="218">
        <v>33</v>
      </c>
      <c r="AG803" s="371">
        <f t="shared" ref="AG803:AG845" si="133">AF803-SUM(X803:AE803)</f>
        <v>69.290902288000012</v>
      </c>
    </row>
    <row r="804" spans="2:44" outlineLevel="1" x14ac:dyDescent="0.3">
      <c r="B804" s="114">
        <f t="shared" ref="B804:B845" si="134">B803+1</f>
        <v>2</v>
      </c>
      <c r="C804" s="114" t="s">
        <v>479</v>
      </c>
      <c r="D804" s="370">
        <v>77354</v>
      </c>
      <c r="E804"/>
      <c r="F804" s="14">
        <v>75</v>
      </c>
      <c r="G804" s="14">
        <v>73</v>
      </c>
      <c r="H804" s="14">
        <v>183</v>
      </c>
      <c r="I804" s="14">
        <v>183</v>
      </c>
      <c r="J804" s="14">
        <v>183</v>
      </c>
      <c r="K804" s="14">
        <v>183</v>
      </c>
      <c r="L804" s="14">
        <v>183</v>
      </c>
      <c r="M804" s="184">
        <v>98</v>
      </c>
      <c r="N804" s="14"/>
      <c r="O804" s="218">
        <v>54</v>
      </c>
      <c r="P804" s="218">
        <v>56</v>
      </c>
      <c r="Q804" s="218">
        <v>0</v>
      </c>
      <c r="R804" s="218">
        <v>0</v>
      </c>
      <c r="S804" s="218">
        <v>0</v>
      </c>
      <c r="T804" s="218">
        <v>0</v>
      </c>
      <c r="U804" s="218">
        <v>0</v>
      </c>
      <c r="V804" s="333">
        <v>31</v>
      </c>
      <c r="W804"/>
      <c r="X804" s="22">
        <f t="shared" si="125"/>
        <v>-0.49707680399999998</v>
      </c>
      <c r="Y804" s="22">
        <f t="shared" si="126"/>
        <v>-1.1176105919999999</v>
      </c>
      <c r="Z804" s="22">
        <f t="shared" si="127"/>
        <v>0</v>
      </c>
      <c r="AA804" s="22">
        <f t="shared" si="128"/>
        <v>0</v>
      </c>
      <c r="AB804" s="22">
        <f t="shared" si="129"/>
        <v>0</v>
      </c>
      <c r="AC804" s="22">
        <f t="shared" si="130"/>
        <v>0</v>
      </c>
      <c r="AD804" s="22">
        <f t="shared" si="131"/>
        <v>0</v>
      </c>
      <c r="AE804" s="137">
        <f t="shared" si="132"/>
        <v>-0.26857308800000002</v>
      </c>
      <c r="AF804" s="218">
        <v>51</v>
      </c>
      <c r="AG804" s="137">
        <f t="shared" si="133"/>
        <v>52.883260483999997</v>
      </c>
    </row>
    <row r="805" spans="2:44" outlineLevel="1" x14ac:dyDescent="0.3">
      <c r="B805" s="114">
        <f t="shared" si="134"/>
        <v>3</v>
      </c>
      <c r="C805" s="114" t="s">
        <v>480</v>
      </c>
      <c r="D805" s="370">
        <v>9043072</v>
      </c>
      <c r="E805"/>
      <c r="F805" s="14">
        <v>75</v>
      </c>
      <c r="G805" s="14">
        <v>75</v>
      </c>
      <c r="H805" s="14">
        <v>70</v>
      </c>
      <c r="I805" s="14">
        <v>75</v>
      </c>
      <c r="J805" s="14">
        <v>131</v>
      </c>
      <c r="K805" s="14">
        <v>75</v>
      </c>
      <c r="L805" s="14">
        <v>72</v>
      </c>
      <c r="M805" s="184">
        <v>68</v>
      </c>
      <c r="N805" s="14"/>
      <c r="O805" s="218">
        <v>54</v>
      </c>
      <c r="P805" s="218">
        <v>54</v>
      </c>
      <c r="Q805" s="218">
        <v>59</v>
      </c>
      <c r="R805" s="218">
        <v>54</v>
      </c>
      <c r="S805" s="218">
        <v>0</v>
      </c>
      <c r="T805" s="218">
        <v>46</v>
      </c>
      <c r="U805" s="218">
        <v>41</v>
      </c>
      <c r="V805" s="333">
        <v>61</v>
      </c>
      <c r="W805"/>
      <c r="X805" s="22">
        <f t="shared" si="125"/>
        <v>-58.110780671999997</v>
      </c>
      <c r="Y805" s="22">
        <f t="shared" si="126"/>
        <v>-125.98807910400001</v>
      </c>
      <c r="Z805" s="22">
        <f t="shared" si="127"/>
        <v>-42.149758592000005</v>
      </c>
      <c r="AA805" s="22">
        <f t="shared" si="128"/>
        <v>64.459017215999992</v>
      </c>
      <c r="AB805" s="22">
        <f t="shared" si="129"/>
        <v>0</v>
      </c>
      <c r="AC805" s="22">
        <f t="shared" si="130"/>
        <v>39.51822464</v>
      </c>
      <c r="AD805" s="22">
        <f t="shared" si="131"/>
        <v>10.381446656000001</v>
      </c>
      <c r="AE805" s="137">
        <f t="shared" si="132"/>
        <v>-61.782267904000001</v>
      </c>
      <c r="AF805" s="218">
        <v>668</v>
      </c>
      <c r="AG805" s="137">
        <f t="shared" si="133"/>
        <v>841.67219776000002</v>
      </c>
      <c r="AH805" s="26"/>
      <c r="AJ805" s="10"/>
      <c r="AK805" s="10"/>
      <c r="AL805" s="10"/>
      <c r="AM805" s="10"/>
      <c r="AN805" s="10"/>
      <c r="AO805" s="10"/>
      <c r="AP805" s="10"/>
      <c r="AQ805" s="10"/>
      <c r="AR805" s="10"/>
    </row>
    <row r="806" spans="2:44" outlineLevel="1" x14ac:dyDescent="0.3">
      <c r="B806" s="114">
        <f t="shared" si="134"/>
        <v>4</v>
      </c>
      <c r="C806" s="114" t="s">
        <v>481</v>
      </c>
      <c r="D806" s="370">
        <v>9442867</v>
      </c>
      <c r="E806"/>
      <c r="F806" s="14">
        <v>183</v>
      </c>
      <c r="G806" s="14">
        <v>183</v>
      </c>
      <c r="H806" s="14">
        <v>183</v>
      </c>
      <c r="I806" s="14">
        <v>98</v>
      </c>
      <c r="J806" s="14">
        <v>183</v>
      </c>
      <c r="K806" s="14">
        <v>183</v>
      </c>
      <c r="L806" s="14">
        <v>183</v>
      </c>
      <c r="M806" s="184">
        <v>73</v>
      </c>
      <c r="N806" s="14"/>
      <c r="O806" s="218">
        <v>0</v>
      </c>
      <c r="P806" s="218">
        <v>0</v>
      </c>
      <c r="Q806" s="218">
        <v>0</v>
      </c>
      <c r="R806" s="218">
        <v>31</v>
      </c>
      <c r="S806" s="218">
        <v>0</v>
      </c>
      <c r="T806" s="218">
        <v>0</v>
      </c>
      <c r="U806" s="218">
        <v>0</v>
      </c>
      <c r="V806" s="333">
        <v>56</v>
      </c>
      <c r="W806"/>
      <c r="X806" s="22">
        <f t="shared" si="125"/>
        <v>0</v>
      </c>
      <c r="Y806" s="22">
        <f t="shared" si="126"/>
        <v>0</v>
      </c>
      <c r="Z806" s="22">
        <f t="shared" si="127"/>
        <v>0</v>
      </c>
      <c r="AA806" s="22">
        <f t="shared" si="128"/>
        <v>38.640211764000007</v>
      </c>
      <c r="AB806" s="22">
        <f t="shared" si="129"/>
        <v>0</v>
      </c>
      <c r="AC806" s="22">
        <f t="shared" si="130"/>
        <v>0</v>
      </c>
      <c r="AD806" s="22">
        <f t="shared" si="131"/>
        <v>0</v>
      </c>
      <c r="AE806" s="137">
        <f t="shared" si="132"/>
        <v>-59.225661823999999</v>
      </c>
      <c r="AF806" s="218">
        <v>240</v>
      </c>
      <c r="AG806" s="137">
        <f t="shared" si="133"/>
        <v>260.58545005999997</v>
      </c>
      <c r="AJ806" s="10"/>
      <c r="AK806" s="10"/>
      <c r="AL806" s="10"/>
      <c r="AM806" s="10"/>
      <c r="AN806" s="10"/>
      <c r="AO806" s="10"/>
      <c r="AP806" s="10"/>
      <c r="AQ806" s="10"/>
      <c r="AR806" s="10"/>
    </row>
    <row r="807" spans="2:44" outlineLevel="1" x14ac:dyDescent="0.3">
      <c r="B807" s="114">
        <f t="shared" si="134"/>
        <v>5</v>
      </c>
      <c r="C807" s="114" t="s">
        <v>482</v>
      </c>
      <c r="D807" s="370">
        <v>11632334</v>
      </c>
      <c r="E807"/>
      <c r="F807" s="14">
        <v>73</v>
      </c>
      <c r="G807" s="14">
        <v>73</v>
      </c>
      <c r="H807" s="14">
        <v>73</v>
      </c>
      <c r="I807" s="14">
        <v>77</v>
      </c>
      <c r="J807" s="14">
        <v>183</v>
      </c>
      <c r="K807" s="14">
        <v>77</v>
      </c>
      <c r="L807" s="14">
        <v>73</v>
      </c>
      <c r="M807" s="184">
        <v>63</v>
      </c>
      <c r="N807" s="14"/>
      <c r="O807" s="218">
        <v>56</v>
      </c>
      <c r="P807" s="218">
        <v>56</v>
      </c>
      <c r="Q807" s="218">
        <v>56</v>
      </c>
      <c r="R807" s="218">
        <v>52</v>
      </c>
      <c r="S807" s="218">
        <v>0</v>
      </c>
      <c r="T807" s="218">
        <v>52</v>
      </c>
      <c r="U807" s="218">
        <v>56</v>
      </c>
      <c r="V807" s="333">
        <v>50</v>
      </c>
      <c r="W807"/>
      <c r="X807" s="22">
        <f t="shared" si="125"/>
        <v>-77.517873775999988</v>
      </c>
      <c r="Y807" s="22">
        <f t="shared" si="126"/>
        <v>-168.063961632</v>
      </c>
      <c r="Z807" s="22">
        <f t="shared" si="127"/>
        <v>-51.461445616000006</v>
      </c>
      <c r="AA807" s="22">
        <f t="shared" si="128"/>
        <v>79.844340576000008</v>
      </c>
      <c r="AB807" s="22">
        <f t="shared" si="129"/>
        <v>0</v>
      </c>
      <c r="AC807" s="22">
        <f t="shared" si="130"/>
        <v>57.463729960000002</v>
      </c>
      <c r="AD807" s="22">
        <f t="shared" si="131"/>
        <v>18.239499712000001</v>
      </c>
      <c r="AE807" s="137">
        <f t="shared" si="132"/>
        <v>-65.141070400000004</v>
      </c>
      <c r="AF807" s="218">
        <v>9486</v>
      </c>
      <c r="AG807" s="137">
        <f t="shared" si="133"/>
        <v>9692.6367811759992</v>
      </c>
    </row>
    <row r="808" spans="2:44" outlineLevel="1" x14ac:dyDescent="0.3">
      <c r="B808" s="114">
        <f t="shared" si="134"/>
        <v>6</v>
      </c>
      <c r="C808" s="114" t="s">
        <v>483</v>
      </c>
      <c r="D808" s="370">
        <v>3263459</v>
      </c>
      <c r="E808"/>
      <c r="F808" s="14">
        <v>70</v>
      </c>
      <c r="G808" s="14">
        <v>76</v>
      </c>
      <c r="H808" s="14">
        <v>76</v>
      </c>
      <c r="I808" s="14">
        <v>69</v>
      </c>
      <c r="J808" s="14">
        <v>76</v>
      </c>
      <c r="K808" s="14">
        <v>79</v>
      </c>
      <c r="L808" s="14">
        <v>79</v>
      </c>
      <c r="M808" s="184">
        <v>69</v>
      </c>
      <c r="N808" s="14"/>
      <c r="O808" s="218">
        <v>59</v>
      </c>
      <c r="P808" s="218">
        <v>53</v>
      </c>
      <c r="Q808" s="218">
        <v>53</v>
      </c>
      <c r="R808" s="218">
        <v>60</v>
      </c>
      <c r="S808" s="218">
        <v>53</v>
      </c>
      <c r="T808" s="218">
        <v>50</v>
      </c>
      <c r="U808" s="218">
        <v>50</v>
      </c>
      <c r="V808" s="333">
        <v>60</v>
      </c>
      <c r="W808"/>
      <c r="X808" s="22">
        <f t="shared" si="125"/>
        <v>-22.912745638999997</v>
      </c>
      <c r="Y808" s="22">
        <f t="shared" si="126"/>
        <v>-44.624538365999996</v>
      </c>
      <c r="Z808" s="22">
        <f t="shared" si="127"/>
        <v>-13.664102833000001</v>
      </c>
      <c r="AA808" s="22">
        <f t="shared" si="128"/>
        <v>25.846595280000003</v>
      </c>
      <c r="AB808" s="22">
        <f t="shared" si="129"/>
        <v>18.853002643</v>
      </c>
      <c r="AC808" s="22">
        <f t="shared" si="130"/>
        <v>15.50143025</v>
      </c>
      <c r="AD808" s="22">
        <f t="shared" si="131"/>
        <v>4.5688426000000009</v>
      </c>
      <c r="AE808" s="137">
        <f t="shared" si="132"/>
        <v>-21.930444480000002</v>
      </c>
      <c r="AF808" s="218">
        <v>154</v>
      </c>
      <c r="AG808" s="137">
        <f t="shared" si="133"/>
        <v>192.36196054499999</v>
      </c>
    </row>
    <row r="809" spans="2:44" outlineLevel="1" x14ac:dyDescent="0.3">
      <c r="B809" s="114">
        <f t="shared" si="134"/>
        <v>7</v>
      </c>
      <c r="C809" s="114" t="s">
        <v>484</v>
      </c>
      <c r="D809" s="370">
        <v>6896655</v>
      </c>
      <c r="E809"/>
      <c r="F809" s="14">
        <v>64</v>
      </c>
      <c r="G809" s="14">
        <v>183</v>
      </c>
      <c r="H809" s="14">
        <v>72</v>
      </c>
      <c r="I809" s="14">
        <v>72</v>
      </c>
      <c r="J809" s="14">
        <v>183</v>
      </c>
      <c r="K809" s="14">
        <v>105</v>
      </c>
      <c r="L809" s="14">
        <v>77</v>
      </c>
      <c r="M809" s="184">
        <v>33</v>
      </c>
      <c r="N809" s="14"/>
      <c r="O809" s="218">
        <v>65</v>
      </c>
      <c r="P809" s="218">
        <v>0</v>
      </c>
      <c r="Q809" s="218">
        <v>57</v>
      </c>
      <c r="R809" s="218">
        <v>57</v>
      </c>
      <c r="S809" s="218">
        <v>0</v>
      </c>
      <c r="T809" s="218">
        <v>23</v>
      </c>
      <c r="U809" s="218">
        <v>49</v>
      </c>
      <c r="V809" s="333">
        <v>53</v>
      </c>
      <c r="W809"/>
      <c r="X809" s="22">
        <f t="shared" si="125"/>
        <v>-53.345626424999999</v>
      </c>
      <c r="Y809" s="22">
        <f t="shared" si="126"/>
        <v>0</v>
      </c>
      <c r="Z809" s="22">
        <f t="shared" si="127"/>
        <v>-31.055637465</v>
      </c>
      <c r="AA809" s="22">
        <f t="shared" si="128"/>
        <v>51.890432220000001</v>
      </c>
      <c r="AB809" s="22">
        <f t="shared" si="129"/>
        <v>0</v>
      </c>
      <c r="AC809" s="22">
        <f t="shared" si="130"/>
        <v>15.069191175</v>
      </c>
      <c r="AD809" s="22">
        <f t="shared" si="131"/>
        <v>9.4622106600000002</v>
      </c>
      <c r="AE809" s="137">
        <f t="shared" si="132"/>
        <v>-40.93854408</v>
      </c>
      <c r="AF809" s="218">
        <v>140</v>
      </c>
      <c r="AG809" s="137">
        <f t="shared" si="133"/>
        <v>188.917973915</v>
      </c>
    </row>
    <row r="810" spans="2:44" outlineLevel="1" x14ac:dyDescent="0.3">
      <c r="B810" s="114">
        <f t="shared" si="134"/>
        <v>8</v>
      </c>
      <c r="C810" s="114" t="s">
        <v>485</v>
      </c>
      <c r="D810" s="370">
        <v>4081657</v>
      </c>
      <c r="E810"/>
      <c r="F810" s="14">
        <v>72</v>
      </c>
      <c r="G810" s="14">
        <v>73</v>
      </c>
      <c r="H810" s="14">
        <v>69</v>
      </c>
      <c r="I810" s="14">
        <v>79</v>
      </c>
      <c r="J810" s="14">
        <v>80</v>
      </c>
      <c r="K810" s="14">
        <v>82</v>
      </c>
      <c r="L810" s="14">
        <v>82</v>
      </c>
      <c r="M810" s="184">
        <v>34</v>
      </c>
      <c r="N810" s="14"/>
      <c r="O810" s="218">
        <v>57</v>
      </c>
      <c r="P810" s="218">
        <v>56</v>
      </c>
      <c r="Q810" s="218">
        <v>60</v>
      </c>
      <c r="R810" s="218">
        <v>50</v>
      </c>
      <c r="S810" s="218">
        <v>49</v>
      </c>
      <c r="T810" s="218">
        <v>47</v>
      </c>
      <c r="U810" s="218">
        <v>47</v>
      </c>
      <c r="V810" s="333">
        <v>55</v>
      </c>
      <c r="W810"/>
      <c r="X810" s="22">
        <f t="shared" si="125"/>
        <v>-27.685879430999996</v>
      </c>
      <c r="Y810" s="22">
        <f t="shared" si="126"/>
        <v>-58.971780336000002</v>
      </c>
      <c r="Z810" s="22">
        <f t="shared" si="127"/>
        <v>-19.347054180000001</v>
      </c>
      <c r="AA810" s="22">
        <f t="shared" si="128"/>
        <v>26.938936200000004</v>
      </c>
      <c r="AB810" s="22">
        <f t="shared" si="129"/>
        <v>21.800130036999999</v>
      </c>
      <c r="AC810" s="22">
        <f t="shared" si="130"/>
        <v>18.224598504999999</v>
      </c>
      <c r="AD810" s="22">
        <f t="shared" si="131"/>
        <v>5.3714606120000008</v>
      </c>
      <c r="AE810" s="137">
        <f t="shared" si="132"/>
        <v>-25.14300712</v>
      </c>
      <c r="AF810" s="218">
        <v>103</v>
      </c>
      <c r="AG810" s="137">
        <f t="shared" si="133"/>
        <v>161.81259571300001</v>
      </c>
    </row>
    <row r="811" spans="2:44" outlineLevel="1" x14ac:dyDescent="0.3">
      <c r="B811" s="114">
        <f t="shared" si="134"/>
        <v>9</v>
      </c>
      <c r="C811" s="114" t="s">
        <v>486</v>
      </c>
      <c r="D811" s="370">
        <v>896005</v>
      </c>
      <c r="E811"/>
      <c r="F811" s="14">
        <v>72</v>
      </c>
      <c r="G811" s="14">
        <v>75</v>
      </c>
      <c r="H811" s="14">
        <v>69</v>
      </c>
      <c r="I811" s="14">
        <v>82</v>
      </c>
      <c r="J811" s="14">
        <v>83</v>
      </c>
      <c r="K811" s="14">
        <v>83</v>
      </c>
      <c r="L811" s="14">
        <v>83</v>
      </c>
      <c r="M811" s="184">
        <v>72</v>
      </c>
      <c r="N811" s="14"/>
      <c r="O811" s="218">
        <v>57</v>
      </c>
      <c r="P811" s="218">
        <v>54</v>
      </c>
      <c r="Q811" s="218">
        <v>60</v>
      </c>
      <c r="R811" s="218">
        <v>47</v>
      </c>
      <c r="S811" s="218">
        <v>46</v>
      </c>
      <c r="T811" s="218">
        <v>46</v>
      </c>
      <c r="U811" s="218">
        <v>46</v>
      </c>
      <c r="V811" s="333">
        <v>57</v>
      </c>
      <c r="W811"/>
      <c r="X811" s="22">
        <f t="shared" si="125"/>
        <v>-6.0776019149999989</v>
      </c>
      <c r="Y811" s="22">
        <f t="shared" si="126"/>
        <v>-12.483141659999999</v>
      </c>
      <c r="Z811" s="22">
        <f t="shared" si="127"/>
        <v>-4.2470637</v>
      </c>
      <c r="AA811" s="22">
        <f t="shared" si="128"/>
        <v>5.5588150200000008</v>
      </c>
      <c r="AB811" s="22">
        <f t="shared" si="129"/>
        <v>4.4925690700000001</v>
      </c>
      <c r="AC811" s="22">
        <f t="shared" si="130"/>
        <v>3.9155418499999999</v>
      </c>
      <c r="AD811" s="22">
        <f t="shared" si="131"/>
        <v>1.1540544399999999</v>
      </c>
      <c r="AE811" s="137">
        <f t="shared" si="132"/>
        <v>-5.7200959200000003</v>
      </c>
      <c r="AF811" s="218">
        <v>17</v>
      </c>
      <c r="AG811" s="137">
        <f t="shared" si="133"/>
        <v>30.406922814999994</v>
      </c>
    </row>
    <row r="812" spans="2:44" outlineLevel="1" x14ac:dyDescent="0.3">
      <c r="B812" s="114">
        <f t="shared" si="134"/>
        <v>10</v>
      </c>
      <c r="C812" s="114" t="s">
        <v>487</v>
      </c>
      <c r="D812" s="370">
        <v>10724553</v>
      </c>
      <c r="E812"/>
      <c r="F812" s="14">
        <v>70</v>
      </c>
      <c r="G812" s="14">
        <v>72</v>
      </c>
      <c r="H812" s="14">
        <v>70</v>
      </c>
      <c r="I812" s="14">
        <v>69</v>
      </c>
      <c r="J812" s="14">
        <v>183</v>
      </c>
      <c r="K812" s="14">
        <v>74</v>
      </c>
      <c r="L812" s="14">
        <v>75</v>
      </c>
      <c r="M812" s="184">
        <v>26</v>
      </c>
      <c r="N812" s="14"/>
      <c r="O812" s="218">
        <v>59</v>
      </c>
      <c r="P812" s="218">
        <v>57</v>
      </c>
      <c r="Q812" s="218">
        <v>59</v>
      </c>
      <c r="R812" s="218">
        <v>60</v>
      </c>
      <c r="S812" s="218">
        <v>0</v>
      </c>
      <c r="T812" s="218">
        <v>37</v>
      </c>
      <c r="U812" s="218">
        <v>17</v>
      </c>
      <c r="V812" s="333">
        <v>100</v>
      </c>
      <c r="W812"/>
      <c r="X812" s="22">
        <f t="shared" si="125"/>
        <v>-75.297086613000005</v>
      </c>
      <c r="Y812" s="22">
        <f t="shared" si="126"/>
        <v>-157.71527641799997</v>
      </c>
      <c r="Z812" s="22">
        <f t="shared" si="127"/>
        <v>-49.987141533000006</v>
      </c>
      <c r="AA812" s="22">
        <f t="shared" si="128"/>
        <v>84.938459760000001</v>
      </c>
      <c r="AB812" s="22">
        <f t="shared" si="129"/>
        <v>0</v>
      </c>
      <c r="AC812" s="22">
        <f t="shared" si="130"/>
        <v>37.696803795000001</v>
      </c>
      <c r="AD812" s="22">
        <f t="shared" si="131"/>
        <v>5.1048872279999999</v>
      </c>
      <c r="AE812" s="137">
        <f t="shared" si="132"/>
        <v>-120.11499360000001</v>
      </c>
      <c r="AF812" s="218">
        <v>321</v>
      </c>
      <c r="AG812" s="137">
        <f t="shared" si="133"/>
        <v>596.37434738100001</v>
      </c>
    </row>
    <row r="813" spans="2:44" outlineLevel="1" x14ac:dyDescent="0.3">
      <c r="B813" s="114">
        <f t="shared" si="134"/>
        <v>11</v>
      </c>
      <c r="C813" s="114" t="s">
        <v>488</v>
      </c>
      <c r="D813" s="370">
        <v>5813302</v>
      </c>
      <c r="E813"/>
      <c r="F813" s="14">
        <v>72</v>
      </c>
      <c r="G813" s="14">
        <v>77</v>
      </c>
      <c r="H813" s="14">
        <v>183</v>
      </c>
      <c r="I813" s="14">
        <v>72</v>
      </c>
      <c r="J813" s="14">
        <v>183</v>
      </c>
      <c r="K813" s="14">
        <v>183</v>
      </c>
      <c r="L813" s="14">
        <v>142</v>
      </c>
      <c r="M813" s="184">
        <v>62</v>
      </c>
      <c r="N813" s="14"/>
      <c r="O813" s="218">
        <v>57</v>
      </c>
      <c r="P813" s="218">
        <v>52</v>
      </c>
      <c r="Q813" s="218">
        <v>0</v>
      </c>
      <c r="R813" s="218">
        <v>57</v>
      </c>
      <c r="S813" s="218">
        <v>0</v>
      </c>
      <c r="T813" s="218">
        <v>0</v>
      </c>
      <c r="U813" s="218">
        <v>0</v>
      </c>
      <c r="V813" s="333">
        <v>67</v>
      </c>
      <c r="W813"/>
      <c r="X813" s="22">
        <f t="shared" si="125"/>
        <v>-39.431627465999995</v>
      </c>
      <c r="Y813" s="22">
        <f t="shared" si="126"/>
        <v>-77.991259631999995</v>
      </c>
      <c r="Z813" s="22">
        <f t="shared" si="127"/>
        <v>0</v>
      </c>
      <c r="AA813" s="22">
        <f t="shared" si="128"/>
        <v>43.739284248000004</v>
      </c>
      <c r="AB813" s="22">
        <f t="shared" si="129"/>
        <v>0</v>
      </c>
      <c r="AC813" s="22">
        <f t="shared" si="130"/>
        <v>0</v>
      </c>
      <c r="AD813" s="22">
        <f t="shared" si="131"/>
        <v>0</v>
      </c>
      <c r="AE813" s="137">
        <f t="shared" si="132"/>
        <v>-43.623018208000005</v>
      </c>
      <c r="AF813" s="218">
        <v>576</v>
      </c>
      <c r="AG813" s="137">
        <f t="shared" si="133"/>
        <v>693.30662105800002</v>
      </c>
    </row>
    <row r="814" spans="2:44" outlineLevel="1" x14ac:dyDescent="0.3">
      <c r="B814" s="114">
        <f t="shared" si="134"/>
        <v>12</v>
      </c>
      <c r="C814" s="114" t="s">
        <v>489</v>
      </c>
      <c r="D814" s="370">
        <v>1325188</v>
      </c>
      <c r="E814"/>
      <c r="F814" s="14">
        <v>75</v>
      </c>
      <c r="G814" s="14">
        <v>86</v>
      </c>
      <c r="H814" s="14">
        <v>71</v>
      </c>
      <c r="I814" s="14">
        <v>84</v>
      </c>
      <c r="J814" s="14">
        <v>183</v>
      </c>
      <c r="K814" s="14">
        <v>88</v>
      </c>
      <c r="L814" s="14">
        <v>73</v>
      </c>
      <c r="M814" s="184">
        <v>71</v>
      </c>
      <c r="N814" s="14"/>
      <c r="O814" s="218">
        <v>54</v>
      </c>
      <c r="P814" s="218">
        <v>43</v>
      </c>
      <c r="Q814" s="218">
        <v>58</v>
      </c>
      <c r="R814" s="218">
        <v>45</v>
      </c>
      <c r="S814" s="218">
        <v>0</v>
      </c>
      <c r="T814" s="218">
        <v>41</v>
      </c>
      <c r="U814" s="218">
        <v>55</v>
      </c>
      <c r="V814" s="333">
        <v>53</v>
      </c>
      <c r="W814"/>
      <c r="X814" s="22">
        <f t="shared" si="125"/>
        <v>-8.5156580880000003</v>
      </c>
      <c r="Y814" s="22">
        <f t="shared" si="126"/>
        <v>-14.701635672000002</v>
      </c>
      <c r="Z814" s="22">
        <f t="shared" si="127"/>
        <v>-6.0720114160000005</v>
      </c>
      <c r="AA814" s="22">
        <f t="shared" si="128"/>
        <v>7.8716167200000005</v>
      </c>
      <c r="AB814" s="22">
        <f t="shared" si="129"/>
        <v>0</v>
      </c>
      <c r="AC814" s="22">
        <f t="shared" si="130"/>
        <v>5.1616072599999994</v>
      </c>
      <c r="AD814" s="22">
        <f t="shared" si="131"/>
        <v>2.0407895200000001</v>
      </c>
      <c r="AE814" s="137">
        <f t="shared" si="132"/>
        <v>-7.8663159680000003</v>
      </c>
      <c r="AF814" s="218">
        <v>68</v>
      </c>
      <c r="AG814" s="137">
        <f t="shared" si="133"/>
        <v>90.081607644000002</v>
      </c>
    </row>
    <row r="815" spans="2:44" outlineLevel="1" x14ac:dyDescent="0.3">
      <c r="B815" s="114">
        <f t="shared" si="134"/>
        <v>13</v>
      </c>
      <c r="C815" s="114" t="s">
        <v>490</v>
      </c>
      <c r="D815" s="370">
        <v>5548361</v>
      </c>
      <c r="E815"/>
      <c r="F815" s="14">
        <v>77</v>
      </c>
      <c r="G815" s="14">
        <v>75</v>
      </c>
      <c r="H815" s="14">
        <v>71</v>
      </c>
      <c r="I815" s="14">
        <v>71</v>
      </c>
      <c r="J815" s="14">
        <v>183</v>
      </c>
      <c r="K815" s="14">
        <v>152</v>
      </c>
      <c r="L815" s="14">
        <v>86</v>
      </c>
      <c r="M815" s="184">
        <v>36</v>
      </c>
      <c r="N815" s="14"/>
      <c r="O815" s="218">
        <v>52</v>
      </c>
      <c r="P815" s="218">
        <v>54</v>
      </c>
      <c r="Q815" s="218">
        <v>58</v>
      </c>
      <c r="R815" s="218">
        <v>54</v>
      </c>
      <c r="S815" s="218">
        <v>0</v>
      </c>
      <c r="T815" s="218">
        <v>0</v>
      </c>
      <c r="U815" s="218">
        <v>18</v>
      </c>
      <c r="V815" s="333">
        <v>93</v>
      </c>
      <c r="W815"/>
      <c r="X815" s="22">
        <f t="shared" si="125"/>
        <v>-34.333257868000004</v>
      </c>
      <c r="Y815" s="22">
        <f t="shared" si="126"/>
        <v>-77.299765452000003</v>
      </c>
      <c r="Z815" s="22">
        <f t="shared" si="127"/>
        <v>-25.422590101999997</v>
      </c>
      <c r="AA815" s="22">
        <f t="shared" si="128"/>
        <v>39.548717208000006</v>
      </c>
      <c r="AB815" s="22">
        <f t="shared" si="129"/>
        <v>0</v>
      </c>
      <c r="AC815" s="22">
        <f t="shared" si="130"/>
        <v>0</v>
      </c>
      <c r="AD815" s="22">
        <f t="shared" si="131"/>
        <v>2.7963739439999999</v>
      </c>
      <c r="AE815" s="137">
        <f t="shared" si="132"/>
        <v>-57.791728175999999</v>
      </c>
      <c r="AF815" s="218">
        <v>318</v>
      </c>
      <c r="AG815" s="137">
        <f t="shared" si="133"/>
        <v>470.50225044600001</v>
      </c>
    </row>
    <row r="816" spans="2:44" outlineLevel="1" x14ac:dyDescent="0.3">
      <c r="B816" s="114">
        <f t="shared" si="134"/>
        <v>14</v>
      </c>
      <c r="C816" s="114" t="s">
        <v>491</v>
      </c>
      <c r="D816" s="370">
        <v>67422000</v>
      </c>
      <c r="E816"/>
      <c r="F816" s="14">
        <v>61</v>
      </c>
      <c r="G816" s="14">
        <v>76</v>
      </c>
      <c r="H816" s="14">
        <v>59</v>
      </c>
      <c r="I816" s="14">
        <v>59</v>
      </c>
      <c r="J816" s="14">
        <v>173</v>
      </c>
      <c r="K816" s="14">
        <v>76</v>
      </c>
      <c r="L816" s="14">
        <v>76</v>
      </c>
      <c r="M816" s="184">
        <v>21</v>
      </c>
      <c r="N816" s="14"/>
      <c r="O816" s="218">
        <v>68</v>
      </c>
      <c r="P816" s="218">
        <v>53</v>
      </c>
      <c r="Q816" s="218">
        <v>70</v>
      </c>
      <c r="R816" s="218">
        <v>70</v>
      </c>
      <c r="S816" s="218">
        <v>0</v>
      </c>
      <c r="T816" s="218">
        <v>53</v>
      </c>
      <c r="U816" s="218">
        <v>53</v>
      </c>
      <c r="V816" s="333">
        <v>53</v>
      </c>
      <c r="W816"/>
      <c r="X816" s="22">
        <f t="shared" si="125"/>
        <v>-545.57882399999983</v>
      </c>
      <c r="Y816" s="22">
        <f t="shared" si="126"/>
        <v>-921.92842800000005</v>
      </c>
      <c r="Z816" s="22">
        <f t="shared" si="127"/>
        <v>-372.84366</v>
      </c>
      <c r="AA816" s="22">
        <f t="shared" si="128"/>
        <v>622.97928000000002</v>
      </c>
      <c r="AB816" s="22">
        <f t="shared" si="129"/>
        <v>0</v>
      </c>
      <c r="AC816" s="22">
        <f t="shared" si="130"/>
        <v>339.46976999999998</v>
      </c>
      <c r="AD816" s="22">
        <f t="shared" si="131"/>
        <v>100.054248</v>
      </c>
      <c r="AE816" s="137">
        <f t="shared" si="132"/>
        <v>-400.216992</v>
      </c>
      <c r="AF816" s="218">
        <v>28780</v>
      </c>
      <c r="AG816" s="137">
        <f t="shared" si="133"/>
        <v>29958.064606</v>
      </c>
    </row>
    <row r="817" spans="2:33" outlineLevel="1" x14ac:dyDescent="0.3">
      <c r="B817" s="114">
        <f t="shared" si="134"/>
        <v>15</v>
      </c>
      <c r="C817" s="114" t="s">
        <v>492</v>
      </c>
      <c r="D817" s="370">
        <v>83900471</v>
      </c>
      <c r="E817"/>
      <c r="F817" s="14">
        <v>56</v>
      </c>
      <c r="G817" s="14">
        <v>81</v>
      </c>
      <c r="H817" s="14">
        <v>69</v>
      </c>
      <c r="I817" s="14">
        <v>69</v>
      </c>
      <c r="J817" s="14">
        <v>183</v>
      </c>
      <c r="K817" s="14">
        <v>80</v>
      </c>
      <c r="L817" s="14">
        <v>78</v>
      </c>
      <c r="M817" s="184">
        <v>58</v>
      </c>
      <c r="N817" s="14"/>
      <c r="O817" s="218">
        <v>73</v>
      </c>
      <c r="P817" s="218">
        <v>48</v>
      </c>
      <c r="Q817" s="218">
        <v>60</v>
      </c>
      <c r="R817" s="218">
        <v>49</v>
      </c>
      <c r="S817" s="218">
        <v>0</v>
      </c>
      <c r="T817" s="218">
        <v>46</v>
      </c>
      <c r="U817" s="218">
        <v>51</v>
      </c>
      <c r="V817" s="333">
        <v>54</v>
      </c>
      <c r="W817"/>
      <c r="X817" s="22">
        <f t="shared" si="125"/>
        <v>-728.84339157699992</v>
      </c>
      <c r="Y817" s="22">
        <f t="shared" si="126"/>
        <v>-1039.0234328640001</v>
      </c>
      <c r="Z817" s="22">
        <f t="shared" si="127"/>
        <v>-397.68823254</v>
      </c>
      <c r="AA817" s="22">
        <f t="shared" si="128"/>
        <v>542.66824642799997</v>
      </c>
      <c r="AB817" s="22">
        <f t="shared" si="129"/>
        <v>0</v>
      </c>
      <c r="AC817" s="22">
        <f t="shared" si="130"/>
        <v>366.64505826999999</v>
      </c>
      <c r="AD817" s="22">
        <f t="shared" si="131"/>
        <v>119.809872588</v>
      </c>
      <c r="AE817" s="137">
        <f t="shared" si="132"/>
        <v>-507.43004860799999</v>
      </c>
      <c r="AF817" s="218">
        <v>8555</v>
      </c>
      <c r="AG817" s="137">
        <f t="shared" si="133"/>
        <v>10198.861928303</v>
      </c>
    </row>
    <row r="818" spans="2:33" outlineLevel="1" x14ac:dyDescent="0.3">
      <c r="B818" s="114">
        <f t="shared" si="134"/>
        <v>16</v>
      </c>
      <c r="C818" s="114" t="s">
        <v>493</v>
      </c>
      <c r="D818" s="370">
        <v>10370747</v>
      </c>
      <c r="E818"/>
      <c r="F818" s="14">
        <v>64</v>
      </c>
      <c r="G818" s="14">
        <v>71</v>
      </c>
      <c r="H818" s="14">
        <v>59</v>
      </c>
      <c r="I818" s="14">
        <v>77</v>
      </c>
      <c r="J818" s="14">
        <v>183</v>
      </c>
      <c r="K818" s="14">
        <v>82</v>
      </c>
      <c r="L818" s="14">
        <v>80</v>
      </c>
      <c r="M818" s="184">
        <v>73</v>
      </c>
      <c r="N818" s="14"/>
      <c r="O818" s="218">
        <v>65</v>
      </c>
      <c r="P818" s="218">
        <v>54</v>
      </c>
      <c r="Q818" s="218">
        <v>70</v>
      </c>
      <c r="R818" s="218">
        <v>52</v>
      </c>
      <c r="S818" s="218">
        <v>0</v>
      </c>
      <c r="T818" s="218">
        <v>47</v>
      </c>
      <c r="U818" s="218">
        <v>49</v>
      </c>
      <c r="V818" s="333">
        <v>56</v>
      </c>
      <c r="W818"/>
      <c r="X818" s="22">
        <f t="shared" si="125"/>
        <v>-80.217728044999987</v>
      </c>
      <c r="Y818" s="22">
        <f t="shared" si="126"/>
        <v>-144.48524720399999</v>
      </c>
      <c r="Z818" s="22">
        <f t="shared" si="127"/>
        <v>-57.350230910000001</v>
      </c>
      <c r="AA818" s="22">
        <f t="shared" si="128"/>
        <v>71.184807408000012</v>
      </c>
      <c r="AB818" s="22">
        <f t="shared" si="129"/>
        <v>0</v>
      </c>
      <c r="AC818" s="22">
        <f t="shared" si="130"/>
        <v>46.305385354999999</v>
      </c>
      <c r="AD818" s="22">
        <f t="shared" si="131"/>
        <v>14.228664884000002</v>
      </c>
      <c r="AE818" s="137">
        <f t="shared" si="132"/>
        <v>-65.045325184000006</v>
      </c>
      <c r="AF818" s="218">
        <v>179</v>
      </c>
      <c r="AG818" s="137">
        <f t="shared" si="133"/>
        <v>394.37967369599994</v>
      </c>
    </row>
    <row r="819" spans="2:33" outlineLevel="1" x14ac:dyDescent="0.3">
      <c r="B819" s="114">
        <f t="shared" si="134"/>
        <v>17</v>
      </c>
      <c r="C819" s="114" t="s">
        <v>494</v>
      </c>
      <c r="D819" s="370">
        <v>9634162</v>
      </c>
      <c r="E819"/>
      <c r="F819" s="14">
        <v>70</v>
      </c>
      <c r="G819" s="14">
        <v>75</v>
      </c>
      <c r="H819" s="14">
        <v>70</v>
      </c>
      <c r="I819" s="14">
        <v>70</v>
      </c>
      <c r="J819" s="14">
        <v>183</v>
      </c>
      <c r="K819" s="14">
        <v>86</v>
      </c>
      <c r="L819" s="14">
        <v>87</v>
      </c>
      <c r="M819" s="184">
        <v>68</v>
      </c>
      <c r="N819" s="14"/>
      <c r="O819" s="218">
        <v>59</v>
      </c>
      <c r="P819" s="218">
        <v>54</v>
      </c>
      <c r="Q819" s="218">
        <v>59</v>
      </c>
      <c r="R819" s="218">
        <v>0</v>
      </c>
      <c r="S819" s="218">
        <v>0</v>
      </c>
      <c r="T819" s="218">
        <v>43</v>
      </c>
      <c r="U819" s="218">
        <v>37</v>
      </c>
      <c r="V819" s="333">
        <v>61</v>
      </c>
      <c r="W819"/>
      <c r="X819" s="22">
        <f t="shared" si="125"/>
        <v>-67.641451402000001</v>
      </c>
      <c r="Y819" s="22">
        <f t="shared" si="126"/>
        <v>-134.22314498399999</v>
      </c>
      <c r="Z819" s="22">
        <f t="shared" si="127"/>
        <v>-44.904829081999999</v>
      </c>
      <c r="AA819" s="22">
        <f t="shared" si="128"/>
        <v>0</v>
      </c>
      <c r="AB819" s="22">
        <f t="shared" si="129"/>
        <v>0</v>
      </c>
      <c r="AC819" s="22">
        <f t="shared" si="130"/>
        <v>39.355551770000005</v>
      </c>
      <c r="AD819" s="22">
        <f t="shared" si="131"/>
        <v>9.9809918320000008</v>
      </c>
      <c r="AE819" s="137">
        <f t="shared" si="132"/>
        <v>-65.820594784000008</v>
      </c>
      <c r="AF819" s="218">
        <v>527</v>
      </c>
      <c r="AG819" s="137">
        <f t="shared" si="133"/>
        <v>790.25347665000004</v>
      </c>
    </row>
    <row r="820" spans="2:33" outlineLevel="1" x14ac:dyDescent="0.3">
      <c r="B820" s="114">
        <f t="shared" si="134"/>
        <v>18</v>
      </c>
      <c r="C820" s="114" t="s">
        <v>495</v>
      </c>
      <c r="D820" s="370">
        <v>368792</v>
      </c>
      <c r="E820"/>
      <c r="F820" s="14">
        <v>75</v>
      </c>
      <c r="G820" s="14">
        <v>75</v>
      </c>
      <c r="H820" s="14">
        <v>75</v>
      </c>
      <c r="I820" s="14">
        <v>74</v>
      </c>
      <c r="J820" s="14">
        <v>183</v>
      </c>
      <c r="K820" s="14">
        <v>183</v>
      </c>
      <c r="L820" s="14">
        <v>183</v>
      </c>
      <c r="M820" s="184">
        <v>28</v>
      </c>
      <c r="N820" s="14"/>
      <c r="O820" s="218">
        <v>49</v>
      </c>
      <c r="P820" s="218">
        <v>54</v>
      </c>
      <c r="Q820" s="218">
        <v>54</v>
      </c>
      <c r="R820" s="218">
        <v>55</v>
      </c>
      <c r="S820" s="218">
        <v>0</v>
      </c>
      <c r="T820" s="218">
        <v>0</v>
      </c>
      <c r="U820" s="218">
        <v>0</v>
      </c>
      <c r="V820" s="333">
        <v>101</v>
      </c>
      <c r="W820"/>
      <c r="X820" s="22">
        <f t="shared" si="125"/>
        <v>-2.1504261519999996</v>
      </c>
      <c r="Y820" s="22">
        <f t="shared" si="126"/>
        <v>-5.1380101439999999</v>
      </c>
      <c r="Z820" s="22">
        <f t="shared" si="127"/>
        <v>-1.5732666719999999</v>
      </c>
      <c r="AA820" s="22">
        <f t="shared" si="128"/>
        <v>2.6774299200000002</v>
      </c>
      <c r="AB820" s="22">
        <f t="shared" si="129"/>
        <v>0</v>
      </c>
      <c r="AC820" s="22">
        <f t="shared" si="130"/>
        <v>0</v>
      </c>
      <c r="AD820" s="22">
        <f t="shared" si="131"/>
        <v>0</v>
      </c>
      <c r="AE820" s="137">
        <f t="shared" si="132"/>
        <v>-4.171775104</v>
      </c>
      <c r="AF820" s="218">
        <v>10</v>
      </c>
      <c r="AG820" s="137">
        <f t="shared" si="133"/>
        <v>20.356048152</v>
      </c>
    </row>
    <row r="821" spans="2:33" outlineLevel="1" x14ac:dyDescent="0.3">
      <c r="B821" s="114">
        <f t="shared" si="134"/>
        <v>19</v>
      </c>
      <c r="C821" s="114" t="s">
        <v>496</v>
      </c>
      <c r="D821" s="370">
        <v>4982904</v>
      </c>
      <c r="E821"/>
      <c r="F821" s="14">
        <v>72</v>
      </c>
      <c r="G821" s="14">
        <v>86</v>
      </c>
      <c r="H821" s="14">
        <v>71</v>
      </c>
      <c r="I821" s="14">
        <v>71</v>
      </c>
      <c r="J821" s="14">
        <v>86</v>
      </c>
      <c r="K821" s="14">
        <v>87</v>
      </c>
      <c r="L821" s="14">
        <v>87</v>
      </c>
      <c r="M821" s="184">
        <v>96</v>
      </c>
      <c r="N821" s="14"/>
      <c r="O821" s="218">
        <v>57</v>
      </c>
      <c r="P821" s="218">
        <v>43</v>
      </c>
      <c r="Q821" s="218">
        <v>58</v>
      </c>
      <c r="R821" s="218">
        <v>58</v>
      </c>
      <c r="S821" s="218">
        <v>43</v>
      </c>
      <c r="T821" s="218">
        <v>42</v>
      </c>
      <c r="U821" s="218">
        <v>42</v>
      </c>
      <c r="V821" s="333">
        <v>33</v>
      </c>
      <c r="W821"/>
      <c r="X821" s="22">
        <f t="shared" si="125"/>
        <v>-33.799037831999996</v>
      </c>
      <c r="Y821" s="22">
        <f t="shared" si="126"/>
        <v>-55.280336976000001</v>
      </c>
      <c r="Z821" s="22">
        <f t="shared" si="127"/>
        <v>-22.831666127999998</v>
      </c>
      <c r="AA821" s="22">
        <f t="shared" si="128"/>
        <v>38.149113024000002</v>
      </c>
      <c r="AB821" s="22">
        <f t="shared" si="129"/>
        <v>23.354871048</v>
      </c>
      <c r="AC821" s="22">
        <f t="shared" si="130"/>
        <v>19.881786959999999</v>
      </c>
      <c r="AD821" s="22">
        <f t="shared" si="131"/>
        <v>5.8598951039999996</v>
      </c>
      <c r="AE821" s="137">
        <f t="shared" si="132"/>
        <v>-18.416813183999999</v>
      </c>
      <c r="AF821" s="218">
        <v>1650</v>
      </c>
      <c r="AG821" s="137">
        <f t="shared" si="133"/>
        <v>1693.082187984</v>
      </c>
    </row>
    <row r="822" spans="2:33" outlineLevel="1" x14ac:dyDescent="0.3">
      <c r="B822" s="114">
        <f t="shared" si="134"/>
        <v>20</v>
      </c>
      <c r="C822" s="114" t="s">
        <v>497</v>
      </c>
      <c r="D822" s="370">
        <v>60367471</v>
      </c>
      <c r="E822"/>
      <c r="F822" s="14">
        <v>53</v>
      </c>
      <c r="G822" s="14">
        <v>52</v>
      </c>
      <c r="H822" s="14">
        <v>53</v>
      </c>
      <c r="I822" s="14">
        <v>53</v>
      </c>
      <c r="J822" s="14">
        <v>102</v>
      </c>
      <c r="K822" s="14">
        <v>53</v>
      </c>
      <c r="L822" s="14">
        <v>61</v>
      </c>
      <c r="M822" s="184">
        <v>22</v>
      </c>
      <c r="N822" s="14"/>
      <c r="O822" s="218">
        <v>76</v>
      </c>
      <c r="P822" s="218">
        <v>72</v>
      </c>
      <c r="Q822" s="218">
        <v>76</v>
      </c>
      <c r="R822" s="218">
        <v>76</v>
      </c>
      <c r="S822" s="218">
        <v>22</v>
      </c>
      <c r="T822" s="218">
        <v>76</v>
      </c>
      <c r="U822" s="218">
        <v>68</v>
      </c>
      <c r="V822" s="333">
        <v>100</v>
      </c>
      <c r="W822"/>
      <c r="X822" s="22">
        <f t="shared" si="125"/>
        <v>-545.96340772399992</v>
      </c>
      <c r="Y822" s="22">
        <f t="shared" si="126"/>
        <v>-1121.386141296</v>
      </c>
      <c r="Z822" s="22">
        <f t="shared" si="127"/>
        <v>-362.44629588399999</v>
      </c>
      <c r="AA822" s="22">
        <f t="shared" si="128"/>
        <v>605.60646907199998</v>
      </c>
      <c r="AB822" s="22">
        <f t="shared" si="129"/>
        <v>144.761195458</v>
      </c>
      <c r="AC822" s="22">
        <f t="shared" si="130"/>
        <v>435.85314061999998</v>
      </c>
      <c r="AD822" s="22">
        <f t="shared" si="131"/>
        <v>114.93966478400002</v>
      </c>
      <c r="AE822" s="137">
        <f t="shared" si="132"/>
        <v>-676.11567520000006</v>
      </c>
      <c r="AF822" s="218">
        <v>33475</v>
      </c>
      <c r="AG822" s="137">
        <f t="shared" si="133"/>
        <v>34879.751050170002</v>
      </c>
    </row>
    <row r="823" spans="2:33" outlineLevel="1" x14ac:dyDescent="0.3">
      <c r="B823" s="114">
        <f t="shared" si="134"/>
        <v>21</v>
      </c>
      <c r="C823" s="114" t="s">
        <v>498</v>
      </c>
      <c r="D823" s="370">
        <v>1782115</v>
      </c>
      <c r="E823"/>
      <c r="F823" s="14">
        <v>71</v>
      </c>
      <c r="G823" s="14">
        <v>74</v>
      </c>
      <c r="H823" s="14">
        <v>70</v>
      </c>
      <c r="I823" s="14">
        <v>70</v>
      </c>
      <c r="J823" s="14">
        <v>72</v>
      </c>
      <c r="K823" s="14">
        <v>82</v>
      </c>
      <c r="L823" s="14">
        <v>72</v>
      </c>
      <c r="M823" s="184">
        <v>71</v>
      </c>
      <c r="N823" s="14"/>
      <c r="O823" s="218">
        <v>58</v>
      </c>
      <c r="P823" s="218">
        <v>55</v>
      </c>
      <c r="Q823" s="218">
        <v>59</v>
      </c>
      <c r="R823" s="218">
        <v>59</v>
      </c>
      <c r="S823" s="218">
        <v>57</v>
      </c>
      <c r="T823" s="218">
        <v>47</v>
      </c>
      <c r="U823" s="218">
        <v>57</v>
      </c>
      <c r="V823" s="333">
        <v>58</v>
      </c>
      <c r="W823"/>
      <c r="X823" s="22">
        <f t="shared" si="125"/>
        <v>-12.300157729999999</v>
      </c>
      <c r="Y823" s="22">
        <f t="shared" si="126"/>
        <v>-25.288211850000003</v>
      </c>
      <c r="Z823" s="22">
        <f t="shared" si="127"/>
        <v>-8.3064380150000012</v>
      </c>
      <c r="AA823" s="22">
        <f t="shared" si="128"/>
        <v>13.879111620000002</v>
      </c>
      <c r="AB823" s="22">
        <f t="shared" si="129"/>
        <v>11.072280495000001</v>
      </c>
      <c r="AC823" s="22">
        <f t="shared" si="130"/>
        <v>7.9571434749999996</v>
      </c>
      <c r="AD823" s="22">
        <f t="shared" si="131"/>
        <v>2.8442555400000002</v>
      </c>
      <c r="AE823" s="137">
        <f t="shared" si="132"/>
        <v>-11.576619040000001</v>
      </c>
      <c r="AF823" s="218">
        <v>30</v>
      </c>
      <c r="AG823" s="137">
        <f t="shared" si="133"/>
        <v>51.718635505000002</v>
      </c>
    </row>
    <row r="824" spans="2:33" outlineLevel="1" x14ac:dyDescent="0.3">
      <c r="B824" s="114">
        <f t="shared" si="134"/>
        <v>22</v>
      </c>
      <c r="C824" s="114" t="s">
        <v>499</v>
      </c>
      <c r="D824" s="370">
        <v>1866934</v>
      </c>
      <c r="E824"/>
      <c r="F824" s="14">
        <v>72</v>
      </c>
      <c r="G824" s="14">
        <v>83</v>
      </c>
      <c r="H824" s="14">
        <v>72</v>
      </c>
      <c r="I824" s="14">
        <v>72</v>
      </c>
      <c r="J824" s="14">
        <v>161</v>
      </c>
      <c r="K824" s="14">
        <v>183</v>
      </c>
      <c r="L824" s="14">
        <v>183</v>
      </c>
      <c r="M824" s="184">
        <v>57</v>
      </c>
      <c r="N824" s="14"/>
      <c r="O824" s="218">
        <v>57</v>
      </c>
      <c r="P824" s="218">
        <v>46</v>
      </c>
      <c r="Q824" s="218">
        <v>57</v>
      </c>
      <c r="R824" s="218">
        <v>57</v>
      </c>
      <c r="S824" s="218">
        <v>0</v>
      </c>
      <c r="T824" s="218">
        <v>0</v>
      </c>
      <c r="U824" s="218">
        <v>0</v>
      </c>
      <c r="V824" s="333">
        <v>72</v>
      </c>
      <c r="W824"/>
      <c r="X824" s="22">
        <f t="shared" si="125"/>
        <v>-12.663413321999998</v>
      </c>
      <c r="Y824" s="22">
        <f t="shared" si="126"/>
        <v>-22.156772712000002</v>
      </c>
      <c r="Z824" s="22">
        <f t="shared" si="127"/>
        <v>-8.4068038020000007</v>
      </c>
      <c r="AA824" s="22">
        <f t="shared" si="128"/>
        <v>14.046811415999999</v>
      </c>
      <c r="AB824" s="22">
        <f t="shared" si="129"/>
        <v>0</v>
      </c>
      <c r="AC824" s="22">
        <f t="shared" si="130"/>
        <v>0</v>
      </c>
      <c r="AD824" s="22">
        <f t="shared" si="131"/>
        <v>0</v>
      </c>
      <c r="AE824" s="137">
        <f t="shared" si="132"/>
        <v>-15.054955776</v>
      </c>
      <c r="AF824" s="218">
        <v>24</v>
      </c>
      <c r="AG824" s="137">
        <f t="shared" si="133"/>
        <v>68.235134196000004</v>
      </c>
    </row>
    <row r="825" spans="2:33" outlineLevel="1" x14ac:dyDescent="0.3">
      <c r="B825" s="114">
        <f t="shared" si="134"/>
        <v>23</v>
      </c>
      <c r="C825" s="114" t="s">
        <v>500</v>
      </c>
      <c r="D825" s="370">
        <v>38254</v>
      </c>
      <c r="E825"/>
      <c r="F825" s="14">
        <v>72</v>
      </c>
      <c r="G825" s="14">
        <v>72</v>
      </c>
      <c r="H825" s="14">
        <v>58</v>
      </c>
      <c r="I825" s="14">
        <v>58</v>
      </c>
      <c r="J825" s="14">
        <v>183</v>
      </c>
      <c r="K825" s="14">
        <v>177</v>
      </c>
      <c r="L825" s="14">
        <v>183</v>
      </c>
      <c r="M825" s="184">
        <v>72</v>
      </c>
      <c r="N825" s="14"/>
      <c r="O825" s="218">
        <v>57</v>
      </c>
      <c r="P825" s="218">
        <v>57</v>
      </c>
      <c r="Q825" s="218">
        <v>71</v>
      </c>
      <c r="R825" s="218">
        <v>57</v>
      </c>
      <c r="S825" s="218">
        <v>0</v>
      </c>
      <c r="T825" s="218">
        <v>0</v>
      </c>
      <c r="U825" s="218">
        <v>0</v>
      </c>
      <c r="V825" s="333">
        <v>57</v>
      </c>
      <c r="W825"/>
      <c r="X825" s="22">
        <f t="shared" si="125"/>
        <v>-0.25947688199999996</v>
      </c>
      <c r="Y825" s="22">
        <f t="shared" si="126"/>
        <v>-0.56256332399999998</v>
      </c>
      <c r="Z825" s="22">
        <f t="shared" si="127"/>
        <v>-0.21456668599999998</v>
      </c>
      <c r="AA825" s="22">
        <f t="shared" si="128"/>
        <v>0.287823096</v>
      </c>
      <c r="AB825" s="22">
        <f t="shared" si="129"/>
        <v>0</v>
      </c>
      <c r="AC825" s="22">
        <f t="shared" si="130"/>
        <v>0</v>
      </c>
      <c r="AD825" s="22">
        <f t="shared" si="131"/>
        <v>0</v>
      </c>
      <c r="AE825" s="137">
        <f t="shared" si="132"/>
        <v>-0.24421353600000001</v>
      </c>
      <c r="AF825" s="218">
        <v>1</v>
      </c>
      <c r="AG825" s="137">
        <f t="shared" si="133"/>
        <v>1.9929973320000001</v>
      </c>
    </row>
    <row r="826" spans="2:33" outlineLevel="1" x14ac:dyDescent="0.3">
      <c r="B826" s="114">
        <f t="shared" si="134"/>
        <v>24</v>
      </c>
      <c r="C826" s="114" t="s">
        <v>501</v>
      </c>
      <c r="D826" s="370">
        <v>2689862</v>
      </c>
      <c r="E826"/>
      <c r="F826" s="14">
        <v>75</v>
      </c>
      <c r="G826" s="14">
        <v>75</v>
      </c>
      <c r="H826" s="14">
        <v>71</v>
      </c>
      <c r="I826" s="14">
        <v>71</v>
      </c>
      <c r="J826" s="14">
        <v>183</v>
      </c>
      <c r="K826" s="14">
        <v>168</v>
      </c>
      <c r="L826" s="14">
        <v>100</v>
      </c>
      <c r="M826" s="184">
        <v>72</v>
      </c>
      <c r="N826" s="14"/>
      <c r="O826" s="218">
        <v>54</v>
      </c>
      <c r="P826" s="218">
        <v>54</v>
      </c>
      <c r="Q826" s="218">
        <v>58</v>
      </c>
      <c r="R826" s="218">
        <v>58</v>
      </c>
      <c r="S826" s="218">
        <v>0</v>
      </c>
      <c r="T826" s="218">
        <v>0</v>
      </c>
      <c r="U826" s="218">
        <v>4</v>
      </c>
      <c r="V826" s="333">
        <v>57</v>
      </c>
      <c r="W826"/>
      <c r="X826" s="22">
        <f t="shared" si="125"/>
        <v>-17.285053212000001</v>
      </c>
      <c r="Y826" s="22">
        <f t="shared" si="126"/>
        <v>-37.475157384000006</v>
      </c>
      <c r="Z826" s="22">
        <f t="shared" si="127"/>
        <v>-12.324947684</v>
      </c>
      <c r="AA826" s="22">
        <f t="shared" si="128"/>
        <v>20.593583472000002</v>
      </c>
      <c r="AB826" s="22">
        <f t="shared" si="129"/>
        <v>0</v>
      </c>
      <c r="AC826" s="22">
        <f t="shared" si="130"/>
        <v>0</v>
      </c>
      <c r="AD826" s="22">
        <f t="shared" si="131"/>
        <v>0.30126454399999997</v>
      </c>
      <c r="AE826" s="137">
        <f t="shared" si="132"/>
        <v>-17.172079008000001</v>
      </c>
      <c r="AF826" s="218">
        <v>55</v>
      </c>
      <c r="AG826" s="137">
        <f t="shared" si="133"/>
        <v>118.362389272</v>
      </c>
    </row>
    <row r="827" spans="2:33" outlineLevel="1" x14ac:dyDescent="0.3">
      <c r="B827" s="114">
        <f t="shared" si="134"/>
        <v>25</v>
      </c>
      <c r="C827" s="114" t="s">
        <v>502</v>
      </c>
      <c r="D827" s="370">
        <v>634814</v>
      </c>
      <c r="E827"/>
      <c r="F827" s="14">
        <v>75</v>
      </c>
      <c r="G827" s="14">
        <v>75</v>
      </c>
      <c r="H827" s="14">
        <v>72</v>
      </c>
      <c r="I827" s="14">
        <v>68</v>
      </c>
      <c r="J827" s="14">
        <v>162</v>
      </c>
      <c r="K827" s="14">
        <v>76</v>
      </c>
      <c r="L827" s="14">
        <v>74</v>
      </c>
      <c r="M827" s="184">
        <v>183</v>
      </c>
      <c r="N827" s="14"/>
      <c r="O827" s="218">
        <v>54</v>
      </c>
      <c r="P827" s="218">
        <v>54</v>
      </c>
      <c r="Q827" s="218">
        <v>57</v>
      </c>
      <c r="R827" s="218">
        <v>61</v>
      </c>
      <c r="S827" s="218">
        <v>0</v>
      </c>
      <c r="T827" s="218">
        <v>34</v>
      </c>
      <c r="U827" s="218">
        <v>36</v>
      </c>
      <c r="V827" s="333">
        <v>0</v>
      </c>
      <c r="W827"/>
      <c r="X827" s="22">
        <f t="shared" si="125"/>
        <v>-4.0793147640000003</v>
      </c>
      <c r="Y827" s="22">
        <f t="shared" si="126"/>
        <v>-8.8442286479999996</v>
      </c>
      <c r="Z827" s="22">
        <f t="shared" si="127"/>
        <v>-2.8585674420000005</v>
      </c>
      <c r="AA827" s="22">
        <f t="shared" si="128"/>
        <v>5.1115223279999995</v>
      </c>
      <c r="AB827" s="22">
        <f t="shared" si="129"/>
        <v>0</v>
      </c>
      <c r="AC827" s="22">
        <f t="shared" si="130"/>
        <v>2.05044922</v>
      </c>
      <c r="AD827" s="22">
        <f t="shared" si="131"/>
        <v>0.63989251199999997</v>
      </c>
      <c r="AE827" s="137">
        <f t="shared" si="132"/>
        <v>0</v>
      </c>
      <c r="AF827" s="218">
        <v>110</v>
      </c>
      <c r="AG827" s="137">
        <f t="shared" si="133"/>
        <v>117.980246794</v>
      </c>
    </row>
    <row r="828" spans="2:33" outlineLevel="1" x14ac:dyDescent="0.3">
      <c r="B828" s="114">
        <f t="shared" si="134"/>
        <v>26</v>
      </c>
      <c r="C828" s="114" t="s">
        <v>503</v>
      </c>
      <c r="D828" s="370">
        <v>516100</v>
      </c>
      <c r="E828"/>
      <c r="F828" s="14">
        <v>72</v>
      </c>
      <c r="G828" s="14">
        <v>82</v>
      </c>
      <c r="H828" s="14">
        <v>71</v>
      </c>
      <c r="I828" s="14">
        <v>69</v>
      </c>
      <c r="J828" s="14">
        <v>183</v>
      </c>
      <c r="K828" s="14">
        <v>87</v>
      </c>
      <c r="L828" s="14">
        <v>93</v>
      </c>
      <c r="M828" s="184">
        <v>53</v>
      </c>
      <c r="N828" s="14"/>
      <c r="O828" s="218">
        <v>57</v>
      </c>
      <c r="P828" s="218">
        <v>47</v>
      </c>
      <c r="Q828" s="218">
        <v>58</v>
      </c>
      <c r="R828" s="218">
        <v>42</v>
      </c>
      <c r="S828" s="218">
        <v>0</v>
      </c>
      <c r="T828" s="218">
        <v>42</v>
      </c>
      <c r="U828" s="218">
        <v>36</v>
      </c>
      <c r="V828" s="333">
        <v>74</v>
      </c>
      <c r="W828"/>
      <c r="X828" s="22">
        <f t="shared" si="125"/>
        <v>-3.5007062999999996</v>
      </c>
      <c r="Y828" s="22">
        <f t="shared" si="126"/>
        <v>-6.2582286000000007</v>
      </c>
      <c r="Z828" s="22">
        <f t="shared" si="127"/>
        <v>-2.3647701999999997</v>
      </c>
      <c r="AA828" s="22">
        <f t="shared" si="128"/>
        <v>2.8612584000000005</v>
      </c>
      <c r="AB828" s="22">
        <f t="shared" si="129"/>
        <v>0</v>
      </c>
      <c r="AC828" s="22">
        <f t="shared" si="130"/>
        <v>2.0592389999999998</v>
      </c>
      <c r="AD828" s="22">
        <f t="shared" si="131"/>
        <v>0.52022879999999994</v>
      </c>
      <c r="AE828" s="137">
        <f t="shared" si="132"/>
        <v>-4.2774367999999994</v>
      </c>
      <c r="AF828" s="218">
        <v>9</v>
      </c>
      <c r="AG828" s="137">
        <f t="shared" si="133"/>
        <v>19.960415699999999</v>
      </c>
    </row>
    <row r="829" spans="2:33" outlineLevel="1" x14ac:dyDescent="0.3">
      <c r="B829" s="114">
        <f t="shared" si="134"/>
        <v>27</v>
      </c>
      <c r="C829" s="114" t="s">
        <v>504</v>
      </c>
      <c r="D829" s="370">
        <v>4024025</v>
      </c>
      <c r="E829"/>
      <c r="F829" s="14">
        <v>70</v>
      </c>
      <c r="G829" s="14">
        <v>70</v>
      </c>
      <c r="H829" s="14">
        <v>69</v>
      </c>
      <c r="I829" s="14">
        <v>69</v>
      </c>
      <c r="J829" s="14">
        <v>82</v>
      </c>
      <c r="K829" s="14">
        <v>83</v>
      </c>
      <c r="L829" s="14">
        <v>83</v>
      </c>
      <c r="M829" s="184">
        <v>56</v>
      </c>
      <c r="N829" s="14"/>
      <c r="O829" s="218">
        <v>59</v>
      </c>
      <c r="P829" s="218">
        <v>59</v>
      </c>
      <c r="Q829" s="218">
        <v>60</v>
      </c>
      <c r="R829" s="218">
        <v>60</v>
      </c>
      <c r="S829" s="218">
        <v>47</v>
      </c>
      <c r="T829" s="218">
        <v>46</v>
      </c>
      <c r="U829" s="218">
        <v>46</v>
      </c>
      <c r="V829" s="333">
        <v>62</v>
      </c>
      <c r="W829"/>
      <c r="X829" s="22">
        <f t="shared" si="125"/>
        <v>-28.252679524999998</v>
      </c>
      <c r="Y829" s="22">
        <f t="shared" si="126"/>
        <v>-61.253708550000006</v>
      </c>
      <c r="Z829" s="22">
        <f t="shared" si="127"/>
        <v>-19.073878499999999</v>
      </c>
      <c r="AA829" s="22">
        <f t="shared" si="128"/>
        <v>31.870277999999999</v>
      </c>
      <c r="AB829" s="22">
        <f t="shared" si="129"/>
        <v>20.615080074999998</v>
      </c>
      <c r="AC829" s="22">
        <f t="shared" si="130"/>
        <v>17.58498925</v>
      </c>
      <c r="AD829" s="22">
        <f t="shared" si="131"/>
        <v>5.1829442000000006</v>
      </c>
      <c r="AE829" s="137">
        <f t="shared" si="132"/>
        <v>-27.942829600000003</v>
      </c>
      <c r="AF829" s="218">
        <v>305</v>
      </c>
      <c r="AG829" s="137">
        <f t="shared" si="133"/>
        <v>366.26980465000003</v>
      </c>
    </row>
    <row r="830" spans="2:33" outlineLevel="1" x14ac:dyDescent="0.3">
      <c r="B830" s="114">
        <f t="shared" si="134"/>
        <v>28</v>
      </c>
      <c r="C830" s="114" t="s">
        <v>505</v>
      </c>
      <c r="D830" s="370">
        <v>39520</v>
      </c>
      <c r="E830"/>
      <c r="F830" s="14">
        <v>72</v>
      </c>
      <c r="G830" s="14">
        <v>74</v>
      </c>
      <c r="H830" s="14">
        <v>74</v>
      </c>
      <c r="I830" s="14">
        <v>70</v>
      </c>
      <c r="J830" s="14">
        <v>183</v>
      </c>
      <c r="K830" s="14">
        <v>74</v>
      </c>
      <c r="L830" s="14">
        <v>70</v>
      </c>
      <c r="M830" s="184">
        <v>70</v>
      </c>
      <c r="N830" s="14"/>
      <c r="O830" s="218">
        <v>57</v>
      </c>
      <c r="P830" s="218">
        <v>55</v>
      </c>
      <c r="Q830" s="218">
        <v>55</v>
      </c>
      <c r="R830" s="218">
        <v>59</v>
      </c>
      <c r="S830" s="218">
        <v>0</v>
      </c>
      <c r="T830" s="218">
        <v>50</v>
      </c>
      <c r="U830" s="218">
        <v>54</v>
      </c>
      <c r="V830" s="333">
        <v>59</v>
      </c>
      <c r="W830"/>
      <c r="X830" s="22">
        <f t="shared" si="125"/>
        <v>-0.26806416</v>
      </c>
      <c r="Y830" s="22">
        <f t="shared" si="126"/>
        <v>-0.56078880000000009</v>
      </c>
      <c r="Z830" s="22">
        <f t="shared" si="127"/>
        <v>-0.17171439999999999</v>
      </c>
      <c r="AA830" s="22">
        <f t="shared" si="128"/>
        <v>0.30778176000000002</v>
      </c>
      <c r="AB830" s="22">
        <f t="shared" si="129"/>
        <v>0</v>
      </c>
      <c r="AC830" s="22">
        <f t="shared" si="130"/>
        <v>0.18772</v>
      </c>
      <c r="AD830" s="22">
        <f t="shared" si="131"/>
        <v>5.975424E-2</v>
      </c>
      <c r="AE830" s="137">
        <f t="shared" si="132"/>
        <v>-0.26114816000000002</v>
      </c>
      <c r="AF830" s="218">
        <v>4</v>
      </c>
      <c r="AG830" s="137">
        <f t="shared" si="133"/>
        <v>4.7064595200000001</v>
      </c>
    </row>
    <row r="831" spans="2:33" outlineLevel="1" x14ac:dyDescent="0.3">
      <c r="B831" s="114">
        <f t="shared" si="134"/>
        <v>29</v>
      </c>
      <c r="C831" s="114" t="s">
        <v>506</v>
      </c>
      <c r="D831" s="370">
        <v>17173094</v>
      </c>
      <c r="E831"/>
      <c r="F831" s="14">
        <v>75</v>
      </c>
      <c r="G831" s="14">
        <v>71</v>
      </c>
      <c r="H831" s="14">
        <v>69</v>
      </c>
      <c r="I831" s="14">
        <v>69</v>
      </c>
      <c r="J831" s="14">
        <v>152</v>
      </c>
      <c r="K831" s="14">
        <v>82</v>
      </c>
      <c r="L831" s="14">
        <v>182</v>
      </c>
      <c r="M831" s="184">
        <v>72</v>
      </c>
      <c r="N831" s="14"/>
      <c r="O831" s="218">
        <v>54</v>
      </c>
      <c r="P831" s="218">
        <v>58</v>
      </c>
      <c r="Q831" s="218">
        <v>60</v>
      </c>
      <c r="R831" s="218">
        <v>58</v>
      </c>
      <c r="S831" s="218">
        <v>0</v>
      </c>
      <c r="T831" s="218">
        <v>47</v>
      </c>
      <c r="U831" s="218">
        <v>0</v>
      </c>
      <c r="V831" s="333">
        <v>57</v>
      </c>
      <c r="W831"/>
      <c r="X831" s="22">
        <f t="shared" si="125"/>
        <v>-110.35430204399999</v>
      </c>
      <c r="Y831" s="22">
        <f t="shared" si="126"/>
        <v>-256.97817861599998</v>
      </c>
      <c r="Z831" s="22">
        <f t="shared" si="127"/>
        <v>-81.400465560000001</v>
      </c>
      <c r="AA831" s="22">
        <f t="shared" si="128"/>
        <v>131.47720766399999</v>
      </c>
      <c r="AB831" s="22">
        <f t="shared" si="129"/>
        <v>0</v>
      </c>
      <c r="AC831" s="22">
        <f t="shared" si="130"/>
        <v>76.677864709999994</v>
      </c>
      <c r="AD831" s="22">
        <f t="shared" si="131"/>
        <v>0</v>
      </c>
      <c r="AE831" s="137">
        <f t="shared" si="132"/>
        <v>-109.63303209599999</v>
      </c>
      <c r="AF831" s="218">
        <v>5962</v>
      </c>
      <c r="AG831" s="137">
        <f t="shared" si="133"/>
        <v>6312.210905942</v>
      </c>
    </row>
    <row r="832" spans="2:33" outlineLevel="1" x14ac:dyDescent="0.3">
      <c r="B832" s="114">
        <f t="shared" si="134"/>
        <v>30</v>
      </c>
      <c r="C832" s="114" t="s">
        <v>507</v>
      </c>
      <c r="D832" s="370">
        <v>5465629</v>
      </c>
      <c r="E832"/>
      <c r="F832" s="14">
        <v>71</v>
      </c>
      <c r="G832" s="14">
        <v>71</v>
      </c>
      <c r="H832" s="14">
        <v>83</v>
      </c>
      <c r="I832" s="14">
        <v>70</v>
      </c>
      <c r="J832" s="14">
        <v>134</v>
      </c>
      <c r="K832" s="14">
        <v>183</v>
      </c>
      <c r="L832" s="14">
        <v>75</v>
      </c>
      <c r="M832" s="184">
        <v>73</v>
      </c>
      <c r="N832" s="14"/>
      <c r="O832" s="218">
        <v>58</v>
      </c>
      <c r="P832" s="218">
        <v>58</v>
      </c>
      <c r="Q832" s="218">
        <v>46</v>
      </c>
      <c r="R832" s="218">
        <v>59</v>
      </c>
      <c r="S832" s="218">
        <v>0</v>
      </c>
      <c r="T832" s="218">
        <v>0</v>
      </c>
      <c r="U832" s="218">
        <v>35</v>
      </c>
      <c r="V832" s="333">
        <v>56</v>
      </c>
      <c r="W832"/>
      <c r="X832" s="22">
        <f t="shared" si="125"/>
        <v>-37.723771357999993</v>
      </c>
      <c r="Y832" s="22">
        <f t="shared" si="126"/>
        <v>-81.787672356000002</v>
      </c>
      <c r="Z832" s="22">
        <f t="shared" si="127"/>
        <v>-19.862095785999998</v>
      </c>
      <c r="AA832" s="22">
        <f t="shared" si="128"/>
        <v>42.566318652</v>
      </c>
      <c r="AB832" s="22">
        <f t="shared" si="129"/>
        <v>0</v>
      </c>
      <c r="AC832" s="22">
        <f t="shared" si="130"/>
        <v>0</v>
      </c>
      <c r="AD832" s="22">
        <f t="shared" si="131"/>
        <v>5.3563164199999997</v>
      </c>
      <c r="AE832" s="137">
        <f t="shared" si="132"/>
        <v>-34.280425088000001</v>
      </c>
      <c r="AF832" s="218">
        <v>236</v>
      </c>
      <c r="AG832" s="137">
        <f t="shared" si="133"/>
        <v>361.73132951599996</v>
      </c>
    </row>
    <row r="833" spans="2:34" outlineLevel="1" x14ac:dyDescent="0.3">
      <c r="B833" s="114">
        <f t="shared" si="134"/>
        <v>31</v>
      </c>
      <c r="C833" s="114" t="s">
        <v>508</v>
      </c>
      <c r="D833" s="370">
        <v>37797000</v>
      </c>
      <c r="E833"/>
      <c r="F833" s="14">
        <v>71</v>
      </c>
      <c r="G833" s="14">
        <v>73</v>
      </c>
      <c r="H833" s="14">
        <v>69</v>
      </c>
      <c r="I833" s="14">
        <v>90</v>
      </c>
      <c r="J833" s="14">
        <v>183</v>
      </c>
      <c r="K833" s="14">
        <v>90</v>
      </c>
      <c r="L833" s="14">
        <v>90</v>
      </c>
      <c r="M833" s="184">
        <v>68</v>
      </c>
      <c r="N833" s="14"/>
      <c r="O833" s="218">
        <v>58</v>
      </c>
      <c r="P833" s="218">
        <v>56</v>
      </c>
      <c r="Q833" s="218">
        <v>60</v>
      </c>
      <c r="R833" s="218">
        <v>39</v>
      </c>
      <c r="S833" s="218">
        <v>0</v>
      </c>
      <c r="T833" s="218">
        <v>20</v>
      </c>
      <c r="U833" s="218">
        <v>39</v>
      </c>
      <c r="V833" s="333">
        <v>55</v>
      </c>
      <c r="W833"/>
      <c r="X833" s="22">
        <f t="shared" si="125"/>
        <v>-260.87489399999998</v>
      </c>
      <c r="Y833" s="22">
        <f t="shared" si="126"/>
        <v>-546.09105599999998</v>
      </c>
      <c r="Z833" s="22">
        <f t="shared" si="127"/>
        <v>-179.15778</v>
      </c>
      <c r="AA833" s="22">
        <f t="shared" si="128"/>
        <v>194.57895600000003</v>
      </c>
      <c r="AB833" s="22">
        <f t="shared" si="129"/>
        <v>0</v>
      </c>
      <c r="AC833" s="22">
        <f t="shared" si="130"/>
        <v>71.814300000000003</v>
      </c>
      <c r="AD833" s="22">
        <f t="shared" si="131"/>
        <v>41.274324</v>
      </c>
      <c r="AE833" s="137">
        <f t="shared" si="132"/>
        <v>-232.82952</v>
      </c>
      <c r="AF833" s="218">
        <v>1074</v>
      </c>
      <c r="AG833" s="137">
        <f t="shared" si="133"/>
        <v>1985.28567</v>
      </c>
    </row>
    <row r="834" spans="2:34" outlineLevel="1" x14ac:dyDescent="0.3">
      <c r="B834" s="114">
        <f t="shared" si="134"/>
        <v>32</v>
      </c>
      <c r="C834" s="114" t="s">
        <v>509</v>
      </c>
      <c r="D834" s="370">
        <v>10167923</v>
      </c>
      <c r="E834"/>
      <c r="F834" s="14">
        <v>68</v>
      </c>
      <c r="G834" s="14">
        <v>71</v>
      </c>
      <c r="H834" s="14">
        <v>68</v>
      </c>
      <c r="I834" s="14">
        <v>68</v>
      </c>
      <c r="J834" s="14">
        <v>183</v>
      </c>
      <c r="K834" s="14">
        <v>78</v>
      </c>
      <c r="L834" s="14">
        <v>99</v>
      </c>
      <c r="M834" s="184">
        <v>69</v>
      </c>
      <c r="N834" s="14"/>
      <c r="O834" s="218">
        <v>61</v>
      </c>
      <c r="P834" s="218">
        <v>58</v>
      </c>
      <c r="Q834" s="218">
        <v>61</v>
      </c>
      <c r="R834" s="218">
        <v>61</v>
      </c>
      <c r="S834" s="218">
        <v>0</v>
      </c>
      <c r="T834" s="218">
        <v>46</v>
      </c>
      <c r="U834" s="218">
        <v>8</v>
      </c>
      <c r="V834" s="333">
        <v>60</v>
      </c>
      <c r="W834"/>
      <c r="X834" s="22">
        <f t="shared" si="125"/>
        <v>-73.808953056999997</v>
      </c>
      <c r="Y834" s="22">
        <f t="shared" si="126"/>
        <v>-152.15279977200001</v>
      </c>
      <c r="Z834" s="22">
        <f t="shared" si="127"/>
        <v>-48.999220936999997</v>
      </c>
      <c r="AA834" s="22">
        <f t="shared" si="128"/>
        <v>81.872115995999991</v>
      </c>
      <c r="AB834" s="22">
        <f t="shared" si="129"/>
        <v>0</v>
      </c>
      <c r="AC834" s="22">
        <f t="shared" si="130"/>
        <v>44.433823509999996</v>
      </c>
      <c r="AD834" s="22">
        <f t="shared" si="131"/>
        <v>2.2776147519999999</v>
      </c>
      <c r="AE834" s="137">
        <f t="shared" si="132"/>
        <v>-68.328442559999999</v>
      </c>
      <c r="AF834" s="218">
        <v>1424</v>
      </c>
      <c r="AG834" s="137">
        <f t="shared" si="133"/>
        <v>1638.705862068</v>
      </c>
    </row>
    <row r="835" spans="2:34" outlineLevel="1" x14ac:dyDescent="0.3">
      <c r="B835" s="114">
        <f t="shared" si="134"/>
        <v>33</v>
      </c>
      <c r="C835" s="114" t="s">
        <v>510</v>
      </c>
      <c r="D835" s="370">
        <v>19127772</v>
      </c>
      <c r="E835"/>
      <c r="F835" s="14">
        <v>70</v>
      </c>
      <c r="G835" s="14">
        <v>71</v>
      </c>
      <c r="H835" s="14">
        <v>67</v>
      </c>
      <c r="I835" s="14">
        <v>67</v>
      </c>
      <c r="J835" s="14">
        <v>90</v>
      </c>
      <c r="K835" s="14">
        <v>84</v>
      </c>
      <c r="L835" s="14">
        <v>89</v>
      </c>
      <c r="M835" s="184">
        <v>26</v>
      </c>
      <c r="N835" s="14"/>
      <c r="O835" s="218">
        <v>59</v>
      </c>
      <c r="P835" s="218">
        <v>58</v>
      </c>
      <c r="Q835" s="218">
        <v>62</v>
      </c>
      <c r="R835" s="218">
        <v>58</v>
      </c>
      <c r="S835" s="218">
        <v>39</v>
      </c>
      <c r="T835" s="218">
        <v>45</v>
      </c>
      <c r="U835" s="218">
        <v>40</v>
      </c>
      <c r="V835" s="333">
        <v>98</v>
      </c>
      <c r="W835"/>
      <c r="X835" s="22">
        <f t="shared" si="125"/>
        <v>-134.296087212</v>
      </c>
      <c r="Y835" s="22">
        <f t="shared" si="126"/>
        <v>-286.22798020800002</v>
      </c>
      <c r="Z835" s="22">
        <f t="shared" si="127"/>
        <v>-93.687827255999991</v>
      </c>
      <c r="AA835" s="22">
        <f t="shared" si="128"/>
        <v>146.44222243200002</v>
      </c>
      <c r="AB835" s="22">
        <f t="shared" si="129"/>
        <v>81.312158772000004</v>
      </c>
      <c r="AC835" s="22">
        <f t="shared" si="130"/>
        <v>81.771225300000012</v>
      </c>
      <c r="AD835" s="22">
        <f t="shared" si="131"/>
        <v>21.423104640000002</v>
      </c>
      <c r="AE835" s="137">
        <f t="shared" si="132"/>
        <v>-209.94642547200002</v>
      </c>
      <c r="AF835" s="218">
        <v>1276</v>
      </c>
      <c r="AG835" s="137">
        <f t="shared" si="133"/>
        <v>1669.209609004</v>
      </c>
    </row>
    <row r="836" spans="2:34" outlineLevel="1" x14ac:dyDescent="0.3">
      <c r="B836" s="114">
        <f t="shared" si="134"/>
        <v>34</v>
      </c>
      <c r="C836" s="114" t="s">
        <v>511</v>
      </c>
      <c r="D836" s="370">
        <v>145912022</v>
      </c>
      <c r="E836"/>
      <c r="F836" s="14">
        <v>78</v>
      </c>
      <c r="G836" s="14">
        <v>76</v>
      </c>
      <c r="H836" s="14">
        <v>69</v>
      </c>
      <c r="I836" s="14">
        <v>69</v>
      </c>
      <c r="J836" s="14">
        <v>183</v>
      </c>
      <c r="K836" s="14">
        <v>89</v>
      </c>
      <c r="L836" s="14">
        <v>64</v>
      </c>
      <c r="M836" s="184">
        <v>29</v>
      </c>
      <c r="N836" s="14"/>
      <c r="O836" s="218">
        <v>51</v>
      </c>
      <c r="P836" s="218">
        <v>53</v>
      </c>
      <c r="Q836" s="218">
        <v>60</v>
      </c>
      <c r="R836" s="218">
        <v>54</v>
      </c>
      <c r="S836" s="218">
        <v>0</v>
      </c>
      <c r="T836" s="218">
        <v>40</v>
      </c>
      <c r="U836" s="218">
        <v>65</v>
      </c>
      <c r="V836" s="333">
        <v>100</v>
      </c>
      <c r="W836"/>
      <c r="X836" s="22">
        <f t="shared" si="125"/>
        <v>-885.54006151800002</v>
      </c>
      <c r="Y836" s="22">
        <f t="shared" si="126"/>
        <v>-1995.2009888279999</v>
      </c>
      <c r="Z836" s="22">
        <f t="shared" si="127"/>
        <v>-691.62298428000008</v>
      </c>
      <c r="AA836" s="22">
        <f t="shared" si="128"/>
        <v>1040.060892816</v>
      </c>
      <c r="AB836" s="22">
        <f t="shared" si="129"/>
        <v>0</v>
      </c>
      <c r="AC836" s="22">
        <f t="shared" si="130"/>
        <v>554.46568360000003</v>
      </c>
      <c r="AD836" s="22">
        <f t="shared" si="131"/>
        <v>265.55988004</v>
      </c>
      <c r="AE836" s="137">
        <f t="shared" si="132"/>
        <v>-1634.2146464</v>
      </c>
      <c r="AF836" s="218">
        <v>4849</v>
      </c>
      <c r="AG836" s="137">
        <f t="shared" si="133"/>
        <v>8195.49222457</v>
      </c>
    </row>
    <row r="837" spans="2:34" outlineLevel="1" x14ac:dyDescent="0.3">
      <c r="B837" s="114">
        <f t="shared" si="134"/>
        <v>35</v>
      </c>
      <c r="C837" s="114" t="s">
        <v>512</v>
      </c>
      <c r="D837" s="370">
        <v>34010</v>
      </c>
      <c r="E837"/>
      <c r="F837" s="14">
        <v>59</v>
      </c>
      <c r="G837" s="14">
        <v>79</v>
      </c>
      <c r="H837" s="14">
        <v>67</v>
      </c>
      <c r="I837" s="14">
        <v>67</v>
      </c>
      <c r="J837" s="14">
        <v>74</v>
      </c>
      <c r="K837" s="14">
        <v>100</v>
      </c>
      <c r="L837" s="14">
        <v>107</v>
      </c>
      <c r="M837" s="184">
        <v>53</v>
      </c>
      <c r="N837" s="14"/>
      <c r="O837" s="218">
        <v>70</v>
      </c>
      <c r="P837" s="218">
        <v>50</v>
      </c>
      <c r="Q837" s="218">
        <v>62</v>
      </c>
      <c r="R837" s="218">
        <v>62</v>
      </c>
      <c r="S837" s="218">
        <v>50</v>
      </c>
      <c r="T837" s="218">
        <v>23</v>
      </c>
      <c r="U837" s="218">
        <v>16</v>
      </c>
      <c r="V837" s="333">
        <v>76</v>
      </c>
      <c r="W837"/>
      <c r="X837" s="22">
        <f t="shared" si="125"/>
        <v>-0.28330329999999998</v>
      </c>
      <c r="Y837" s="22">
        <f t="shared" si="126"/>
        <v>-0.43872899999999998</v>
      </c>
      <c r="Z837" s="22">
        <f t="shared" si="127"/>
        <v>-0.16658097999999999</v>
      </c>
      <c r="AA837" s="22">
        <f t="shared" si="128"/>
        <v>0.27833784</v>
      </c>
      <c r="AB837" s="22">
        <f t="shared" si="129"/>
        <v>0.18535450000000001</v>
      </c>
      <c r="AC837" s="22">
        <f t="shared" si="130"/>
        <v>7.4311850000000013E-2</v>
      </c>
      <c r="AD837" s="22">
        <f t="shared" si="131"/>
        <v>1.523648E-2</v>
      </c>
      <c r="AE837" s="137">
        <f t="shared" si="132"/>
        <v>-0.28949311999999999</v>
      </c>
      <c r="AF837" s="218">
        <v>42</v>
      </c>
      <c r="AG837" s="137">
        <f t="shared" si="133"/>
        <v>42.624865730000003</v>
      </c>
    </row>
    <row r="838" spans="2:34" outlineLevel="1" x14ac:dyDescent="0.3">
      <c r="B838" s="114">
        <f t="shared" si="134"/>
        <v>36</v>
      </c>
      <c r="C838" s="114" t="s">
        <v>513</v>
      </c>
      <c r="D838" s="370">
        <v>6871547</v>
      </c>
      <c r="E838"/>
      <c r="F838" s="14">
        <v>75</v>
      </c>
      <c r="G838" s="14">
        <v>80</v>
      </c>
      <c r="H838" s="14">
        <v>74</v>
      </c>
      <c r="I838" s="14">
        <v>70</v>
      </c>
      <c r="J838" s="14">
        <v>80</v>
      </c>
      <c r="K838" s="14">
        <v>74</v>
      </c>
      <c r="L838" s="14">
        <v>77</v>
      </c>
      <c r="M838" s="184">
        <v>21</v>
      </c>
      <c r="N838" s="14"/>
      <c r="O838" s="218">
        <v>54</v>
      </c>
      <c r="P838" s="218">
        <v>49</v>
      </c>
      <c r="Q838" s="218">
        <v>55</v>
      </c>
      <c r="R838" s="218">
        <v>59</v>
      </c>
      <c r="S838" s="218">
        <v>49</v>
      </c>
      <c r="T838" s="218">
        <v>53</v>
      </c>
      <c r="U838" s="218">
        <v>52</v>
      </c>
      <c r="V838" s="333">
        <v>59</v>
      </c>
      <c r="W838"/>
      <c r="X838" s="22">
        <f t="shared" si="125"/>
        <v>-44.156561021999998</v>
      </c>
      <c r="Y838" s="22">
        <f t="shared" si="126"/>
        <v>-86.870097173999994</v>
      </c>
      <c r="Z838" s="22">
        <f t="shared" si="127"/>
        <v>-29.856871715</v>
      </c>
      <c r="AA838" s="22">
        <f t="shared" si="128"/>
        <v>53.515608035999996</v>
      </c>
      <c r="AB838" s="22">
        <f t="shared" si="129"/>
        <v>36.700932526999999</v>
      </c>
      <c r="AC838" s="22">
        <f t="shared" si="130"/>
        <v>34.598239145000001</v>
      </c>
      <c r="AD838" s="22">
        <f t="shared" si="131"/>
        <v>10.004972432000001</v>
      </c>
      <c r="AE838" s="137">
        <f t="shared" si="132"/>
        <v>-45.407182576000004</v>
      </c>
      <c r="AF838" s="218">
        <v>244</v>
      </c>
      <c r="AG838" s="137">
        <f t="shared" si="133"/>
        <v>315.47096034700002</v>
      </c>
    </row>
    <row r="839" spans="2:34" outlineLevel="1" x14ac:dyDescent="0.3">
      <c r="B839" s="114">
        <f t="shared" si="134"/>
        <v>37</v>
      </c>
      <c r="C839" s="114" t="s">
        <v>514</v>
      </c>
      <c r="D839" s="370">
        <v>5449270</v>
      </c>
      <c r="E839"/>
      <c r="F839" s="14">
        <v>69</v>
      </c>
      <c r="G839" s="14">
        <v>72</v>
      </c>
      <c r="H839" s="14">
        <v>69</v>
      </c>
      <c r="I839" s="14">
        <v>71</v>
      </c>
      <c r="J839" s="14">
        <v>154</v>
      </c>
      <c r="K839" s="14">
        <v>98</v>
      </c>
      <c r="L839" s="14">
        <v>98</v>
      </c>
      <c r="M839" s="184">
        <v>68</v>
      </c>
      <c r="N839" s="14"/>
      <c r="O839" s="218">
        <v>60</v>
      </c>
      <c r="P839" s="218">
        <v>54</v>
      </c>
      <c r="Q839" s="218">
        <v>60</v>
      </c>
      <c r="R839" s="218">
        <v>58</v>
      </c>
      <c r="S839" s="218">
        <v>0</v>
      </c>
      <c r="T839" s="218">
        <v>6</v>
      </c>
      <c r="U839" s="218">
        <v>6</v>
      </c>
      <c r="V839" s="333">
        <v>61</v>
      </c>
      <c r="W839"/>
      <c r="X839" s="22">
        <f t="shared" si="125"/>
        <v>-38.907787799999994</v>
      </c>
      <c r="Y839" s="22">
        <f t="shared" si="126"/>
        <v>-75.919229639999998</v>
      </c>
      <c r="Z839" s="22">
        <f t="shared" si="127"/>
        <v>-25.829539799999999</v>
      </c>
      <c r="AA839" s="22">
        <f t="shared" si="128"/>
        <v>41.719611120000003</v>
      </c>
      <c r="AB839" s="22">
        <f t="shared" si="129"/>
        <v>0</v>
      </c>
      <c r="AC839" s="22">
        <f t="shared" si="130"/>
        <v>3.1060839000000002</v>
      </c>
      <c r="AD839" s="22">
        <f t="shared" si="131"/>
        <v>0.91547736000000013</v>
      </c>
      <c r="AE839" s="137">
        <f t="shared" si="132"/>
        <v>-37.22941264</v>
      </c>
      <c r="AF839" s="218">
        <v>28</v>
      </c>
      <c r="AG839" s="137">
        <f t="shared" si="133"/>
        <v>160.14479749999998</v>
      </c>
    </row>
    <row r="840" spans="2:34" outlineLevel="1" x14ac:dyDescent="0.3">
      <c r="B840" s="114">
        <f t="shared" si="134"/>
        <v>38</v>
      </c>
      <c r="C840" s="114" t="s">
        <v>515</v>
      </c>
      <c r="D840" s="370">
        <v>2078723</v>
      </c>
      <c r="E840"/>
      <c r="F840" s="14">
        <v>75</v>
      </c>
      <c r="G840" s="14">
        <v>79</v>
      </c>
      <c r="H840" s="14">
        <v>78</v>
      </c>
      <c r="I840" s="14">
        <v>66</v>
      </c>
      <c r="J840" s="14">
        <v>75</v>
      </c>
      <c r="K840" s="14">
        <v>134</v>
      </c>
      <c r="L840" s="14">
        <v>89</v>
      </c>
      <c r="M840" s="184">
        <v>69</v>
      </c>
      <c r="N840" s="14"/>
      <c r="O840" s="218">
        <v>54</v>
      </c>
      <c r="P840" s="218">
        <v>50</v>
      </c>
      <c r="Q840" s="218">
        <v>51</v>
      </c>
      <c r="R840" s="218">
        <v>63</v>
      </c>
      <c r="S840" s="218">
        <v>54</v>
      </c>
      <c r="T840" s="218">
        <v>0</v>
      </c>
      <c r="U840" s="218">
        <v>31</v>
      </c>
      <c r="V840" s="333">
        <v>60</v>
      </c>
      <c r="W840"/>
      <c r="X840" s="22">
        <f t="shared" si="125"/>
        <v>-13.357873998000001</v>
      </c>
      <c r="Y840" s="22">
        <f t="shared" si="126"/>
        <v>-26.815526699999999</v>
      </c>
      <c r="Z840" s="22">
        <f t="shared" si="127"/>
        <v>-8.3751749669999995</v>
      </c>
      <c r="AA840" s="22">
        <f t="shared" si="128"/>
        <v>17.286660468000001</v>
      </c>
      <c r="AB840" s="22">
        <f t="shared" si="129"/>
        <v>12.235363577999999</v>
      </c>
      <c r="AC840" s="22">
        <f t="shared" si="130"/>
        <v>0</v>
      </c>
      <c r="AD840" s="22">
        <f t="shared" si="131"/>
        <v>1.8043315639999999</v>
      </c>
      <c r="AE840" s="137">
        <f t="shared" si="132"/>
        <v>-13.969018559999999</v>
      </c>
      <c r="AF840" s="218">
        <v>109</v>
      </c>
      <c r="AG840" s="137">
        <f t="shared" si="133"/>
        <v>140.191238615</v>
      </c>
    </row>
    <row r="841" spans="2:34" outlineLevel="1" x14ac:dyDescent="0.3">
      <c r="B841" s="114">
        <f t="shared" si="134"/>
        <v>39</v>
      </c>
      <c r="C841" s="114" t="s">
        <v>516</v>
      </c>
      <c r="D841" s="370">
        <v>46745211</v>
      </c>
      <c r="E841"/>
      <c r="F841" s="14">
        <v>68</v>
      </c>
      <c r="G841" s="14">
        <v>73</v>
      </c>
      <c r="H841" s="14">
        <v>69</v>
      </c>
      <c r="I841" s="14">
        <v>69</v>
      </c>
      <c r="J841" s="14">
        <v>159</v>
      </c>
      <c r="K841" s="14">
        <v>73</v>
      </c>
      <c r="L841" s="14">
        <v>172</v>
      </c>
      <c r="M841" s="184">
        <v>69</v>
      </c>
      <c r="N841" s="14"/>
      <c r="O841" s="218">
        <v>61</v>
      </c>
      <c r="P841" s="218">
        <v>56</v>
      </c>
      <c r="Q841" s="218">
        <v>60</v>
      </c>
      <c r="R841" s="218">
        <v>40</v>
      </c>
      <c r="S841" s="218">
        <v>0</v>
      </c>
      <c r="T841" s="218">
        <v>56</v>
      </c>
      <c r="U841" s="218">
        <v>0</v>
      </c>
      <c r="V841" s="333">
        <v>60</v>
      </c>
      <c r="W841"/>
      <c r="X841" s="22">
        <f t="shared" si="125"/>
        <v>-339.32348664900002</v>
      </c>
      <c r="Y841" s="22">
        <f t="shared" si="126"/>
        <v>-675.37480852800002</v>
      </c>
      <c r="Z841" s="22">
        <f t="shared" si="127"/>
        <v>-221.57230014000001</v>
      </c>
      <c r="AA841" s="22">
        <f t="shared" si="128"/>
        <v>246.81471408000002</v>
      </c>
      <c r="AB841" s="22">
        <f t="shared" si="129"/>
        <v>0</v>
      </c>
      <c r="AC841" s="22">
        <f t="shared" si="130"/>
        <v>248.68452252</v>
      </c>
      <c r="AD841" s="22">
        <f t="shared" si="131"/>
        <v>0</v>
      </c>
      <c r="AE841" s="137">
        <f t="shared" si="132"/>
        <v>-314.12781792000004</v>
      </c>
      <c r="AF841" s="218">
        <v>27127</v>
      </c>
      <c r="AG841" s="137">
        <f t="shared" si="133"/>
        <v>28181.899176637002</v>
      </c>
    </row>
    <row r="842" spans="2:34" outlineLevel="1" x14ac:dyDescent="0.3">
      <c r="B842" s="114">
        <f t="shared" si="134"/>
        <v>40</v>
      </c>
      <c r="C842" s="114" t="s">
        <v>517</v>
      </c>
      <c r="D842" s="370">
        <v>10160159</v>
      </c>
      <c r="E842"/>
      <c r="F842" s="14">
        <v>76</v>
      </c>
      <c r="G842" s="14">
        <v>183</v>
      </c>
      <c r="H842" s="14">
        <v>88</v>
      </c>
      <c r="I842" s="14">
        <v>71</v>
      </c>
      <c r="J842" s="14">
        <v>183</v>
      </c>
      <c r="K842" s="14">
        <v>183</v>
      </c>
      <c r="L842" s="14">
        <v>164</v>
      </c>
      <c r="M842" s="184">
        <v>61</v>
      </c>
      <c r="N842" s="14"/>
      <c r="O842" s="218">
        <v>53</v>
      </c>
      <c r="P842" s="218">
        <v>0</v>
      </c>
      <c r="Q842" s="218">
        <v>41</v>
      </c>
      <c r="R842" s="218">
        <v>58</v>
      </c>
      <c r="S842" s="218">
        <v>0</v>
      </c>
      <c r="T842" s="218">
        <v>0</v>
      </c>
      <c r="U842" s="218">
        <v>0</v>
      </c>
      <c r="V842" s="333">
        <v>68</v>
      </c>
      <c r="W842"/>
      <c r="X842" s="22">
        <f t="shared" si="125"/>
        <v>-64.080122812999988</v>
      </c>
      <c r="Y842" s="22">
        <f t="shared" si="126"/>
        <v>0</v>
      </c>
      <c r="Z842" s="22">
        <f t="shared" si="127"/>
        <v>-32.908755000999996</v>
      </c>
      <c r="AA842" s="22">
        <f t="shared" si="128"/>
        <v>77.786177304000006</v>
      </c>
      <c r="AB842" s="22">
        <f t="shared" si="129"/>
        <v>0</v>
      </c>
      <c r="AC842" s="22">
        <f t="shared" si="130"/>
        <v>0</v>
      </c>
      <c r="AD842" s="22">
        <f t="shared" si="131"/>
        <v>0</v>
      </c>
      <c r="AE842" s="137">
        <f t="shared" si="132"/>
        <v>-77.379770944000001</v>
      </c>
      <c r="AF842" s="218">
        <v>4403</v>
      </c>
      <c r="AG842" s="137">
        <f t="shared" si="133"/>
        <v>4499.5824714540004</v>
      </c>
    </row>
    <row r="843" spans="2:34" outlineLevel="1" x14ac:dyDescent="0.3">
      <c r="B843" s="114">
        <f t="shared" si="134"/>
        <v>41</v>
      </c>
      <c r="C843" s="114" t="s">
        <v>518</v>
      </c>
      <c r="D843" s="370">
        <v>8715494</v>
      </c>
      <c r="E843"/>
      <c r="F843" s="14">
        <v>75</v>
      </c>
      <c r="G843" s="14">
        <v>76</v>
      </c>
      <c r="H843" s="14">
        <v>55</v>
      </c>
      <c r="I843" s="14">
        <v>58</v>
      </c>
      <c r="J843" s="14">
        <v>183</v>
      </c>
      <c r="K843" s="14">
        <v>173</v>
      </c>
      <c r="L843" s="14">
        <v>157</v>
      </c>
      <c r="M843" s="184">
        <v>72</v>
      </c>
      <c r="N843" s="14"/>
      <c r="O843" s="218">
        <v>54</v>
      </c>
      <c r="P843" s="218">
        <v>53</v>
      </c>
      <c r="Q843" s="218">
        <v>74</v>
      </c>
      <c r="R843" s="218">
        <v>53</v>
      </c>
      <c r="S843" s="218">
        <v>0</v>
      </c>
      <c r="T843" s="218">
        <v>0</v>
      </c>
      <c r="U843" s="218">
        <v>0</v>
      </c>
      <c r="V843" s="333">
        <v>57</v>
      </c>
      <c r="W843"/>
      <c r="X843" s="22">
        <f t="shared" si="125"/>
        <v>-56.005764444</v>
      </c>
      <c r="Y843" s="22">
        <f t="shared" si="126"/>
        <v>-119.17566495600001</v>
      </c>
      <c r="Z843" s="22">
        <f t="shared" si="127"/>
        <v>-50.950777924</v>
      </c>
      <c r="AA843" s="22">
        <f t="shared" si="128"/>
        <v>60.973596024000003</v>
      </c>
      <c r="AB843" s="22">
        <f t="shared" si="129"/>
        <v>0</v>
      </c>
      <c r="AC843" s="22">
        <f t="shared" si="130"/>
        <v>0</v>
      </c>
      <c r="AD843" s="22">
        <f t="shared" si="131"/>
        <v>0</v>
      </c>
      <c r="AE843" s="137">
        <f t="shared" si="132"/>
        <v>-55.639713696000001</v>
      </c>
      <c r="AF843" s="218">
        <v>1796</v>
      </c>
      <c r="AG843" s="137">
        <f t="shared" si="133"/>
        <v>2016.798324996</v>
      </c>
    </row>
    <row r="844" spans="2:34" outlineLevel="1" x14ac:dyDescent="0.3">
      <c r="B844" s="114">
        <f t="shared" si="134"/>
        <v>42</v>
      </c>
      <c r="C844" s="114" t="s">
        <v>519</v>
      </c>
      <c r="D844" s="370">
        <v>43466822</v>
      </c>
      <c r="E844"/>
      <c r="F844" s="14">
        <v>71</v>
      </c>
      <c r="G844" s="14">
        <v>76</v>
      </c>
      <c r="H844" s="14">
        <v>71</v>
      </c>
      <c r="I844" s="14">
        <v>71</v>
      </c>
      <c r="J844" s="14">
        <v>77</v>
      </c>
      <c r="K844" s="14">
        <v>183</v>
      </c>
      <c r="L844" s="14">
        <v>71</v>
      </c>
      <c r="M844" s="184">
        <v>75</v>
      </c>
      <c r="N844" s="14"/>
      <c r="O844" s="218">
        <v>58</v>
      </c>
      <c r="P844" s="218">
        <v>53</v>
      </c>
      <c r="Q844" s="218">
        <v>58</v>
      </c>
      <c r="R844" s="218">
        <v>58</v>
      </c>
      <c r="S844" s="218">
        <v>52</v>
      </c>
      <c r="T844" s="218">
        <v>0</v>
      </c>
      <c r="U844" s="218">
        <v>58</v>
      </c>
      <c r="V844" s="333">
        <v>54</v>
      </c>
      <c r="W844"/>
      <c r="X844" s="22">
        <f t="shared" si="125"/>
        <v>-300.00800544399993</v>
      </c>
      <c r="Y844" s="22">
        <f t="shared" si="126"/>
        <v>-594.36532402800003</v>
      </c>
      <c r="Z844" s="22">
        <f t="shared" si="127"/>
        <v>-199.16497840399998</v>
      </c>
      <c r="AA844" s="22">
        <f t="shared" si="128"/>
        <v>332.78198923200006</v>
      </c>
      <c r="AB844" s="22">
        <f t="shared" si="129"/>
        <v>246.369947096</v>
      </c>
      <c r="AC844" s="22">
        <f t="shared" si="130"/>
        <v>0</v>
      </c>
      <c r="AD844" s="22">
        <f t="shared" si="131"/>
        <v>70.59011892800001</v>
      </c>
      <c r="AE844" s="137">
        <f t="shared" si="132"/>
        <v>-262.88733945600001</v>
      </c>
      <c r="AF844" s="218">
        <v>724</v>
      </c>
      <c r="AG844" s="137">
        <f t="shared" si="133"/>
        <v>1430.683592076</v>
      </c>
    </row>
    <row r="845" spans="2:34" outlineLevel="1" x14ac:dyDescent="0.3">
      <c r="B845" s="114">
        <f t="shared" si="134"/>
        <v>43</v>
      </c>
      <c r="C845" s="114" t="s">
        <v>520</v>
      </c>
      <c r="D845" s="370">
        <v>68207114</v>
      </c>
      <c r="E845"/>
      <c r="F845" s="14">
        <v>77</v>
      </c>
      <c r="G845" s="14">
        <v>80</v>
      </c>
      <c r="H845" s="14">
        <v>80</v>
      </c>
      <c r="I845" s="14">
        <v>75</v>
      </c>
      <c r="J845" s="14">
        <v>183</v>
      </c>
      <c r="K845" s="14">
        <v>81</v>
      </c>
      <c r="L845" s="14">
        <v>81</v>
      </c>
      <c r="M845" s="184">
        <v>159</v>
      </c>
      <c r="N845" s="14"/>
      <c r="O845" s="218">
        <v>52</v>
      </c>
      <c r="P845" s="218">
        <v>49</v>
      </c>
      <c r="Q845" s="218">
        <v>49</v>
      </c>
      <c r="R845" s="218">
        <v>54</v>
      </c>
      <c r="S845" s="218">
        <v>0</v>
      </c>
      <c r="T845" s="218">
        <v>48</v>
      </c>
      <c r="U845" s="218">
        <v>48</v>
      </c>
      <c r="V845" s="333">
        <v>1</v>
      </c>
      <c r="W845"/>
      <c r="X845" s="22">
        <f t="shared" si="125"/>
        <v>-422.065621432</v>
      </c>
      <c r="Y845" s="22">
        <f t="shared" si="126"/>
        <v>-862.27433518800001</v>
      </c>
      <c r="Z845" s="22">
        <f t="shared" si="127"/>
        <v>-264.02973829400003</v>
      </c>
      <c r="AA845" s="22">
        <f t="shared" si="128"/>
        <v>486.18030859200002</v>
      </c>
      <c r="AB845" s="22">
        <f t="shared" si="129"/>
        <v>0</v>
      </c>
      <c r="AC845" s="22">
        <f t="shared" si="130"/>
        <v>311.02443984000001</v>
      </c>
      <c r="AD845" s="22">
        <f t="shared" si="131"/>
        <v>91.670361216000003</v>
      </c>
      <c r="AE845" s="137">
        <f t="shared" si="132"/>
        <v>-7.6391967680000006</v>
      </c>
      <c r="AF845" s="218">
        <v>37531</v>
      </c>
      <c r="AG845" s="137">
        <f t="shared" si="133"/>
        <v>38198.133782033998</v>
      </c>
    </row>
    <row r="846" spans="2:34" x14ac:dyDescent="0.3">
      <c r="B846" s="368"/>
      <c r="C846" s="368" t="s">
        <v>459</v>
      </c>
      <c r="D846" s="369">
        <f>SUM(D803:D845)</f>
        <v>747627702</v>
      </c>
      <c r="E846" s="52"/>
      <c r="F846" s="52"/>
      <c r="G846" s="52"/>
      <c r="H846" s="52"/>
      <c r="I846" s="52"/>
      <c r="J846" s="52"/>
      <c r="K846" s="52"/>
      <c r="L846" s="52"/>
      <c r="M846" s="368"/>
      <c r="N846" s="52"/>
      <c r="O846" s="367"/>
      <c r="P846" s="367"/>
      <c r="Q846" s="367"/>
      <c r="R846" s="367"/>
      <c r="S846" s="367"/>
      <c r="T846" s="367"/>
      <c r="U846" s="367"/>
      <c r="V846" s="366"/>
      <c r="W846" s="52"/>
      <c r="X846" s="367">
        <f t="shared" ref="X846:AG846" si="135">SUM(X803:X845)</f>
        <v>-5288.1695713210011</v>
      </c>
      <c r="Y846" s="367">
        <f t="shared" si="135"/>
        <v>-10126.225642542002</v>
      </c>
      <c r="Z846" s="367">
        <f t="shared" si="135"/>
        <v>-3518.1964333720007</v>
      </c>
      <c r="AA846" s="367">
        <f t="shared" si="135"/>
        <v>5418.9675229800005</v>
      </c>
      <c r="AB846" s="367">
        <f t="shared" si="135"/>
        <v>639.60242424100011</v>
      </c>
      <c r="AC846" s="367">
        <f t="shared" si="135"/>
        <v>2912.1087933399999</v>
      </c>
      <c r="AD846" s="367">
        <f t="shared" si="135"/>
        <v>949.0181828960001</v>
      </c>
      <c r="AE846" s="366">
        <f t="shared" si="135"/>
        <v>-5446.0780119199999</v>
      </c>
      <c r="AF846" s="367">
        <f t="shared" si="135"/>
        <v>172714</v>
      </c>
      <c r="AG846" s="366">
        <f t="shared" si="135"/>
        <v>187172.97273569804</v>
      </c>
      <c r="AH846" s="3">
        <f>AF846/AG846-1</f>
        <v>-7.7249255190893207E-2</v>
      </c>
    </row>
    <row r="847" spans="2:34" x14ac:dyDescent="0.3">
      <c r="B847" s="62" t="s">
        <v>521</v>
      </c>
      <c r="D847" s="26"/>
      <c r="X847" s="26"/>
      <c r="Y847" s="26"/>
      <c r="Z847" s="26"/>
      <c r="AA847" s="26"/>
      <c r="AB847" s="26"/>
      <c r="AC847" s="26"/>
      <c r="AD847" s="26"/>
      <c r="AE847" s="26"/>
      <c r="AF847" s="26"/>
      <c r="AG847" s="26"/>
    </row>
    <row r="848" spans="2:34" x14ac:dyDescent="0.3">
      <c r="D848" s="26"/>
      <c r="X848" s="26"/>
      <c r="Y848" s="26"/>
      <c r="Z848" s="26"/>
      <c r="AA848" s="26"/>
      <c r="AB848" s="26"/>
      <c r="AC848" s="26"/>
      <c r="AD848" s="26"/>
      <c r="AE848" s="26"/>
      <c r="AF848" s="26"/>
      <c r="AG848" s="26"/>
    </row>
    <row r="849" spans="2:33" x14ac:dyDescent="0.3">
      <c r="D849" s="26"/>
      <c r="X849" s="26"/>
      <c r="Y849" s="26"/>
      <c r="Z849" s="26"/>
      <c r="AA849" s="26"/>
      <c r="AB849" s="26"/>
      <c r="AC849" s="26"/>
      <c r="AD849" s="26"/>
      <c r="AE849" s="26"/>
      <c r="AF849" s="26"/>
      <c r="AG849" s="26"/>
    </row>
    <row r="850" spans="2:33" x14ac:dyDescent="0.3">
      <c r="B850" s="4" t="s">
        <v>522</v>
      </c>
    </row>
    <row r="851" spans="2:33" x14ac:dyDescent="0.3">
      <c r="B851" s="113"/>
      <c r="C851" s="113"/>
      <c r="D851" s="376" t="s">
        <v>339</v>
      </c>
      <c r="E851" s="9"/>
      <c r="F851" s="365" t="s">
        <v>463</v>
      </c>
      <c r="G851" s="375"/>
      <c r="H851" s="9"/>
      <c r="I851" s="9"/>
      <c r="J851" s="9"/>
      <c r="K851" s="9"/>
      <c r="L851" s="9"/>
      <c r="M851" s="113"/>
      <c r="N851" s="9"/>
      <c r="O851" s="365" t="s">
        <v>464</v>
      </c>
      <c r="P851" s="9"/>
      <c r="Q851" s="9"/>
      <c r="R851" s="9"/>
      <c r="S851" s="9"/>
      <c r="T851" s="9"/>
      <c r="U851" s="9"/>
      <c r="V851" s="113"/>
      <c r="W851" s="9"/>
      <c r="X851" s="365" t="s">
        <v>465</v>
      </c>
      <c r="Y851" s="9"/>
      <c r="Z851" s="9"/>
      <c r="AA851" s="9"/>
      <c r="AB851" s="9"/>
      <c r="AC851" s="9"/>
      <c r="AD851" s="9"/>
      <c r="AE851" s="113"/>
      <c r="AF851" s="365" t="s">
        <v>466</v>
      </c>
      <c r="AG851" s="113"/>
    </row>
    <row r="852" spans="2:33" x14ac:dyDescent="0.3">
      <c r="B852" s="42"/>
      <c r="C852" s="42"/>
      <c r="D852" s="374"/>
      <c r="E852" s="12"/>
      <c r="F852" s="12" t="s">
        <v>467</v>
      </c>
      <c r="G852" s="12" t="s">
        <v>468</v>
      </c>
      <c r="H852" s="12" t="s">
        <v>469</v>
      </c>
      <c r="I852" s="12" t="s">
        <v>470</v>
      </c>
      <c r="J852" s="12" t="s">
        <v>471</v>
      </c>
      <c r="K852" s="12" t="s">
        <v>472</v>
      </c>
      <c r="L852" s="12" t="s">
        <v>473</v>
      </c>
      <c r="M852" s="42" t="s">
        <v>474</v>
      </c>
      <c r="N852" s="12"/>
      <c r="O852" s="12" t="s">
        <v>467</v>
      </c>
      <c r="P852" s="12" t="s">
        <v>468</v>
      </c>
      <c r="Q852" s="12" t="s">
        <v>469</v>
      </c>
      <c r="R852" s="12" t="s">
        <v>470</v>
      </c>
      <c r="S852" s="12" t="s">
        <v>471</v>
      </c>
      <c r="T852" s="12" t="s">
        <v>472</v>
      </c>
      <c r="U852" s="12" t="s">
        <v>473</v>
      </c>
      <c r="V852" s="42" t="s">
        <v>474</v>
      </c>
      <c r="W852" s="12"/>
      <c r="X852" s="12" t="s">
        <v>93</v>
      </c>
      <c r="Y852" s="12" t="s">
        <v>94</v>
      </c>
      <c r="Z852" s="12" t="s">
        <v>95</v>
      </c>
      <c r="AA852" s="12" t="s">
        <v>96</v>
      </c>
      <c r="AB852" s="12" t="s">
        <v>97</v>
      </c>
      <c r="AC852" s="12" t="s">
        <v>98</v>
      </c>
      <c r="AD852" s="12" t="s">
        <v>99</v>
      </c>
      <c r="AE852" s="42" t="s">
        <v>100</v>
      </c>
      <c r="AF852" s="12" t="s">
        <v>475</v>
      </c>
      <c r="AG852" s="42" t="s">
        <v>476</v>
      </c>
    </row>
    <row r="853" spans="2:33" x14ac:dyDescent="0.3">
      <c r="B853" s="136"/>
      <c r="C853" s="136"/>
      <c r="D853" s="373"/>
      <c r="E853" s="5" t="s">
        <v>477</v>
      </c>
      <c r="F853" s="330">
        <f t="shared" ref="F853:M853" si="136">F802</f>
        <v>1</v>
      </c>
      <c r="G853" s="330">
        <f t="shared" si="136"/>
        <v>1</v>
      </c>
      <c r="H853" s="330">
        <f t="shared" si="136"/>
        <v>1</v>
      </c>
      <c r="I853" s="330">
        <f t="shared" si="136"/>
        <v>0</v>
      </c>
      <c r="J853" s="330">
        <f t="shared" si="136"/>
        <v>1</v>
      </c>
      <c r="K853" s="330">
        <f t="shared" si="136"/>
        <v>1</v>
      </c>
      <c r="L853" s="330">
        <f t="shared" si="136"/>
        <v>1</v>
      </c>
      <c r="M853" s="372">
        <f t="shared" si="136"/>
        <v>0</v>
      </c>
      <c r="N853" s="5"/>
      <c r="O853" s="5"/>
      <c r="P853" s="5"/>
      <c r="Q853" s="5"/>
      <c r="R853" s="5"/>
      <c r="S853" s="5"/>
      <c r="T853" s="5"/>
      <c r="U853" s="5"/>
      <c r="V853" s="136"/>
      <c r="W853" s="5" t="s">
        <v>2</v>
      </c>
      <c r="X853" s="330">
        <f>P913</f>
        <v>-0.11899999999999999</v>
      </c>
      <c r="Y853" s="330">
        <f>P914</f>
        <v>-0.25800000000000001</v>
      </c>
      <c r="Z853" s="330">
        <f>P915</f>
        <v>-7.9000000000000001E-2</v>
      </c>
      <c r="AA853" s="330">
        <f>P916</f>
        <v>0.13200000000000001</v>
      </c>
      <c r="AB853" s="330">
        <f>P917</f>
        <v>0.109</v>
      </c>
      <c r="AC853" s="330">
        <f>P918</f>
        <v>9.5000000000000001E-2</v>
      </c>
      <c r="AD853" s="330">
        <f>P919</f>
        <v>2.8000000000000001E-2</v>
      </c>
      <c r="AE853" s="372">
        <f>P920</f>
        <v>-0.112</v>
      </c>
      <c r="AF853" s="330"/>
      <c r="AG853" s="372"/>
    </row>
    <row r="854" spans="2:33" outlineLevel="1" x14ac:dyDescent="0.3">
      <c r="B854" s="114">
        <v>1</v>
      </c>
      <c r="C854" s="114" t="s">
        <v>342</v>
      </c>
      <c r="D854" s="370">
        <v>4903185</v>
      </c>
      <c r="E854"/>
      <c r="F854" s="14">
        <v>78</v>
      </c>
      <c r="G854" s="14">
        <v>76</v>
      </c>
      <c r="H854" s="14">
        <v>76</v>
      </c>
      <c r="I854" s="14">
        <v>76</v>
      </c>
      <c r="J854" s="14">
        <v>183</v>
      </c>
      <c r="K854" s="14">
        <v>83</v>
      </c>
      <c r="L854" s="14">
        <v>183</v>
      </c>
      <c r="M854" s="184">
        <v>61</v>
      </c>
      <c r="N854" s="14"/>
      <c r="O854" s="218">
        <v>51</v>
      </c>
      <c r="P854" s="218">
        <v>53</v>
      </c>
      <c r="Q854" s="218">
        <v>53</v>
      </c>
      <c r="R854" s="218">
        <v>53</v>
      </c>
      <c r="S854" s="218">
        <v>0</v>
      </c>
      <c r="T854" s="218">
        <v>46</v>
      </c>
      <c r="U854" s="218">
        <v>0</v>
      </c>
      <c r="V854" s="333">
        <v>68</v>
      </c>
      <c r="W854"/>
      <c r="X854" s="22">
        <f t="shared" ref="X854:X885" si="137">O854*X$802*$D854/1000000</f>
        <v>-29.757429765000001</v>
      </c>
      <c r="Y854" s="22">
        <f t="shared" ref="Y854:Y885" si="138">P854*Y$802*$D854/1000000</f>
        <v>-67.046151690000002</v>
      </c>
      <c r="Z854" s="22">
        <f t="shared" ref="Z854:Z885" si="139">Q854*Z$802*$D854/1000000</f>
        <v>-20.529635595000002</v>
      </c>
      <c r="AA854" s="22">
        <f t="shared" ref="AA854:AA885" si="140">R854*AA$802*$D854/1000000</f>
        <v>34.302682260000005</v>
      </c>
      <c r="AB854" s="22">
        <f t="shared" ref="AB854:AB885" si="141">S854*AB$802*$D854/1000000</f>
        <v>0</v>
      </c>
      <c r="AC854" s="22">
        <f t="shared" ref="AC854:AC885" si="142">T854*AC$802*$D854/1000000</f>
        <v>21.426918449999999</v>
      </c>
      <c r="AD854" s="22">
        <f t="shared" ref="AD854:AD885" si="143">U854*AD$802*$D854/1000000</f>
        <v>0</v>
      </c>
      <c r="AE854" s="371">
        <f t="shared" ref="AE854:AE885" si="144">V854*AE$802*$D854/1000000</f>
        <v>-37.342656959999999</v>
      </c>
      <c r="AF854" s="218">
        <v>646</v>
      </c>
      <c r="AG854" s="371">
        <f t="shared" ref="AG854:AG885" si="145">AF854-SUM(X854:AE854)</f>
        <v>744.94627330000003</v>
      </c>
    </row>
    <row r="855" spans="2:33" outlineLevel="1" x14ac:dyDescent="0.3">
      <c r="B855" s="114">
        <f t="shared" ref="B855:B886" si="146">B854+1</f>
        <v>2</v>
      </c>
      <c r="C855" s="114" t="s">
        <v>344</v>
      </c>
      <c r="D855" s="370">
        <v>731545</v>
      </c>
      <c r="E855"/>
      <c r="F855" s="14">
        <v>75</v>
      </c>
      <c r="G855" s="14">
        <v>75</v>
      </c>
      <c r="H855" s="14">
        <v>76</v>
      </c>
      <c r="I855" s="14">
        <v>75</v>
      </c>
      <c r="J855" s="14">
        <v>93</v>
      </c>
      <c r="K855" s="14">
        <v>81</v>
      </c>
      <c r="L855" s="14">
        <v>87</v>
      </c>
      <c r="M855" s="184">
        <v>61</v>
      </c>
      <c r="N855" s="14"/>
      <c r="O855" s="218">
        <v>54</v>
      </c>
      <c r="P855" s="218">
        <v>53</v>
      </c>
      <c r="Q855" s="218">
        <v>52</v>
      </c>
      <c r="R855" s="218">
        <v>54</v>
      </c>
      <c r="S855" s="218">
        <v>36</v>
      </c>
      <c r="T855" s="218">
        <v>33</v>
      </c>
      <c r="U855" s="218">
        <v>27</v>
      </c>
      <c r="V855" s="333">
        <v>68</v>
      </c>
      <c r="W855"/>
      <c r="X855" s="22">
        <f t="shared" si="137"/>
        <v>-4.7009081699999999</v>
      </c>
      <c r="Y855" s="22">
        <f t="shared" si="138"/>
        <v>-10.00314633</v>
      </c>
      <c r="Z855" s="22">
        <f t="shared" si="139"/>
        <v>-3.0051868599999998</v>
      </c>
      <c r="AA855" s="22">
        <f t="shared" si="140"/>
        <v>5.2144527599999995</v>
      </c>
      <c r="AB855" s="22">
        <f t="shared" si="141"/>
        <v>2.8705825800000002</v>
      </c>
      <c r="AC855" s="22">
        <f t="shared" si="142"/>
        <v>2.2933935750000001</v>
      </c>
      <c r="AD855" s="22">
        <f t="shared" si="143"/>
        <v>0.55304801999999997</v>
      </c>
      <c r="AE855" s="137">
        <f t="shared" si="144"/>
        <v>-5.5714467200000009</v>
      </c>
      <c r="AF855" s="218">
        <v>10</v>
      </c>
      <c r="AG855" s="137">
        <f t="shared" si="145"/>
        <v>22.349211144999998</v>
      </c>
    </row>
    <row r="856" spans="2:33" outlineLevel="1" x14ac:dyDescent="0.3">
      <c r="B856" s="114">
        <f t="shared" si="146"/>
        <v>3</v>
      </c>
      <c r="C856" s="114" t="s">
        <v>346</v>
      </c>
      <c r="D856" s="370">
        <v>7278717</v>
      </c>
      <c r="E856"/>
      <c r="F856" s="14">
        <v>75</v>
      </c>
      <c r="G856" s="14">
        <v>76</v>
      </c>
      <c r="H856" s="14">
        <v>120</v>
      </c>
      <c r="I856" s="14">
        <v>183</v>
      </c>
      <c r="J856" s="14">
        <v>136</v>
      </c>
      <c r="K856" s="14">
        <v>90</v>
      </c>
      <c r="L856" s="14">
        <v>99</v>
      </c>
      <c r="M856" s="184">
        <v>61</v>
      </c>
      <c r="N856" s="14"/>
      <c r="O856" s="218">
        <v>54</v>
      </c>
      <c r="P856" s="218">
        <v>53</v>
      </c>
      <c r="Q856" s="218">
        <v>9</v>
      </c>
      <c r="R856" s="218">
        <v>0</v>
      </c>
      <c r="S856" s="218">
        <v>0</v>
      </c>
      <c r="T856" s="218">
        <v>39</v>
      </c>
      <c r="U856" s="218">
        <v>30</v>
      </c>
      <c r="V856" s="333">
        <v>68</v>
      </c>
      <c r="W856"/>
      <c r="X856" s="22">
        <f t="shared" si="137"/>
        <v>-46.773035442000001</v>
      </c>
      <c r="Y856" s="22">
        <f t="shared" si="138"/>
        <v>-99.529176258000007</v>
      </c>
      <c r="Z856" s="22">
        <f t="shared" si="139"/>
        <v>-5.1751677869999995</v>
      </c>
      <c r="AA856" s="22">
        <f t="shared" si="140"/>
        <v>0</v>
      </c>
      <c r="AB856" s="22">
        <f t="shared" si="141"/>
        <v>0</v>
      </c>
      <c r="AC856" s="22">
        <f t="shared" si="142"/>
        <v>26.967646485</v>
      </c>
      <c r="AD856" s="22">
        <f t="shared" si="143"/>
        <v>6.1141222799999992</v>
      </c>
      <c r="AE856" s="137">
        <f t="shared" si="144"/>
        <v>-55.434708672000006</v>
      </c>
      <c r="AF856" s="218">
        <v>918</v>
      </c>
      <c r="AG856" s="137">
        <f t="shared" si="145"/>
        <v>1091.8303193940001</v>
      </c>
    </row>
    <row r="857" spans="2:33" outlineLevel="1" x14ac:dyDescent="0.3">
      <c r="B857" s="114">
        <f t="shared" si="146"/>
        <v>4</v>
      </c>
      <c r="C857" s="114" t="s">
        <v>348</v>
      </c>
      <c r="D857" s="370">
        <v>3017804</v>
      </c>
      <c r="E857"/>
      <c r="F857" s="14">
        <v>76</v>
      </c>
      <c r="G857" s="14">
        <v>76</v>
      </c>
      <c r="H857" s="14">
        <v>86</v>
      </c>
      <c r="I857" s="14">
        <v>86</v>
      </c>
      <c r="J857" s="14">
        <v>183</v>
      </c>
      <c r="K857" s="14">
        <v>183</v>
      </c>
      <c r="L857" s="14">
        <v>125</v>
      </c>
      <c r="M857" s="184">
        <v>61</v>
      </c>
      <c r="N857" s="14"/>
      <c r="O857" s="218">
        <v>53</v>
      </c>
      <c r="P857" s="218">
        <v>53</v>
      </c>
      <c r="Q857" s="218">
        <v>38</v>
      </c>
      <c r="R857" s="218">
        <v>43</v>
      </c>
      <c r="S857" s="218">
        <v>0</v>
      </c>
      <c r="T857" s="218">
        <v>0</v>
      </c>
      <c r="U857" s="218">
        <v>4</v>
      </c>
      <c r="V857" s="333">
        <v>68</v>
      </c>
      <c r="W857"/>
      <c r="X857" s="22">
        <f t="shared" si="137"/>
        <v>-19.033289827999997</v>
      </c>
      <c r="Y857" s="22">
        <f t="shared" si="138"/>
        <v>-41.265451895999995</v>
      </c>
      <c r="Z857" s="22">
        <f t="shared" si="139"/>
        <v>-9.059447608000001</v>
      </c>
      <c r="AA857" s="22">
        <f t="shared" si="140"/>
        <v>17.129055504</v>
      </c>
      <c r="AB857" s="22">
        <f t="shared" si="141"/>
        <v>0</v>
      </c>
      <c r="AC857" s="22">
        <f t="shared" si="142"/>
        <v>0</v>
      </c>
      <c r="AD857" s="22">
        <f t="shared" si="143"/>
        <v>0.33799404799999999</v>
      </c>
      <c r="AE857" s="137">
        <f t="shared" si="144"/>
        <v>-22.983595264000002</v>
      </c>
      <c r="AF857" s="218">
        <v>133</v>
      </c>
      <c r="AG857" s="137">
        <f t="shared" si="145"/>
        <v>207.874735044</v>
      </c>
    </row>
    <row r="858" spans="2:33" outlineLevel="1" x14ac:dyDescent="0.3">
      <c r="B858" s="114">
        <f t="shared" si="146"/>
        <v>5</v>
      </c>
      <c r="C858" s="114" t="s">
        <v>350</v>
      </c>
      <c r="D858" s="370">
        <v>39512223</v>
      </c>
      <c r="E858"/>
      <c r="F858" s="14">
        <v>72</v>
      </c>
      <c r="G858" s="14">
        <v>76</v>
      </c>
      <c r="H858" s="14">
        <v>70</v>
      </c>
      <c r="I858" s="14">
        <v>70</v>
      </c>
      <c r="J858" s="14">
        <v>183</v>
      </c>
      <c r="K858" s="14">
        <v>76</v>
      </c>
      <c r="L858" s="14">
        <v>78</v>
      </c>
      <c r="M858" s="184">
        <v>16</v>
      </c>
      <c r="N858" s="14"/>
      <c r="O858" s="218">
        <v>57</v>
      </c>
      <c r="P858" s="218">
        <v>53</v>
      </c>
      <c r="Q858" s="218">
        <v>59</v>
      </c>
      <c r="R858" s="218">
        <v>59</v>
      </c>
      <c r="S858" s="218">
        <v>0</v>
      </c>
      <c r="T858" s="218">
        <v>52</v>
      </c>
      <c r="U858" s="218">
        <v>50</v>
      </c>
      <c r="V858" s="333">
        <v>68</v>
      </c>
      <c r="W858"/>
      <c r="X858" s="22">
        <f t="shared" si="137"/>
        <v>-268.01140860899994</v>
      </c>
      <c r="Y858" s="22">
        <f t="shared" si="138"/>
        <v>-540.29013730199995</v>
      </c>
      <c r="Z858" s="22">
        <f t="shared" si="139"/>
        <v>-184.16647140300003</v>
      </c>
      <c r="AA858" s="22">
        <f t="shared" si="140"/>
        <v>307.72119272400005</v>
      </c>
      <c r="AB858" s="22">
        <f t="shared" si="141"/>
        <v>0</v>
      </c>
      <c r="AC858" s="22">
        <f t="shared" si="142"/>
        <v>195.19038162000001</v>
      </c>
      <c r="AD858" s="22">
        <f t="shared" si="143"/>
        <v>55.317112200000004</v>
      </c>
      <c r="AE858" s="137">
        <f t="shared" si="144"/>
        <v>-300.92509036800004</v>
      </c>
      <c r="AF858" s="218">
        <v>4158</v>
      </c>
      <c r="AG858" s="137">
        <f t="shared" si="145"/>
        <v>4893.1644211379999</v>
      </c>
    </row>
    <row r="859" spans="2:33" outlineLevel="1" x14ac:dyDescent="0.3">
      <c r="B859" s="114">
        <f t="shared" si="146"/>
        <v>6</v>
      </c>
      <c r="C859" s="114" t="s">
        <v>352</v>
      </c>
      <c r="D859" s="370">
        <v>5758736</v>
      </c>
      <c r="E859"/>
      <c r="F859" s="14">
        <v>75</v>
      </c>
      <c r="G859" s="14">
        <v>74</v>
      </c>
      <c r="H859" s="14">
        <v>78</v>
      </c>
      <c r="I859" s="14">
        <v>71</v>
      </c>
      <c r="J859" s="14">
        <v>183</v>
      </c>
      <c r="K859" s="14">
        <v>83</v>
      </c>
      <c r="L859" s="14">
        <v>117</v>
      </c>
      <c r="M859" s="184">
        <v>61</v>
      </c>
      <c r="N859" s="14"/>
      <c r="O859" s="218">
        <v>54</v>
      </c>
      <c r="P859" s="218">
        <v>55</v>
      </c>
      <c r="Q859" s="218">
        <v>51</v>
      </c>
      <c r="R859" s="218">
        <v>58</v>
      </c>
      <c r="S859" s="218">
        <v>0</v>
      </c>
      <c r="T859" s="218">
        <v>46</v>
      </c>
      <c r="U859" s="218">
        <v>12</v>
      </c>
      <c r="V859" s="333">
        <v>68</v>
      </c>
      <c r="W859"/>
      <c r="X859" s="22">
        <f t="shared" si="137"/>
        <v>-37.005637536000002</v>
      </c>
      <c r="Y859" s="22">
        <f t="shared" si="138"/>
        <v>-81.716463840000003</v>
      </c>
      <c r="Z859" s="22">
        <f t="shared" si="139"/>
        <v>-23.201947344000001</v>
      </c>
      <c r="AA859" s="22">
        <f t="shared" si="140"/>
        <v>44.088882816000002</v>
      </c>
      <c r="AB859" s="22">
        <f t="shared" si="141"/>
        <v>0</v>
      </c>
      <c r="AC859" s="22">
        <f t="shared" si="142"/>
        <v>25.165676319999999</v>
      </c>
      <c r="AD859" s="22">
        <f t="shared" si="143"/>
        <v>1.9349352960000001</v>
      </c>
      <c r="AE859" s="137">
        <f t="shared" si="144"/>
        <v>-43.858533376000004</v>
      </c>
      <c r="AF859" s="218">
        <v>1458</v>
      </c>
      <c r="AG859" s="137">
        <f t="shared" si="145"/>
        <v>1572.593087664</v>
      </c>
    </row>
    <row r="860" spans="2:33" outlineLevel="1" x14ac:dyDescent="0.3">
      <c r="B860" s="114">
        <f t="shared" si="146"/>
        <v>7</v>
      </c>
      <c r="C860" s="114" t="s">
        <v>353</v>
      </c>
      <c r="D860" s="370">
        <v>3565287</v>
      </c>
      <c r="E860"/>
      <c r="F860" s="14">
        <v>70</v>
      </c>
      <c r="G860" s="14">
        <v>75</v>
      </c>
      <c r="H860" s="14">
        <v>68</v>
      </c>
      <c r="I860" s="14">
        <v>71</v>
      </c>
      <c r="J860" s="14">
        <v>183</v>
      </c>
      <c r="K860" s="14">
        <v>183</v>
      </c>
      <c r="L860" s="14">
        <v>183</v>
      </c>
      <c r="M860" s="184">
        <v>61</v>
      </c>
      <c r="N860" s="14"/>
      <c r="O860" s="218">
        <v>59</v>
      </c>
      <c r="P860" s="218">
        <v>54</v>
      </c>
      <c r="Q860" s="218">
        <v>61</v>
      </c>
      <c r="R860" s="218">
        <v>58</v>
      </c>
      <c r="S860" s="218">
        <v>0</v>
      </c>
      <c r="T860" s="218">
        <v>0</v>
      </c>
      <c r="U860" s="218">
        <v>0</v>
      </c>
      <c r="V860" s="333">
        <v>68</v>
      </c>
      <c r="W860"/>
      <c r="X860" s="22">
        <f t="shared" si="137"/>
        <v>-25.031880027</v>
      </c>
      <c r="Y860" s="22">
        <f t="shared" si="138"/>
        <v>-49.671578484000008</v>
      </c>
      <c r="Z860" s="22">
        <f t="shared" si="139"/>
        <v>-17.181118052999999</v>
      </c>
      <c r="AA860" s="22">
        <f t="shared" si="140"/>
        <v>27.295837272000004</v>
      </c>
      <c r="AB860" s="22">
        <f t="shared" si="141"/>
        <v>0</v>
      </c>
      <c r="AC860" s="22">
        <f t="shared" si="142"/>
        <v>0</v>
      </c>
      <c r="AD860" s="22">
        <f t="shared" si="143"/>
        <v>0</v>
      </c>
      <c r="AE860" s="137">
        <f t="shared" si="144"/>
        <v>-27.153225792000004</v>
      </c>
      <c r="AF860" s="218">
        <v>3970</v>
      </c>
      <c r="AG860" s="137">
        <f t="shared" si="145"/>
        <v>4061.7419650840002</v>
      </c>
    </row>
    <row r="861" spans="2:33" outlineLevel="1" x14ac:dyDescent="0.3">
      <c r="B861" s="114">
        <f t="shared" si="146"/>
        <v>8</v>
      </c>
      <c r="C861" s="114" t="s">
        <v>354</v>
      </c>
      <c r="D861" s="370">
        <v>973764</v>
      </c>
      <c r="E861"/>
      <c r="F861" s="14">
        <v>75</v>
      </c>
      <c r="G861" s="14">
        <v>75</v>
      </c>
      <c r="H861" s="14">
        <v>75</v>
      </c>
      <c r="I861" s="14">
        <v>75</v>
      </c>
      <c r="J861" s="14">
        <v>183</v>
      </c>
      <c r="K861" s="14">
        <v>83</v>
      </c>
      <c r="L861" s="14">
        <v>89</v>
      </c>
      <c r="M861" s="184">
        <v>37</v>
      </c>
      <c r="N861" s="14"/>
      <c r="O861" s="218">
        <v>54</v>
      </c>
      <c r="P861" s="218">
        <v>54</v>
      </c>
      <c r="Q861" s="218">
        <v>54</v>
      </c>
      <c r="R861" s="218">
        <v>54</v>
      </c>
      <c r="S861" s="218">
        <v>0</v>
      </c>
      <c r="T861" s="218">
        <v>46</v>
      </c>
      <c r="U861" s="218">
        <v>40</v>
      </c>
      <c r="V861" s="333">
        <v>68</v>
      </c>
      <c r="W861"/>
      <c r="X861" s="22">
        <f t="shared" si="137"/>
        <v>-6.2574074639999999</v>
      </c>
      <c r="Y861" s="22">
        <f t="shared" si="138"/>
        <v>-13.566480048000001</v>
      </c>
      <c r="Z861" s="22">
        <f t="shared" si="139"/>
        <v>-4.1540772239999999</v>
      </c>
      <c r="AA861" s="22">
        <f t="shared" si="140"/>
        <v>6.9409897920000008</v>
      </c>
      <c r="AB861" s="22">
        <f t="shared" si="141"/>
        <v>0</v>
      </c>
      <c r="AC861" s="22">
        <f t="shared" si="142"/>
        <v>4.25534868</v>
      </c>
      <c r="AD861" s="22">
        <f t="shared" si="143"/>
        <v>1.0906156800000002</v>
      </c>
      <c r="AE861" s="137">
        <f t="shared" si="144"/>
        <v>-7.4161866240000007</v>
      </c>
      <c r="AF861" s="218">
        <v>500</v>
      </c>
      <c r="AG861" s="137">
        <f t="shared" si="145"/>
        <v>519.107197208</v>
      </c>
    </row>
    <row r="862" spans="2:33" outlineLevel="1" x14ac:dyDescent="0.3">
      <c r="B862" s="114">
        <f t="shared" si="146"/>
        <v>9</v>
      </c>
      <c r="C862" s="114" t="s">
        <v>355</v>
      </c>
      <c r="D862" s="370">
        <v>21477737</v>
      </c>
      <c r="E862"/>
      <c r="F862" s="14">
        <v>71</v>
      </c>
      <c r="G862" s="14">
        <v>75</v>
      </c>
      <c r="H862" s="14">
        <v>75</v>
      </c>
      <c r="I862" s="14">
        <v>76</v>
      </c>
      <c r="J862" s="14">
        <v>183</v>
      </c>
      <c r="K862" s="14">
        <v>75</v>
      </c>
      <c r="L862" s="14">
        <v>83</v>
      </c>
      <c r="M862" s="184">
        <v>61</v>
      </c>
      <c r="N862" s="14"/>
      <c r="O862" s="218">
        <v>58</v>
      </c>
      <c r="P862" s="218">
        <v>54</v>
      </c>
      <c r="Q862" s="218">
        <v>54</v>
      </c>
      <c r="R862" s="218">
        <v>53</v>
      </c>
      <c r="S862" s="218">
        <v>0</v>
      </c>
      <c r="T862" s="218">
        <v>54</v>
      </c>
      <c r="U862" s="218">
        <v>46</v>
      </c>
      <c r="V862" s="333">
        <v>68</v>
      </c>
      <c r="W862"/>
      <c r="X862" s="22">
        <f t="shared" si="137"/>
        <v>-148.239340774</v>
      </c>
      <c r="Y862" s="22">
        <f t="shared" si="138"/>
        <v>-299.22783188400001</v>
      </c>
      <c r="Z862" s="22">
        <f t="shared" si="139"/>
        <v>-91.624026041999997</v>
      </c>
      <c r="AA862" s="22">
        <f t="shared" si="140"/>
        <v>150.25824805200003</v>
      </c>
      <c r="AB862" s="22">
        <f t="shared" si="141"/>
        <v>0</v>
      </c>
      <c r="AC862" s="22">
        <f t="shared" si="142"/>
        <v>110.18079081</v>
      </c>
      <c r="AD862" s="22">
        <f t="shared" si="143"/>
        <v>27.663325256</v>
      </c>
      <c r="AE862" s="137">
        <f t="shared" si="144"/>
        <v>-163.57444499200002</v>
      </c>
      <c r="AF862" s="218">
        <v>2460</v>
      </c>
      <c r="AG862" s="137">
        <f t="shared" si="145"/>
        <v>2874.5632795739998</v>
      </c>
    </row>
    <row r="863" spans="2:33" outlineLevel="1" x14ac:dyDescent="0.3">
      <c r="B863" s="114">
        <f t="shared" si="146"/>
        <v>10</v>
      </c>
      <c r="C863" s="114" t="s">
        <v>357</v>
      </c>
      <c r="D863" s="370">
        <v>10617423</v>
      </c>
      <c r="E863"/>
      <c r="F863" s="14">
        <v>77</v>
      </c>
      <c r="G863" s="14">
        <v>82</v>
      </c>
      <c r="H863" s="14">
        <v>93</v>
      </c>
      <c r="I863" s="14">
        <v>92</v>
      </c>
      <c r="J863" s="14">
        <v>183</v>
      </c>
      <c r="K863" s="14">
        <v>80</v>
      </c>
      <c r="L863" s="14">
        <v>183</v>
      </c>
      <c r="M863" s="184">
        <v>61</v>
      </c>
      <c r="N863" s="14"/>
      <c r="O863" s="218">
        <v>52</v>
      </c>
      <c r="P863" s="218">
        <v>47</v>
      </c>
      <c r="Q863" s="218">
        <v>36</v>
      </c>
      <c r="R863" s="218">
        <v>37</v>
      </c>
      <c r="S863" s="218">
        <v>0</v>
      </c>
      <c r="T863" s="218">
        <v>49</v>
      </c>
      <c r="U863" s="218">
        <v>0</v>
      </c>
      <c r="V863" s="333">
        <v>68</v>
      </c>
      <c r="W863"/>
      <c r="X863" s="22">
        <f t="shared" si="137"/>
        <v>-65.700613523999991</v>
      </c>
      <c r="Y863" s="22">
        <f t="shared" si="138"/>
        <v>-128.746871298</v>
      </c>
      <c r="Z863" s="22">
        <f t="shared" si="139"/>
        <v>-30.195951011999998</v>
      </c>
      <c r="AA863" s="22">
        <f t="shared" si="140"/>
        <v>51.855493932000002</v>
      </c>
      <c r="AB863" s="22">
        <f t="shared" si="141"/>
        <v>0</v>
      </c>
      <c r="AC863" s="22">
        <f t="shared" si="142"/>
        <v>49.424104065000002</v>
      </c>
      <c r="AD863" s="22">
        <f t="shared" si="143"/>
        <v>0</v>
      </c>
      <c r="AE863" s="137">
        <f t="shared" si="144"/>
        <v>-80.862293567999998</v>
      </c>
      <c r="AF863" s="218">
        <v>2094</v>
      </c>
      <c r="AG863" s="137">
        <f t="shared" si="145"/>
        <v>2298.2261314050002</v>
      </c>
    </row>
    <row r="864" spans="2:33" outlineLevel="1" x14ac:dyDescent="0.3">
      <c r="B864" s="114">
        <f t="shared" si="146"/>
        <v>11</v>
      </c>
      <c r="C864" s="114" t="s">
        <v>359</v>
      </c>
      <c r="D864" s="370">
        <v>1415872</v>
      </c>
      <c r="E864"/>
      <c r="F864" s="14">
        <v>82</v>
      </c>
      <c r="G864" s="14">
        <v>79</v>
      </c>
      <c r="H864" s="14">
        <v>183</v>
      </c>
      <c r="I864" s="14">
        <v>84</v>
      </c>
      <c r="J864" s="14">
        <v>183</v>
      </c>
      <c r="K864" s="14">
        <v>84</v>
      </c>
      <c r="L864" s="14">
        <v>85</v>
      </c>
      <c r="M864" s="184">
        <v>61</v>
      </c>
      <c r="N864" s="14"/>
      <c r="O864" s="218">
        <v>47</v>
      </c>
      <c r="P864" s="218">
        <v>50</v>
      </c>
      <c r="Q864" s="218">
        <v>0</v>
      </c>
      <c r="R864" s="218">
        <v>45</v>
      </c>
      <c r="S864" s="218">
        <v>0</v>
      </c>
      <c r="T864" s="218">
        <v>45</v>
      </c>
      <c r="U864" s="218">
        <v>44</v>
      </c>
      <c r="V864" s="333">
        <v>68</v>
      </c>
      <c r="W864"/>
      <c r="X864" s="22">
        <f t="shared" si="137"/>
        <v>-7.9189720960000001</v>
      </c>
      <c r="Y864" s="22">
        <f t="shared" si="138"/>
        <v>-18.2647488</v>
      </c>
      <c r="Z864" s="22">
        <f t="shared" si="139"/>
        <v>0</v>
      </c>
      <c r="AA864" s="22">
        <f t="shared" si="140"/>
        <v>8.4102796800000004</v>
      </c>
      <c r="AB864" s="22">
        <f t="shared" si="141"/>
        <v>0</v>
      </c>
      <c r="AC864" s="22">
        <f t="shared" si="142"/>
        <v>6.052852800000001</v>
      </c>
      <c r="AD864" s="22">
        <f t="shared" si="143"/>
        <v>1.744354304</v>
      </c>
      <c r="AE864" s="137">
        <f t="shared" si="144"/>
        <v>-10.783281152000001</v>
      </c>
      <c r="AF864" s="218">
        <v>17</v>
      </c>
      <c r="AG864" s="137">
        <f t="shared" si="145"/>
        <v>37.759515264000001</v>
      </c>
    </row>
    <row r="865" spans="2:33" outlineLevel="1" x14ac:dyDescent="0.3">
      <c r="B865" s="114">
        <f t="shared" si="146"/>
        <v>12</v>
      </c>
      <c r="C865" s="114" t="s">
        <v>361</v>
      </c>
      <c r="D865" s="370">
        <v>1787065</v>
      </c>
      <c r="E865"/>
      <c r="F865" s="14">
        <v>82</v>
      </c>
      <c r="G865" s="14">
        <v>84</v>
      </c>
      <c r="H865" s="14">
        <v>84</v>
      </c>
      <c r="I865" s="14">
        <v>84</v>
      </c>
      <c r="J865" s="14">
        <v>121</v>
      </c>
      <c r="K865" s="14">
        <v>84</v>
      </c>
      <c r="L865" s="14">
        <v>84</v>
      </c>
      <c r="M865" s="184">
        <v>61</v>
      </c>
      <c r="N865" s="14"/>
      <c r="O865" s="218">
        <v>47</v>
      </c>
      <c r="P865" s="218">
        <v>45</v>
      </c>
      <c r="Q865" s="218">
        <v>45</v>
      </c>
      <c r="R865" s="218">
        <v>45</v>
      </c>
      <c r="S865" s="218">
        <v>0</v>
      </c>
      <c r="T865" s="218">
        <v>37</v>
      </c>
      <c r="U865" s="218">
        <v>37</v>
      </c>
      <c r="V865" s="333">
        <v>68</v>
      </c>
      <c r="W865"/>
      <c r="X865" s="22">
        <f t="shared" si="137"/>
        <v>-9.9950545450000003</v>
      </c>
      <c r="Y865" s="22">
        <f t="shared" si="138"/>
        <v>-20.747824649999998</v>
      </c>
      <c r="Z865" s="22">
        <f t="shared" si="139"/>
        <v>-6.3530160750000002</v>
      </c>
      <c r="AA865" s="22">
        <f t="shared" si="140"/>
        <v>10.615166100000001</v>
      </c>
      <c r="AB865" s="22">
        <f t="shared" si="141"/>
        <v>0</v>
      </c>
      <c r="AC865" s="22">
        <f t="shared" si="142"/>
        <v>6.2815334750000007</v>
      </c>
      <c r="AD865" s="22">
        <f t="shared" si="143"/>
        <v>1.8513993400000002</v>
      </c>
      <c r="AE865" s="137">
        <f t="shared" si="144"/>
        <v>-13.610287040000001</v>
      </c>
      <c r="AF865" s="218">
        <v>82</v>
      </c>
      <c r="AG865" s="137">
        <f t="shared" si="145"/>
        <v>113.95808339499999</v>
      </c>
    </row>
    <row r="866" spans="2:33" outlineLevel="1" x14ac:dyDescent="0.3">
      <c r="B866" s="114">
        <f t="shared" si="146"/>
        <v>13</v>
      </c>
      <c r="C866" s="114" t="s">
        <v>362</v>
      </c>
      <c r="D866" s="370">
        <v>12671821</v>
      </c>
      <c r="E866"/>
      <c r="F866" s="14">
        <v>76</v>
      </c>
      <c r="G866" s="14">
        <v>80</v>
      </c>
      <c r="H866" s="14">
        <v>80</v>
      </c>
      <c r="I866" s="14">
        <v>72</v>
      </c>
      <c r="J866" s="14">
        <v>183</v>
      </c>
      <c r="K866" s="14">
        <v>80</v>
      </c>
      <c r="L866" s="14">
        <v>80</v>
      </c>
      <c r="M866" s="184">
        <v>61</v>
      </c>
      <c r="N866" s="14"/>
      <c r="O866" s="218">
        <v>53</v>
      </c>
      <c r="P866" s="218">
        <v>49</v>
      </c>
      <c r="Q866" s="218">
        <v>49</v>
      </c>
      <c r="R866" s="218">
        <v>52</v>
      </c>
      <c r="S866" s="218">
        <v>0</v>
      </c>
      <c r="T866" s="218">
        <v>49</v>
      </c>
      <c r="U866" s="218">
        <v>49</v>
      </c>
      <c r="V866" s="333">
        <v>68</v>
      </c>
      <c r="W866"/>
      <c r="X866" s="22">
        <f t="shared" si="137"/>
        <v>-79.921175046999991</v>
      </c>
      <c r="Y866" s="22">
        <f t="shared" si="138"/>
        <v>-160.19716108199998</v>
      </c>
      <c r="Z866" s="22">
        <f t="shared" si="139"/>
        <v>-49.052619090999997</v>
      </c>
      <c r="AA866" s="22">
        <f t="shared" si="140"/>
        <v>86.979379344000009</v>
      </c>
      <c r="AB866" s="22">
        <f t="shared" si="141"/>
        <v>0</v>
      </c>
      <c r="AC866" s="22">
        <f t="shared" si="142"/>
        <v>58.987326755000005</v>
      </c>
      <c r="AD866" s="22">
        <f t="shared" si="143"/>
        <v>17.385738412000002</v>
      </c>
      <c r="AE866" s="137">
        <f t="shared" si="144"/>
        <v>-96.508588736000007</v>
      </c>
      <c r="AF866" s="218">
        <v>5412</v>
      </c>
      <c r="AG866" s="137">
        <f t="shared" si="145"/>
        <v>5634.3270994450004</v>
      </c>
    </row>
    <row r="867" spans="2:33" outlineLevel="1" x14ac:dyDescent="0.3">
      <c r="B867" s="114">
        <f t="shared" si="146"/>
        <v>14</v>
      </c>
      <c r="C867" s="114" t="s">
        <v>363</v>
      </c>
      <c r="D867" s="370">
        <v>6732219</v>
      </c>
      <c r="E867"/>
      <c r="F867" s="14">
        <v>72</v>
      </c>
      <c r="G867" s="14">
        <v>75</v>
      </c>
      <c r="H867" s="14">
        <v>75</v>
      </c>
      <c r="I867" s="14">
        <v>71</v>
      </c>
      <c r="J867" s="14">
        <v>152</v>
      </c>
      <c r="K867" s="14">
        <v>84</v>
      </c>
      <c r="L867" s="14">
        <v>183</v>
      </c>
      <c r="M867" s="184">
        <v>61</v>
      </c>
      <c r="N867" s="14"/>
      <c r="O867" s="218">
        <v>57</v>
      </c>
      <c r="P867" s="218">
        <v>54</v>
      </c>
      <c r="Q867" s="218">
        <v>54</v>
      </c>
      <c r="R867" s="218">
        <v>58</v>
      </c>
      <c r="S867" s="218">
        <v>0</v>
      </c>
      <c r="T867" s="218">
        <v>18</v>
      </c>
      <c r="U867" s="218">
        <v>0</v>
      </c>
      <c r="V867" s="333">
        <v>68</v>
      </c>
      <c r="W867"/>
      <c r="X867" s="22">
        <f t="shared" si="137"/>
        <v>-45.664641476999996</v>
      </c>
      <c r="Y867" s="22">
        <f t="shared" si="138"/>
        <v>-93.793275107999989</v>
      </c>
      <c r="Z867" s="22">
        <f t="shared" si="139"/>
        <v>-28.719646254000001</v>
      </c>
      <c r="AA867" s="22">
        <f t="shared" si="140"/>
        <v>51.541868664000006</v>
      </c>
      <c r="AB867" s="22">
        <f t="shared" si="141"/>
        <v>0</v>
      </c>
      <c r="AC867" s="22">
        <f t="shared" si="142"/>
        <v>11.512094490000001</v>
      </c>
      <c r="AD867" s="22">
        <f t="shared" si="143"/>
        <v>0</v>
      </c>
      <c r="AE867" s="137">
        <f t="shared" si="144"/>
        <v>-51.272579904000004</v>
      </c>
      <c r="AF867" s="218">
        <v>2133</v>
      </c>
      <c r="AG867" s="137">
        <f t="shared" si="145"/>
        <v>2289.396179589</v>
      </c>
    </row>
    <row r="868" spans="2:33" outlineLevel="1" x14ac:dyDescent="0.3">
      <c r="B868" s="114">
        <f t="shared" si="146"/>
        <v>15</v>
      </c>
      <c r="C868" s="114" t="s">
        <v>364</v>
      </c>
      <c r="D868" s="370">
        <v>3155070</v>
      </c>
      <c r="E868"/>
      <c r="F868" s="14">
        <v>92</v>
      </c>
      <c r="G868" s="14">
        <v>76</v>
      </c>
      <c r="H868" s="14">
        <v>76</v>
      </c>
      <c r="I868" s="14">
        <v>76</v>
      </c>
      <c r="J868" s="14">
        <v>183</v>
      </c>
      <c r="K868" s="14">
        <v>183</v>
      </c>
      <c r="L868" s="14">
        <v>183</v>
      </c>
      <c r="M868" s="184">
        <v>61</v>
      </c>
      <c r="N868" s="14"/>
      <c r="O868" s="218">
        <v>37</v>
      </c>
      <c r="P868" s="218">
        <v>53</v>
      </c>
      <c r="Q868" s="218">
        <v>53</v>
      </c>
      <c r="R868" s="218">
        <v>53</v>
      </c>
      <c r="S868" s="218">
        <v>0</v>
      </c>
      <c r="T868" s="218">
        <v>0</v>
      </c>
      <c r="U868" s="218">
        <v>0</v>
      </c>
      <c r="V868" s="333">
        <v>68</v>
      </c>
      <c r="W868"/>
      <c r="X868" s="22">
        <f t="shared" si="137"/>
        <v>-13.891773209999998</v>
      </c>
      <c r="Y868" s="22">
        <f t="shared" si="138"/>
        <v>-43.142427179999999</v>
      </c>
      <c r="Z868" s="22">
        <f t="shared" si="139"/>
        <v>-13.210278090000001</v>
      </c>
      <c r="AA868" s="22">
        <f t="shared" si="140"/>
        <v>22.072869720000003</v>
      </c>
      <c r="AB868" s="22">
        <f t="shared" si="141"/>
        <v>0</v>
      </c>
      <c r="AC868" s="22">
        <f t="shared" si="142"/>
        <v>0</v>
      </c>
      <c r="AD868" s="22">
        <f t="shared" si="143"/>
        <v>0</v>
      </c>
      <c r="AE868" s="137">
        <f t="shared" si="144"/>
        <v>-24.029013120000002</v>
      </c>
      <c r="AF868" s="218">
        <v>555</v>
      </c>
      <c r="AG868" s="137">
        <f t="shared" si="145"/>
        <v>627.20062187999997</v>
      </c>
    </row>
    <row r="869" spans="2:33" outlineLevel="1" x14ac:dyDescent="0.3">
      <c r="B869" s="114">
        <f t="shared" si="146"/>
        <v>16</v>
      </c>
      <c r="C869" s="114" t="s">
        <v>365</v>
      </c>
      <c r="D869" s="370">
        <v>2913314</v>
      </c>
      <c r="E869"/>
      <c r="F869" s="14">
        <v>76</v>
      </c>
      <c r="G869" s="14">
        <v>83</v>
      </c>
      <c r="H869" s="14">
        <v>76</v>
      </c>
      <c r="I869" s="14">
        <v>75</v>
      </c>
      <c r="J869" s="14">
        <v>183</v>
      </c>
      <c r="K869" s="14">
        <v>89</v>
      </c>
      <c r="L869" s="14">
        <v>183</v>
      </c>
      <c r="M869" s="184">
        <v>61</v>
      </c>
      <c r="N869" s="14"/>
      <c r="O869" s="218">
        <v>53</v>
      </c>
      <c r="P869" s="218">
        <v>46</v>
      </c>
      <c r="Q869" s="218">
        <v>53</v>
      </c>
      <c r="R869" s="218">
        <v>54</v>
      </c>
      <c r="S869" s="218">
        <v>0</v>
      </c>
      <c r="T869" s="218">
        <v>35</v>
      </c>
      <c r="U869" s="218">
        <v>0</v>
      </c>
      <c r="V869" s="333">
        <v>68</v>
      </c>
      <c r="W869"/>
      <c r="X869" s="22">
        <f t="shared" si="137"/>
        <v>-18.374271397999998</v>
      </c>
      <c r="Y869" s="22">
        <f t="shared" si="138"/>
        <v>-34.575210552000001</v>
      </c>
      <c r="Z869" s="22">
        <f t="shared" si="139"/>
        <v>-12.198045717999999</v>
      </c>
      <c r="AA869" s="22">
        <f t="shared" si="140"/>
        <v>20.766102192000002</v>
      </c>
      <c r="AB869" s="22">
        <f t="shared" si="141"/>
        <v>0</v>
      </c>
      <c r="AC869" s="22">
        <f t="shared" si="142"/>
        <v>9.6867690500000005</v>
      </c>
      <c r="AD869" s="22">
        <f t="shared" si="143"/>
        <v>0</v>
      </c>
      <c r="AE869" s="137">
        <f t="shared" si="144"/>
        <v>-22.187799424000001</v>
      </c>
      <c r="AF869" s="218">
        <v>217</v>
      </c>
      <c r="AG869" s="137">
        <f t="shared" si="145"/>
        <v>273.88245584999999</v>
      </c>
    </row>
    <row r="870" spans="2:33" outlineLevel="1" x14ac:dyDescent="0.3">
      <c r="B870" s="114">
        <f t="shared" si="146"/>
        <v>17</v>
      </c>
      <c r="C870" s="114" t="s">
        <v>367</v>
      </c>
      <c r="D870" s="370">
        <v>4467673</v>
      </c>
      <c r="E870"/>
      <c r="F870" s="14">
        <v>79</v>
      </c>
      <c r="G870" s="14">
        <v>73</v>
      </c>
      <c r="H870" s="14">
        <v>71</v>
      </c>
      <c r="I870" s="14">
        <v>78</v>
      </c>
      <c r="J870" s="14">
        <v>93</v>
      </c>
      <c r="K870" s="14">
        <v>85</v>
      </c>
      <c r="L870" s="14">
        <v>89</v>
      </c>
      <c r="M870" s="184">
        <v>61</v>
      </c>
      <c r="N870" s="14"/>
      <c r="O870" s="218">
        <v>50</v>
      </c>
      <c r="P870" s="218">
        <v>56</v>
      </c>
      <c r="Q870" s="218">
        <v>58</v>
      </c>
      <c r="R870" s="218">
        <v>51</v>
      </c>
      <c r="S870" s="218">
        <v>36</v>
      </c>
      <c r="T870" s="218">
        <v>44</v>
      </c>
      <c r="U870" s="218">
        <v>37</v>
      </c>
      <c r="V870" s="333">
        <v>68</v>
      </c>
      <c r="W870"/>
      <c r="X870" s="22">
        <f t="shared" si="137"/>
        <v>-26.582654349999999</v>
      </c>
      <c r="Y870" s="22">
        <f t="shared" si="138"/>
        <v>-64.548939504000003</v>
      </c>
      <c r="Z870" s="22">
        <f t="shared" si="139"/>
        <v>-20.470877686000001</v>
      </c>
      <c r="AA870" s="22">
        <f t="shared" si="140"/>
        <v>30.076374636000001</v>
      </c>
      <c r="AB870" s="22">
        <f t="shared" si="141"/>
        <v>17.531148851999998</v>
      </c>
      <c r="AC870" s="22">
        <f t="shared" si="142"/>
        <v>18.674873139999995</v>
      </c>
      <c r="AD870" s="22">
        <f t="shared" si="143"/>
        <v>4.6285092280000004</v>
      </c>
      <c r="AE870" s="137">
        <f t="shared" si="144"/>
        <v>-34.025797568000002</v>
      </c>
      <c r="AF870" s="218">
        <v>439</v>
      </c>
      <c r="AG870" s="137">
        <f t="shared" si="145"/>
        <v>513.71736325200004</v>
      </c>
    </row>
    <row r="871" spans="2:33" outlineLevel="1" x14ac:dyDescent="0.3">
      <c r="B871" s="114">
        <f t="shared" si="146"/>
        <v>18</v>
      </c>
      <c r="C871" s="114" t="s">
        <v>369</v>
      </c>
      <c r="D871" s="370">
        <v>4648794</v>
      </c>
      <c r="E871"/>
      <c r="F871" s="14">
        <v>75</v>
      </c>
      <c r="G871" s="14">
        <v>73</v>
      </c>
      <c r="H871" s="14">
        <v>69</v>
      </c>
      <c r="I871" s="14">
        <v>72</v>
      </c>
      <c r="J871" s="14">
        <v>183</v>
      </c>
      <c r="K871" s="14">
        <v>82</v>
      </c>
      <c r="L871" s="14">
        <v>183</v>
      </c>
      <c r="M871" s="184">
        <v>61</v>
      </c>
      <c r="N871" s="14"/>
      <c r="O871" s="218">
        <v>54</v>
      </c>
      <c r="P871" s="218">
        <v>56</v>
      </c>
      <c r="Q871" s="218">
        <v>60</v>
      </c>
      <c r="R871" s="218">
        <v>57</v>
      </c>
      <c r="S871" s="218">
        <v>0</v>
      </c>
      <c r="T871" s="218">
        <v>47</v>
      </c>
      <c r="U871" s="218">
        <v>0</v>
      </c>
      <c r="V871" s="333">
        <v>68</v>
      </c>
      <c r="W871"/>
      <c r="X871" s="22">
        <f t="shared" si="137"/>
        <v>-29.873150243999998</v>
      </c>
      <c r="Y871" s="22">
        <f t="shared" si="138"/>
        <v>-67.165775711999999</v>
      </c>
      <c r="Z871" s="22">
        <f t="shared" si="139"/>
        <v>-22.035283560000003</v>
      </c>
      <c r="AA871" s="22">
        <f t="shared" si="140"/>
        <v>34.977526056000002</v>
      </c>
      <c r="AB871" s="22">
        <f t="shared" si="141"/>
        <v>0</v>
      </c>
      <c r="AC871" s="22">
        <f t="shared" si="142"/>
        <v>20.756865210000001</v>
      </c>
      <c r="AD871" s="22">
        <f t="shared" si="143"/>
        <v>0</v>
      </c>
      <c r="AE871" s="137">
        <f t="shared" si="144"/>
        <v>-35.405215104</v>
      </c>
      <c r="AF871" s="218">
        <v>2801</v>
      </c>
      <c r="AG871" s="137">
        <f t="shared" si="145"/>
        <v>2899.745033354</v>
      </c>
    </row>
    <row r="872" spans="2:33" outlineLevel="1" x14ac:dyDescent="0.3">
      <c r="B872" s="114">
        <f t="shared" si="146"/>
        <v>19</v>
      </c>
      <c r="C872" s="114" t="s">
        <v>371</v>
      </c>
      <c r="D872" s="370">
        <v>1344212</v>
      </c>
      <c r="E872"/>
      <c r="F872" s="14">
        <v>74</v>
      </c>
      <c r="G872" s="14">
        <v>84</v>
      </c>
      <c r="H872" s="14">
        <v>74</v>
      </c>
      <c r="I872" s="14">
        <v>74</v>
      </c>
      <c r="J872" s="14">
        <v>84</v>
      </c>
      <c r="K872" s="14">
        <v>84</v>
      </c>
      <c r="L872" s="14">
        <v>93</v>
      </c>
      <c r="M872" s="184">
        <v>61</v>
      </c>
      <c r="N872" s="14"/>
      <c r="O872" s="218">
        <v>55</v>
      </c>
      <c r="P872" s="218">
        <v>45</v>
      </c>
      <c r="Q872" s="218">
        <v>55</v>
      </c>
      <c r="R872" s="218">
        <v>55</v>
      </c>
      <c r="S872" s="218">
        <v>45</v>
      </c>
      <c r="T872" s="218">
        <v>45</v>
      </c>
      <c r="U872" s="218">
        <v>36</v>
      </c>
      <c r="V872" s="333">
        <v>68</v>
      </c>
      <c r="W872"/>
      <c r="X872" s="22">
        <f t="shared" si="137"/>
        <v>-8.7978675399999986</v>
      </c>
      <c r="Y872" s="22">
        <f t="shared" si="138"/>
        <v>-15.606301319999998</v>
      </c>
      <c r="Z872" s="22">
        <f t="shared" si="139"/>
        <v>-5.8406011399999995</v>
      </c>
      <c r="AA872" s="22">
        <f t="shared" si="140"/>
        <v>9.7589791200000011</v>
      </c>
      <c r="AB872" s="22">
        <f t="shared" si="141"/>
        <v>6.5933598600000005</v>
      </c>
      <c r="AC872" s="22">
        <f t="shared" si="142"/>
        <v>5.746506300000001</v>
      </c>
      <c r="AD872" s="22">
        <f t="shared" si="143"/>
        <v>1.3549656960000001</v>
      </c>
      <c r="AE872" s="137">
        <f t="shared" si="144"/>
        <v>-10.237518592000001</v>
      </c>
      <c r="AF872" s="218">
        <v>89</v>
      </c>
      <c r="AG872" s="137">
        <f t="shared" si="145"/>
        <v>106.028477616</v>
      </c>
    </row>
    <row r="873" spans="2:33" outlineLevel="1" x14ac:dyDescent="0.3">
      <c r="B873" s="114">
        <f t="shared" si="146"/>
        <v>20</v>
      </c>
      <c r="C873" s="114" t="s">
        <v>372</v>
      </c>
      <c r="D873" s="370">
        <v>6045680</v>
      </c>
      <c r="E873"/>
      <c r="F873" s="14">
        <v>75</v>
      </c>
      <c r="G873" s="14">
        <v>75</v>
      </c>
      <c r="H873" s="14">
        <v>71</v>
      </c>
      <c r="I873" s="14">
        <v>71</v>
      </c>
      <c r="J873" s="14">
        <v>96</v>
      </c>
      <c r="K873" s="14">
        <v>89</v>
      </c>
      <c r="L873" s="14">
        <v>89</v>
      </c>
      <c r="M873" s="184">
        <v>61</v>
      </c>
      <c r="N873" s="14"/>
      <c r="O873" s="218">
        <v>54</v>
      </c>
      <c r="P873" s="218">
        <v>54</v>
      </c>
      <c r="Q873" s="218">
        <v>58</v>
      </c>
      <c r="R873" s="218">
        <v>58</v>
      </c>
      <c r="S873" s="218">
        <v>33</v>
      </c>
      <c r="T873" s="218">
        <v>40</v>
      </c>
      <c r="U873" s="218">
        <v>40</v>
      </c>
      <c r="V873" s="333">
        <v>68</v>
      </c>
      <c r="W873"/>
      <c r="X873" s="22">
        <f t="shared" si="137"/>
        <v>-38.849539679999999</v>
      </c>
      <c r="Y873" s="22">
        <f t="shared" si="138"/>
        <v>-84.228413760000009</v>
      </c>
      <c r="Z873" s="22">
        <f t="shared" si="139"/>
        <v>-27.701305759999997</v>
      </c>
      <c r="AA873" s="22">
        <f t="shared" si="140"/>
        <v>46.285726080000003</v>
      </c>
      <c r="AB873" s="22">
        <f t="shared" si="141"/>
        <v>21.746310960000002</v>
      </c>
      <c r="AC873" s="22">
        <f t="shared" si="142"/>
        <v>22.973583999999999</v>
      </c>
      <c r="AD873" s="22">
        <f t="shared" si="143"/>
        <v>6.771161600000001</v>
      </c>
      <c r="AE873" s="137">
        <f t="shared" si="144"/>
        <v>-46.04389888</v>
      </c>
      <c r="AF873" s="218">
        <v>2552</v>
      </c>
      <c r="AG873" s="137">
        <f t="shared" si="145"/>
        <v>2651.0463754399998</v>
      </c>
    </row>
    <row r="874" spans="2:33" outlineLevel="1" x14ac:dyDescent="0.3">
      <c r="B874" s="114">
        <f t="shared" si="146"/>
        <v>21</v>
      </c>
      <c r="C874" s="114" t="s">
        <v>373</v>
      </c>
      <c r="D874" s="370">
        <v>6892503</v>
      </c>
      <c r="E874"/>
      <c r="F874" s="14">
        <v>71</v>
      </c>
      <c r="G874" s="14">
        <v>83</v>
      </c>
      <c r="H874" s="14">
        <v>72</v>
      </c>
      <c r="I874" s="14">
        <v>72</v>
      </c>
      <c r="J874" s="14">
        <v>183</v>
      </c>
      <c r="K874" s="14">
        <v>183</v>
      </c>
      <c r="L874" s="14">
        <v>183</v>
      </c>
      <c r="M874" s="184">
        <v>61</v>
      </c>
      <c r="N874" s="14"/>
      <c r="O874" s="218">
        <v>58</v>
      </c>
      <c r="P874" s="218">
        <v>46</v>
      </c>
      <c r="Q874" s="218">
        <v>57</v>
      </c>
      <c r="R874" s="218">
        <v>57</v>
      </c>
      <c r="S874" s="218">
        <v>0</v>
      </c>
      <c r="T874" s="218">
        <v>0</v>
      </c>
      <c r="U874" s="218">
        <v>0</v>
      </c>
      <c r="V874" s="333">
        <v>68</v>
      </c>
      <c r="W874"/>
      <c r="X874" s="22">
        <f t="shared" si="137"/>
        <v>-47.572055705999993</v>
      </c>
      <c r="Y874" s="22">
        <f t="shared" si="138"/>
        <v>-81.800225604000005</v>
      </c>
      <c r="Z874" s="22">
        <f t="shared" si="139"/>
        <v>-31.036941009</v>
      </c>
      <c r="AA874" s="22">
        <f t="shared" si="140"/>
        <v>51.859192571999998</v>
      </c>
      <c r="AB874" s="22">
        <f t="shared" si="141"/>
        <v>0</v>
      </c>
      <c r="AC874" s="22">
        <f t="shared" si="142"/>
        <v>0</v>
      </c>
      <c r="AD874" s="22">
        <f t="shared" si="143"/>
        <v>0</v>
      </c>
      <c r="AE874" s="137">
        <f t="shared" si="144"/>
        <v>-52.493302848000006</v>
      </c>
      <c r="AF874" s="218">
        <v>7035</v>
      </c>
      <c r="AG874" s="137">
        <f t="shared" si="145"/>
        <v>7196.0433325949998</v>
      </c>
    </row>
    <row r="875" spans="2:33" outlineLevel="1" x14ac:dyDescent="0.3">
      <c r="B875" s="114">
        <f t="shared" si="146"/>
        <v>22</v>
      </c>
      <c r="C875" s="114" t="s">
        <v>374</v>
      </c>
      <c r="D875" s="370">
        <v>9986857</v>
      </c>
      <c r="E875"/>
      <c r="F875" s="14">
        <v>75</v>
      </c>
      <c r="G875" s="14">
        <v>75</v>
      </c>
      <c r="H875" s="14">
        <v>75</v>
      </c>
      <c r="I875" s="14">
        <v>72</v>
      </c>
      <c r="J875" s="14">
        <v>183</v>
      </c>
      <c r="K875" s="14">
        <v>83</v>
      </c>
      <c r="L875" s="14">
        <v>83</v>
      </c>
      <c r="M875" s="184">
        <v>27</v>
      </c>
      <c r="N875" s="14"/>
      <c r="O875" s="218">
        <v>54</v>
      </c>
      <c r="P875" s="218">
        <v>54</v>
      </c>
      <c r="Q875" s="218">
        <v>54</v>
      </c>
      <c r="R875" s="218">
        <v>57</v>
      </c>
      <c r="S875" s="218">
        <v>0</v>
      </c>
      <c r="T875" s="218">
        <v>46</v>
      </c>
      <c r="U875" s="218">
        <v>46</v>
      </c>
      <c r="V875" s="333">
        <v>68</v>
      </c>
      <c r="W875"/>
      <c r="X875" s="22">
        <f t="shared" si="137"/>
        <v>-64.175543082000004</v>
      </c>
      <c r="Y875" s="22">
        <f t="shared" si="138"/>
        <v>-139.13689172400001</v>
      </c>
      <c r="Z875" s="22">
        <f t="shared" si="139"/>
        <v>-42.603931961999997</v>
      </c>
      <c r="AA875" s="22">
        <f t="shared" si="140"/>
        <v>75.141112067999998</v>
      </c>
      <c r="AB875" s="22">
        <f t="shared" si="141"/>
        <v>0</v>
      </c>
      <c r="AC875" s="22">
        <f t="shared" si="142"/>
        <v>43.642565090000005</v>
      </c>
      <c r="AD875" s="22">
        <f t="shared" si="143"/>
        <v>12.863071816</v>
      </c>
      <c r="AE875" s="137">
        <f t="shared" si="144"/>
        <v>-76.059902911999998</v>
      </c>
      <c r="AF875" s="218">
        <v>5758</v>
      </c>
      <c r="AG875" s="137">
        <f t="shared" si="145"/>
        <v>5948.329520706</v>
      </c>
    </row>
    <row r="876" spans="2:33" outlineLevel="1" x14ac:dyDescent="0.3">
      <c r="B876" s="114">
        <f t="shared" si="146"/>
        <v>23</v>
      </c>
      <c r="C876" s="114" t="s">
        <v>375</v>
      </c>
      <c r="D876" s="370">
        <v>5639632</v>
      </c>
      <c r="E876"/>
      <c r="F876" s="14">
        <v>77</v>
      </c>
      <c r="G876" s="14">
        <v>76</v>
      </c>
      <c r="H876" s="14">
        <v>74</v>
      </c>
      <c r="I876" s="14">
        <v>72</v>
      </c>
      <c r="J876" s="14">
        <v>183</v>
      </c>
      <c r="K876" s="14">
        <v>86</v>
      </c>
      <c r="L876" s="14">
        <v>86</v>
      </c>
      <c r="M876" s="184">
        <v>28</v>
      </c>
      <c r="N876" s="14"/>
      <c r="O876" s="218">
        <v>52</v>
      </c>
      <c r="P876" s="218">
        <v>53</v>
      </c>
      <c r="Q876" s="218">
        <v>55</v>
      </c>
      <c r="R876" s="218">
        <v>57</v>
      </c>
      <c r="S876" s="218">
        <v>0</v>
      </c>
      <c r="T876" s="218">
        <v>43</v>
      </c>
      <c r="U876" s="218">
        <v>12</v>
      </c>
      <c r="V876" s="333">
        <v>68</v>
      </c>
      <c r="W876"/>
      <c r="X876" s="22">
        <f t="shared" si="137"/>
        <v>-34.898042816</v>
      </c>
      <c r="Y876" s="22">
        <f t="shared" si="138"/>
        <v>-77.116327967999993</v>
      </c>
      <c r="Z876" s="22">
        <f t="shared" si="139"/>
        <v>-24.504201039999998</v>
      </c>
      <c r="AA876" s="22">
        <f t="shared" si="140"/>
        <v>42.432591167999995</v>
      </c>
      <c r="AB876" s="22">
        <f t="shared" si="141"/>
        <v>0</v>
      </c>
      <c r="AC876" s="22">
        <f t="shared" si="142"/>
        <v>23.037896719999999</v>
      </c>
      <c r="AD876" s="22">
        <f t="shared" si="143"/>
        <v>1.8949163520000001</v>
      </c>
      <c r="AE876" s="137">
        <f t="shared" si="144"/>
        <v>-42.951437312000003</v>
      </c>
      <c r="AF876" s="218">
        <v>1060</v>
      </c>
      <c r="AG876" s="137">
        <f t="shared" si="145"/>
        <v>1172.104604896</v>
      </c>
    </row>
    <row r="877" spans="2:33" outlineLevel="1" x14ac:dyDescent="0.3">
      <c r="B877" s="114">
        <f t="shared" si="146"/>
        <v>24</v>
      </c>
      <c r="C877" s="114" t="s">
        <v>377</v>
      </c>
      <c r="D877" s="370">
        <v>2976149</v>
      </c>
      <c r="E877"/>
      <c r="F877" s="14">
        <v>78</v>
      </c>
      <c r="G877" s="14">
        <v>114</v>
      </c>
      <c r="H877" s="14">
        <v>83</v>
      </c>
      <c r="I877" s="14">
        <v>93</v>
      </c>
      <c r="J877" s="14">
        <v>183</v>
      </c>
      <c r="K877" s="14">
        <v>93</v>
      </c>
      <c r="L877" s="14">
        <v>183</v>
      </c>
      <c r="M877" s="184">
        <v>61</v>
      </c>
      <c r="N877" s="14"/>
      <c r="O877" s="218">
        <v>51</v>
      </c>
      <c r="P877" s="218">
        <v>15</v>
      </c>
      <c r="Q877" s="218">
        <v>46</v>
      </c>
      <c r="R877" s="218">
        <v>36</v>
      </c>
      <c r="S877" s="218">
        <v>0</v>
      </c>
      <c r="T877" s="218">
        <v>36</v>
      </c>
      <c r="U877" s="218">
        <v>0</v>
      </c>
      <c r="V877" s="333">
        <v>68</v>
      </c>
      <c r="W877"/>
      <c r="X877" s="22">
        <f t="shared" si="137"/>
        <v>-18.062248280999999</v>
      </c>
      <c r="Y877" s="22">
        <f t="shared" si="138"/>
        <v>-11.517696630000001</v>
      </c>
      <c r="Z877" s="22">
        <f t="shared" si="139"/>
        <v>-10.815325466000001</v>
      </c>
      <c r="AA877" s="22">
        <f t="shared" si="140"/>
        <v>14.142660048000002</v>
      </c>
      <c r="AB877" s="22">
        <f t="shared" si="141"/>
        <v>0</v>
      </c>
      <c r="AC877" s="22">
        <f t="shared" si="142"/>
        <v>10.17842958</v>
      </c>
      <c r="AD877" s="22">
        <f t="shared" si="143"/>
        <v>0</v>
      </c>
      <c r="AE877" s="137">
        <f t="shared" si="144"/>
        <v>-22.666350784000002</v>
      </c>
      <c r="AF877" s="218">
        <v>739</v>
      </c>
      <c r="AG877" s="137">
        <f t="shared" si="145"/>
        <v>777.74053153299997</v>
      </c>
    </row>
    <row r="878" spans="2:33" outlineLevel="1" x14ac:dyDescent="0.3">
      <c r="B878" s="114">
        <f t="shared" si="146"/>
        <v>25</v>
      </c>
      <c r="C878" s="114" t="s">
        <v>379</v>
      </c>
      <c r="D878" s="370">
        <v>6137428</v>
      </c>
      <c r="E878"/>
      <c r="F878" s="14">
        <v>76</v>
      </c>
      <c r="G878" s="14">
        <v>96</v>
      </c>
      <c r="H878" s="14">
        <v>72</v>
      </c>
      <c r="I878" s="14">
        <v>72</v>
      </c>
      <c r="J878" s="14">
        <v>183</v>
      </c>
      <c r="K878" s="14">
        <v>82</v>
      </c>
      <c r="L878" s="14">
        <v>183</v>
      </c>
      <c r="M878" s="184">
        <v>61</v>
      </c>
      <c r="N878" s="14"/>
      <c r="O878" s="218">
        <v>53</v>
      </c>
      <c r="P878" s="218">
        <v>33</v>
      </c>
      <c r="Q878" s="218">
        <v>57</v>
      </c>
      <c r="R878" s="218">
        <v>57</v>
      </c>
      <c r="S878" s="218">
        <v>0</v>
      </c>
      <c r="T878" s="218">
        <v>47</v>
      </c>
      <c r="U878" s="218">
        <v>0</v>
      </c>
      <c r="V878" s="333">
        <v>68</v>
      </c>
      <c r="W878"/>
      <c r="X878" s="22">
        <f t="shared" si="137"/>
        <v>-38.708758396</v>
      </c>
      <c r="Y878" s="22">
        <f t="shared" si="138"/>
        <v>-52.254061991999997</v>
      </c>
      <c r="Z878" s="22">
        <f t="shared" si="139"/>
        <v>-27.636838284000003</v>
      </c>
      <c r="AA878" s="22">
        <f t="shared" si="140"/>
        <v>46.178008272</v>
      </c>
      <c r="AB878" s="22">
        <f t="shared" si="141"/>
        <v>0</v>
      </c>
      <c r="AC878" s="22">
        <f t="shared" si="142"/>
        <v>27.403616020000001</v>
      </c>
      <c r="AD878" s="22">
        <f t="shared" si="143"/>
        <v>0</v>
      </c>
      <c r="AE878" s="137">
        <f t="shared" si="144"/>
        <v>-46.742651647999999</v>
      </c>
      <c r="AF878" s="218">
        <v>823</v>
      </c>
      <c r="AG878" s="137">
        <f t="shared" si="145"/>
        <v>914.76068602800001</v>
      </c>
    </row>
    <row r="879" spans="2:33" outlineLevel="1" x14ac:dyDescent="0.3">
      <c r="B879" s="114">
        <f t="shared" si="146"/>
        <v>26</v>
      </c>
      <c r="C879" s="114" t="s">
        <v>380</v>
      </c>
      <c r="D879" s="370">
        <v>1068778</v>
      </c>
      <c r="E879"/>
      <c r="F879" s="14">
        <v>74</v>
      </c>
      <c r="G879" s="14">
        <v>75</v>
      </c>
      <c r="H879" s="14">
        <v>87</v>
      </c>
      <c r="I879" s="14">
        <v>74</v>
      </c>
      <c r="J879" s="14">
        <v>183</v>
      </c>
      <c r="K879" s="14">
        <v>86</v>
      </c>
      <c r="L879" s="14">
        <v>183</v>
      </c>
      <c r="M879" s="184">
        <v>61</v>
      </c>
      <c r="N879" s="14"/>
      <c r="O879" s="218">
        <v>55</v>
      </c>
      <c r="P879" s="218">
        <v>54</v>
      </c>
      <c r="Q879" s="218">
        <v>42</v>
      </c>
      <c r="R879" s="218">
        <v>55</v>
      </c>
      <c r="S879" s="218">
        <v>0</v>
      </c>
      <c r="T879" s="218">
        <v>43</v>
      </c>
      <c r="U879" s="218">
        <v>0</v>
      </c>
      <c r="V879" s="333">
        <v>68</v>
      </c>
      <c r="W879"/>
      <c r="X879" s="22">
        <f t="shared" si="137"/>
        <v>-6.99515201</v>
      </c>
      <c r="Y879" s="22">
        <f t="shared" si="138"/>
        <v>-14.890215096</v>
      </c>
      <c r="Z879" s="22">
        <f t="shared" si="139"/>
        <v>-3.5462054040000002</v>
      </c>
      <c r="AA879" s="22">
        <f t="shared" si="140"/>
        <v>7.7593282800000001</v>
      </c>
      <c r="AB879" s="22">
        <f t="shared" si="141"/>
        <v>0</v>
      </c>
      <c r="AC879" s="22">
        <f t="shared" si="142"/>
        <v>4.3659581300000001</v>
      </c>
      <c r="AD879" s="22">
        <f t="shared" si="143"/>
        <v>0</v>
      </c>
      <c r="AE879" s="137">
        <f t="shared" si="144"/>
        <v>-8.1398132480000012</v>
      </c>
      <c r="AF879" s="218">
        <v>17</v>
      </c>
      <c r="AG879" s="137">
        <f t="shared" si="145"/>
        <v>38.446099348000004</v>
      </c>
    </row>
    <row r="880" spans="2:33" outlineLevel="1" x14ac:dyDescent="0.3">
      <c r="B880" s="114">
        <f t="shared" si="146"/>
        <v>27</v>
      </c>
      <c r="C880" s="114" t="s">
        <v>381</v>
      </c>
      <c r="D880" s="370">
        <v>1934408</v>
      </c>
      <c r="E880"/>
      <c r="F880" s="14">
        <v>73</v>
      </c>
      <c r="G880" s="14">
        <v>78</v>
      </c>
      <c r="H880" s="14">
        <v>75</v>
      </c>
      <c r="I880" s="14">
        <v>78</v>
      </c>
      <c r="J880" s="14">
        <v>183</v>
      </c>
      <c r="K880" s="14">
        <v>183</v>
      </c>
      <c r="L880" s="14">
        <v>183</v>
      </c>
      <c r="M880" s="184">
        <v>61</v>
      </c>
      <c r="N880" s="14"/>
      <c r="O880" s="218">
        <v>56</v>
      </c>
      <c r="P880" s="218">
        <v>51</v>
      </c>
      <c r="Q880" s="218">
        <v>54</v>
      </c>
      <c r="R880" s="218">
        <v>51</v>
      </c>
      <c r="S880" s="218">
        <v>0</v>
      </c>
      <c r="T880" s="218">
        <v>0</v>
      </c>
      <c r="U880" s="218">
        <v>0</v>
      </c>
      <c r="V880" s="333">
        <v>68</v>
      </c>
      <c r="W880"/>
      <c r="X880" s="22">
        <f t="shared" si="137"/>
        <v>-12.890894911999998</v>
      </c>
      <c r="Y880" s="22">
        <f t="shared" si="138"/>
        <v>-25.452940464000001</v>
      </c>
      <c r="Z880" s="22">
        <f t="shared" si="139"/>
        <v>-8.2521845280000008</v>
      </c>
      <c r="AA880" s="22">
        <f t="shared" si="140"/>
        <v>13.022434656</v>
      </c>
      <c r="AB880" s="22">
        <f t="shared" si="141"/>
        <v>0</v>
      </c>
      <c r="AC880" s="22">
        <f t="shared" si="142"/>
        <v>0</v>
      </c>
      <c r="AD880" s="22">
        <f t="shared" si="143"/>
        <v>0</v>
      </c>
      <c r="AE880" s="137">
        <f t="shared" si="144"/>
        <v>-14.732451328000002</v>
      </c>
      <c r="AF880" s="218">
        <v>170</v>
      </c>
      <c r="AG880" s="137">
        <f t="shared" si="145"/>
        <v>218.306036576</v>
      </c>
    </row>
    <row r="881" spans="2:33" outlineLevel="1" x14ac:dyDescent="0.3">
      <c r="B881" s="114">
        <f t="shared" si="146"/>
        <v>28</v>
      </c>
      <c r="C881" s="114" t="s">
        <v>383</v>
      </c>
      <c r="D881" s="370">
        <v>3080156</v>
      </c>
      <c r="E881"/>
      <c r="F881" s="14">
        <v>75</v>
      </c>
      <c r="G881" s="14">
        <v>76</v>
      </c>
      <c r="H881" s="14">
        <v>83</v>
      </c>
      <c r="I881" s="14">
        <v>83</v>
      </c>
      <c r="J881" s="14">
        <v>183</v>
      </c>
      <c r="K881" s="14">
        <v>91</v>
      </c>
      <c r="L881" s="14">
        <v>183</v>
      </c>
      <c r="M881" s="184">
        <v>61</v>
      </c>
      <c r="N881" s="14"/>
      <c r="O881" s="218">
        <v>54</v>
      </c>
      <c r="P881" s="218">
        <v>53</v>
      </c>
      <c r="Q881" s="218">
        <v>46</v>
      </c>
      <c r="R881" s="218">
        <v>46</v>
      </c>
      <c r="S881" s="218">
        <v>0</v>
      </c>
      <c r="T881" s="218">
        <v>38</v>
      </c>
      <c r="U881" s="218">
        <v>0</v>
      </c>
      <c r="V881" s="333">
        <v>68</v>
      </c>
      <c r="W881"/>
      <c r="X881" s="22">
        <f t="shared" si="137"/>
        <v>-19.793082456</v>
      </c>
      <c r="Y881" s="22">
        <f t="shared" si="138"/>
        <v>-42.118053144000001</v>
      </c>
      <c r="Z881" s="22">
        <f t="shared" si="139"/>
        <v>-11.193286903999999</v>
      </c>
      <c r="AA881" s="22">
        <f t="shared" si="140"/>
        <v>18.702707232000002</v>
      </c>
      <c r="AB881" s="22">
        <f t="shared" si="141"/>
        <v>0</v>
      </c>
      <c r="AC881" s="22">
        <f t="shared" si="142"/>
        <v>11.119363160000001</v>
      </c>
      <c r="AD881" s="22">
        <f t="shared" si="143"/>
        <v>0</v>
      </c>
      <c r="AE881" s="137">
        <f t="shared" si="144"/>
        <v>-23.458468096000001</v>
      </c>
      <c r="AF881" s="218">
        <v>417</v>
      </c>
      <c r="AG881" s="137">
        <f t="shared" si="145"/>
        <v>483.740820208</v>
      </c>
    </row>
    <row r="882" spans="2:33" outlineLevel="1" x14ac:dyDescent="0.3">
      <c r="B882" s="114">
        <f t="shared" si="146"/>
        <v>29</v>
      </c>
      <c r="C882" s="114" t="s">
        <v>385</v>
      </c>
      <c r="D882" s="370">
        <v>1359711</v>
      </c>
      <c r="E882"/>
      <c r="F882" s="14">
        <v>75</v>
      </c>
      <c r="G882" s="14">
        <v>87</v>
      </c>
      <c r="H882" s="14">
        <v>76</v>
      </c>
      <c r="I882" s="14">
        <v>76</v>
      </c>
      <c r="J882" s="14">
        <v>91</v>
      </c>
      <c r="K882" s="14">
        <v>86</v>
      </c>
      <c r="L882" s="14">
        <v>183</v>
      </c>
      <c r="M882" s="184">
        <v>61</v>
      </c>
      <c r="N882" s="14"/>
      <c r="O882" s="218">
        <v>54</v>
      </c>
      <c r="P882" s="218">
        <v>42</v>
      </c>
      <c r="Q882" s="218">
        <v>53</v>
      </c>
      <c r="R882" s="218">
        <v>53</v>
      </c>
      <c r="S882" s="218">
        <v>38</v>
      </c>
      <c r="T882" s="218">
        <v>43</v>
      </c>
      <c r="U882" s="218">
        <v>0</v>
      </c>
      <c r="V882" s="333">
        <v>68</v>
      </c>
      <c r="W882"/>
      <c r="X882" s="22">
        <f t="shared" si="137"/>
        <v>-8.7375028859999997</v>
      </c>
      <c r="Y882" s="22">
        <f t="shared" si="138"/>
        <v>-14.733828396</v>
      </c>
      <c r="Z882" s="22">
        <f t="shared" si="139"/>
        <v>-5.6931099570000008</v>
      </c>
      <c r="AA882" s="22">
        <f t="shared" si="140"/>
        <v>9.5125381560000015</v>
      </c>
      <c r="AB882" s="22">
        <f t="shared" si="141"/>
        <v>5.631922962</v>
      </c>
      <c r="AC882" s="22">
        <f t="shared" si="142"/>
        <v>5.5544194349999998</v>
      </c>
      <c r="AD882" s="22">
        <f t="shared" si="143"/>
        <v>0</v>
      </c>
      <c r="AE882" s="137">
        <f t="shared" si="144"/>
        <v>-10.355558976000001</v>
      </c>
      <c r="AF882" s="218">
        <v>245</v>
      </c>
      <c r="AG882" s="137">
        <f t="shared" si="145"/>
        <v>263.821119662</v>
      </c>
    </row>
    <row r="883" spans="2:33" outlineLevel="1" x14ac:dyDescent="0.3">
      <c r="B883" s="114">
        <f t="shared" si="146"/>
        <v>30</v>
      </c>
      <c r="C883" s="114" t="s">
        <v>386</v>
      </c>
      <c r="D883" s="370">
        <v>8882190</v>
      </c>
      <c r="E883"/>
      <c r="F883" s="14">
        <v>77</v>
      </c>
      <c r="G883" s="14">
        <v>75</v>
      </c>
      <c r="H883" s="14">
        <v>75</v>
      </c>
      <c r="I883" s="14">
        <v>75</v>
      </c>
      <c r="J883" s="14">
        <v>183</v>
      </c>
      <c r="K883" s="14">
        <v>80</v>
      </c>
      <c r="L883" s="14">
        <v>183</v>
      </c>
      <c r="M883" s="184">
        <v>61</v>
      </c>
      <c r="N883" s="14"/>
      <c r="O883" s="218">
        <v>52</v>
      </c>
      <c r="P883" s="218">
        <v>54</v>
      </c>
      <c r="Q883" s="218">
        <v>54</v>
      </c>
      <c r="R883" s="218">
        <v>54</v>
      </c>
      <c r="S883" s="218">
        <v>0</v>
      </c>
      <c r="T883" s="218">
        <v>49</v>
      </c>
      <c r="U883" s="218">
        <v>0</v>
      </c>
      <c r="V883" s="333">
        <v>68</v>
      </c>
      <c r="W883"/>
      <c r="X883" s="22">
        <f t="shared" si="137"/>
        <v>-54.962991719999998</v>
      </c>
      <c r="Y883" s="22">
        <f t="shared" si="138"/>
        <v>-123.74667108</v>
      </c>
      <c r="Z883" s="22">
        <f t="shared" si="139"/>
        <v>-37.891422540000001</v>
      </c>
      <c r="AA883" s="22">
        <f t="shared" si="140"/>
        <v>63.312250319999997</v>
      </c>
      <c r="AB883" s="22">
        <f t="shared" si="141"/>
        <v>0</v>
      </c>
      <c r="AC883" s="22">
        <f t="shared" si="142"/>
        <v>41.346594450000005</v>
      </c>
      <c r="AD883" s="22">
        <f t="shared" si="143"/>
        <v>0</v>
      </c>
      <c r="AE883" s="137">
        <f t="shared" si="144"/>
        <v>-67.646759040000006</v>
      </c>
      <c r="AF883" s="218">
        <v>13547</v>
      </c>
      <c r="AG883" s="137">
        <f t="shared" si="145"/>
        <v>13726.58899961</v>
      </c>
    </row>
    <row r="884" spans="2:33" outlineLevel="1" x14ac:dyDescent="0.3">
      <c r="B884" s="114">
        <f t="shared" si="146"/>
        <v>31</v>
      </c>
      <c r="C884" s="114" t="s">
        <v>387</v>
      </c>
      <c r="D884" s="370">
        <v>2096829</v>
      </c>
      <c r="E884"/>
      <c r="F884" s="14">
        <v>74</v>
      </c>
      <c r="G884" s="14">
        <v>72</v>
      </c>
      <c r="H884" s="14">
        <v>71</v>
      </c>
      <c r="I884" s="14">
        <v>71</v>
      </c>
      <c r="J884" s="14">
        <v>76</v>
      </c>
      <c r="K884" s="14">
        <v>183</v>
      </c>
      <c r="L884" s="14">
        <v>86</v>
      </c>
      <c r="M884" s="184">
        <v>61</v>
      </c>
      <c r="N884" s="14"/>
      <c r="O884" s="218">
        <v>55</v>
      </c>
      <c r="P884" s="218">
        <v>57</v>
      </c>
      <c r="Q884" s="218">
        <v>58</v>
      </c>
      <c r="R884" s="218">
        <v>58</v>
      </c>
      <c r="S884" s="218">
        <v>53</v>
      </c>
      <c r="T884" s="218">
        <v>0</v>
      </c>
      <c r="U884" s="218">
        <v>43</v>
      </c>
      <c r="V884" s="333">
        <v>68</v>
      </c>
      <c r="W884"/>
      <c r="X884" s="22">
        <f t="shared" si="137"/>
        <v>-13.723745805</v>
      </c>
      <c r="Y884" s="22">
        <f t="shared" si="138"/>
        <v>-30.835967274000001</v>
      </c>
      <c r="Z884" s="22">
        <f t="shared" si="139"/>
        <v>-9.6076704779999993</v>
      </c>
      <c r="AA884" s="22">
        <f t="shared" si="140"/>
        <v>16.053322824000002</v>
      </c>
      <c r="AB884" s="22">
        <f t="shared" si="141"/>
        <v>12.113381132999999</v>
      </c>
      <c r="AC884" s="22">
        <f t="shared" si="142"/>
        <v>0</v>
      </c>
      <c r="AD884" s="22">
        <f t="shared" si="143"/>
        <v>2.5245821159999999</v>
      </c>
      <c r="AE884" s="137">
        <f t="shared" si="144"/>
        <v>-15.969449664000001</v>
      </c>
      <c r="AF884" s="218">
        <v>362</v>
      </c>
      <c r="AG884" s="137">
        <f t="shared" si="145"/>
        <v>401.445547148</v>
      </c>
    </row>
    <row r="885" spans="2:33" outlineLevel="1" x14ac:dyDescent="0.3">
      <c r="B885" s="114">
        <f t="shared" si="146"/>
        <v>32</v>
      </c>
      <c r="C885" s="114" t="s">
        <v>388</v>
      </c>
      <c r="D885" s="370">
        <v>19453561</v>
      </c>
      <c r="E885"/>
      <c r="F885" s="14">
        <v>71</v>
      </c>
      <c r="G885" s="14">
        <v>71</v>
      </c>
      <c r="H885" s="14">
        <v>71</v>
      </c>
      <c r="I885" s="14">
        <v>72</v>
      </c>
      <c r="J885" s="14">
        <v>183</v>
      </c>
      <c r="K885" s="14">
        <v>81</v>
      </c>
      <c r="L885" s="14">
        <v>176</v>
      </c>
      <c r="M885" s="184">
        <v>16</v>
      </c>
      <c r="N885" s="14"/>
      <c r="O885" s="218">
        <v>58</v>
      </c>
      <c r="P885" s="218">
        <v>58</v>
      </c>
      <c r="Q885" s="218">
        <v>58</v>
      </c>
      <c r="R885" s="218">
        <v>57</v>
      </c>
      <c r="S885" s="218">
        <v>0</v>
      </c>
      <c r="T885" s="218">
        <v>48</v>
      </c>
      <c r="U885" s="218">
        <v>1</v>
      </c>
      <c r="V885" s="333">
        <v>68</v>
      </c>
      <c r="W885"/>
      <c r="X885" s="22">
        <f t="shared" si="137"/>
        <v>-134.26847802199998</v>
      </c>
      <c r="Y885" s="22">
        <f t="shared" si="138"/>
        <v>-291.10308680400004</v>
      </c>
      <c r="Z885" s="22">
        <f t="shared" si="139"/>
        <v>-89.136216502000011</v>
      </c>
      <c r="AA885" s="22">
        <f t="shared" si="140"/>
        <v>146.36859296399999</v>
      </c>
      <c r="AB885" s="22">
        <f t="shared" si="141"/>
        <v>0</v>
      </c>
      <c r="AC885" s="22">
        <f t="shared" si="142"/>
        <v>88.708238160000008</v>
      </c>
      <c r="AD885" s="22">
        <f t="shared" si="143"/>
        <v>0.544699708</v>
      </c>
      <c r="AE885" s="137">
        <f t="shared" si="144"/>
        <v>-148.15832057599999</v>
      </c>
      <c r="AF885" s="218">
        <v>30686</v>
      </c>
      <c r="AG885" s="137">
        <f t="shared" si="145"/>
        <v>31113.044571072001</v>
      </c>
    </row>
    <row r="886" spans="2:33" outlineLevel="1" x14ac:dyDescent="0.3">
      <c r="B886" s="114">
        <f t="shared" si="146"/>
        <v>33</v>
      </c>
      <c r="C886" s="114" t="s">
        <v>389</v>
      </c>
      <c r="D886" s="370">
        <v>10488084</v>
      </c>
      <c r="E886"/>
      <c r="F886" s="14">
        <v>75</v>
      </c>
      <c r="G886" s="14">
        <v>76</v>
      </c>
      <c r="H886" s="14">
        <v>85</v>
      </c>
      <c r="I886" s="14">
        <v>75</v>
      </c>
      <c r="J886" s="14">
        <v>183</v>
      </c>
      <c r="K886" s="14">
        <v>84</v>
      </c>
      <c r="L886" s="14">
        <v>79</v>
      </c>
      <c r="M886" s="184">
        <v>61</v>
      </c>
      <c r="N886" s="14"/>
      <c r="O886" s="218">
        <v>54</v>
      </c>
      <c r="P886" s="218">
        <v>53</v>
      </c>
      <c r="Q886" s="218">
        <v>44</v>
      </c>
      <c r="R886" s="218">
        <v>54</v>
      </c>
      <c r="S886" s="218">
        <v>0</v>
      </c>
      <c r="T886" s="218">
        <v>44</v>
      </c>
      <c r="U886" s="218">
        <v>50</v>
      </c>
      <c r="V886" s="333">
        <v>68</v>
      </c>
      <c r="W886"/>
      <c r="X886" s="22">
        <f t="shared" ref="X886:X904" si="147">O886*X$802*$D886/1000000</f>
        <v>-67.396427783999997</v>
      </c>
      <c r="Y886" s="22">
        <f t="shared" ref="Y886:Y904" si="148">P886*Y$802*$D886/1000000</f>
        <v>-143.414060616</v>
      </c>
      <c r="Z886" s="22">
        <f t="shared" ref="Z886:Z904" si="149">Q886*Z$802*$D886/1000000</f>
        <v>-36.456579983999994</v>
      </c>
      <c r="AA886" s="22">
        <f t="shared" ref="AA886:AA904" si="150">R886*AA$802*$D886/1000000</f>
        <v>74.759062752000006</v>
      </c>
      <c r="AB886" s="22">
        <f t="shared" ref="AB886:AB904" si="151">S886*AB$802*$D886/1000000</f>
        <v>0</v>
      </c>
      <c r="AC886" s="22">
        <f t="shared" ref="AC886:AC904" si="152">T886*AC$802*$D886/1000000</f>
        <v>43.84019112</v>
      </c>
      <c r="AD886" s="22">
        <f t="shared" ref="AD886:AD904" si="153">U886*AD$802*$D886/1000000</f>
        <v>14.683317600000002</v>
      </c>
      <c r="AE886" s="137">
        <f t="shared" ref="AE886:AE904" si="154">V886*AE$802*$D886/1000000</f>
        <v>-79.877247744000002</v>
      </c>
      <c r="AF886" s="218">
        <v>948</v>
      </c>
      <c r="AG886" s="137">
        <f t="shared" ref="AG886:AG904" si="155">AF886-SUM(X886:AE886)</f>
        <v>1141.8617446559999</v>
      </c>
    </row>
    <row r="887" spans="2:33" outlineLevel="1" x14ac:dyDescent="0.3">
      <c r="B887" s="114">
        <f t="shared" ref="B887:B904" si="156">B886+1</f>
        <v>34</v>
      </c>
      <c r="C887" s="114" t="s">
        <v>390</v>
      </c>
      <c r="D887" s="370">
        <v>762062</v>
      </c>
      <c r="E887"/>
      <c r="F887" s="14">
        <v>75</v>
      </c>
      <c r="G887" s="14">
        <v>79</v>
      </c>
      <c r="H887" s="14">
        <v>183</v>
      </c>
      <c r="I887" s="14">
        <v>183</v>
      </c>
      <c r="J887" s="14">
        <v>131</v>
      </c>
      <c r="K887" s="14">
        <v>183</v>
      </c>
      <c r="L887" s="14">
        <v>98</v>
      </c>
      <c r="M887" s="184">
        <v>61</v>
      </c>
      <c r="N887" s="14"/>
      <c r="O887" s="218">
        <v>54</v>
      </c>
      <c r="P887" s="218">
        <v>42</v>
      </c>
      <c r="Q887" s="218">
        <v>0</v>
      </c>
      <c r="R887" s="218">
        <v>0</v>
      </c>
      <c r="S887" s="218">
        <v>0</v>
      </c>
      <c r="T887" s="218">
        <v>0</v>
      </c>
      <c r="U887" s="218">
        <v>30</v>
      </c>
      <c r="V887" s="333">
        <v>68</v>
      </c>
      <c r="W887"/>
      <c r="X887" s="22">
        <f t="shared" si="147"/>
        <v>-4.8970104120000002</v>
      </c>
      <c r="Y887" s="22">
        <f t="shared" si="148"/>
        <v>-8.2577038320000007</v>
      </c>
      <c r="Z887" s="22">
        <f t="shared" si="149"/>
        <v>0</v>
      </c>
      <c r="AA887" s="22">
        <f t="shared" si="150"/>
        <v>0</v>
      </c>
      <c r="AB887" s="22">
        <f t="shared" si="151"/>
        <v>0</v>
      </c>
      <c r="AC887" s="22">
        <f t="shared" si="152"/>
        <v>0</v>
      </c>
      <c r="AD887" s="22">
        <f t="shared" si="153"/>
        <v>0.64013207999999999</v>
      </c>
      <c r="AE887" s="137">
        <f t="shared" si="154"/>
        <v>-5.8038641920000007</v>
      </c>
      <c r="AF887" s="218">
        <v>61</v>
      </c>
      <c r="AG887" s="137">
        <f t="shared" si="155"/>
        <v>79.31844635600001</v>
      </c>
    </row>
    <row r="888" spans="2:33" outlineLevel="1" x14ac:dyDescent="0.3">
      <c r="B888" s="114">
        <f t="shared" si="156"/>
        <v>35</v>
      </c>
      <c r="C888" s="114" t="s">
        <v>391</v>
      </c>
      <c r="D888" s="370">
        <v>11689100</v>
      </c>
      <c r="E888"/>
      <c r="F888" s="14">
        <v>75</v>
      </c>
      <c r="G888" s="14">
        <v>74</v>
      </c>
      <c r="H888" s="14">
        <v>64</v>
      </c>
      <c r="I888" s="14">
        <v>71</v>
      </c>
      <c r="J888" s="14">
        <v>121</v>
      </c>
      <c r="K888" s="14">
        <v>82</v>
      </c>
      <c r="L888" s="14">
        <v>183</v>
      </c>
      <c r="M888" s="184">
        <v>61</v>
      </c>
      <c r="N888" s="14"/>
      <c r="O888" s="218">
        <v>54</v>
      </c>
      <c r="P888" s="218">
        <v>55</v>
      </c>
      <c r="Q888" s="218">
        <v>58</v>
      </c>
      <c r="R888" s="218">
        <v>58</v>
      </c>
      <c r="S888" s="218">
        <v>0</v>
      </c>
      <c r="T888" s="218">
        <v>47</v>
      </c>
      <c r="U888" s="218">
        <v>0</v>
      </c>
      <c r="V888" s="333">
        <v>68</v>
      </c>
      <c r="W888"/>
      <c r="X888" s="22">
        <f t="shared" si="147"/>
        <v>-75.114156600000015</v>
      </c>
      <c r="Y888" s="22">
        <f t="shared" si="148"/>
        <v>-165.86832900000002</v>
      </c>
      <c r="Z888" s="22">
        <f t="shared" si="149"/>
        <v>-53.559456199999993</v>
      </c>
      <c r="AA888" s="22">
        <f t="shared" si="150"/>
        <v>89.491749600000006</v>
      </c>
      <c r="AB888" s="22">
        <f t="shared" si="151"/>
        <v>0</v>
      </c>
      <c r="AC888" s="22">
        <f t="shared" si="152"/>
        <v>52.191831499999999</v>
      </c>
      <c r="AD888" s="22">
        <f t="shared" si="153"/>
        <v>0</v>
      </c>
      <c r="AE888" s="137">
        <f t="shared" si="154"/>
        <v>-89.02418560000001</v>
      </c>
      <c r="AF888" s="218">
        <v>2164</v>
      </c>
      <c r="AG888" s="137">
        <f t="shared" si="155"/>
        <v>2405.8825462999998</v>
      </c>
    </row>
    <row r="889" spans="2:33" outlineLevel="1" x14ac:dyDescent="0.3">
      <c r="B889" s="114">
        <f t="shared" si="156"/>
        <v>36</v>
      </c>
      <c r="C889" s="114" t="s">
        <v>392</v>
      </c>
      <c r="D889" s="370">
        <v>3956971</v>
      </c>
      <c r="E889"/>
      <c r="F889" s="14">
        <v>76</v>
      </c>
      <c r="G889" s="14">
        <v>80</v>
      </c>
      <c r="H889" s="14">
        <v>75</v>
      </c>
      <c r="I889" s="14">
        <v>75</v>
      </c>
      <c r="J889" s="14">
        <v>158</v>
      </c>
      <c r="K889" s="14">
        <v>83</v>
      </c>
      <c r="L889" s="14">
        <v>183</v>
      </c>
      <c r="M889" s="184">
        <v>61</v>
      </c>
      <c r="N889" s="14"/>
      <c r="O889" s="218">
        <v>53</v>
      </c>
      <c r="P889" s="218">
        <v>49</v>
      </c>
      <c r="Q889" s="218">
        <v>54</v>
      </c>
      <c r="R889" s="218">
        <v>54</v>
      </c>
      <c r="S889" s="218">
        <v>0</v>
      </c>
      <c r="T889" s="218">
        <v>38</v>
      </c>
      <c r="U889" s="218">
        <v>0</v>
      </c>
      <c r="V889" s="333">
        <v>68</v>
      </c>
      <c r="W889"/>
      <c r="X889" s="22">
        <f t="shared" si="147"/>
        <v>-24.956616096999998</v>
      </c>
      <c r="Y889" s="22">
        <f t="shared" si="148"/>
        <v>-50.024027382</v>
      </c>
      <c r="Z889" s="22">
        <f t="shared" si="149"/>
        <v>-16.880438285999997</v>
      </c>
      <c r="AA889" s="22">
        <f t="shared" si="150"/>
        <v>28.205289287999999</v>
      </c>
      <c r="AB889" s="22">
        <f t="shared" si="151"/>
        <v>0</v>
      </c>
      <c r="AC889" s="22">
        <f t="shared" si="152"/>
        <v>14.284665309999999</v>
      </c>
      <c r="AD889" s="22">
        <f t="shared" si="153"/>
        <v>0</v>
      </c>
      <c r="AE889" s="137">
        <f t="shared" si="154"/>
        <v>-30.136291136000004</v>
      </c>
      <c r="AF889" s="218">
        <v>334</v>
      </c>
      <c r="AG889" s="137">
        <f t="shared" si="155"/>
        <v>413.50741830300001</v>
      </c>
    </row>
    <row r="890" spans="2:33" outlineLevel="1" x14ac:dyDescent="0.3">
      <c r="B890" s="114">
        <f t="shared" si="156"/>
        <v>37</v>
      </c>
      <c r="C890" s="114" t="s">
        <v>393</v>
      </c>
      <c r="D890" s="370">
        <v>4217737</v>
      </c>
      <c r="E890"/>
      <c r="F890" s="14">
        <v>75</v>
      </c>
      <c r="G890" s="14">
        <v>75</v>
      </c>
      <c r="H890" s="14">
        <v>75</v>
      </c>
      <c r="I890" s="14">
        <v>75</v>
      </c>
      <c r="J890" s="14">
        <v>183</v>
      </c>
      <c r="K890" s="14">
        <v>86</v>
      </c>
      <c r="L890" s="14">
        <v>83</v>
      </c>
      <c r="M890" s="184">
        <v>61</v>
      </c>
      <c r="N890" s="14"/>
      <c r="O890" s="218">
        <v>54</v>
      </c>
      <c r="P890" s="218">
        <v>54</v>
      </c>
      <c r="Q890" s="218">
        <v>54</v>
      </c>
      <c r="R890" s="218">
        <v>54</v>
      </c>
      <c r="S890" s="218">
        <v>0</v>
      </c>
      <c r="T890" s="218">
        <v>43</v>
      </c>
      <c r="U890" s="218">
        <v>42</v>
      </c>
      <c r="V890" s="333">
        <v>68</v>
      </c>
      <c r="W890"/>
      <c r="X890" s="22">
        <f t="shared" si="147"/>
        <v>-27.103177962</v>
      </c>
      <c r="Y890" s="22">
        <f t="shared" si="148"/>
        <v>-58.761511884000001</v>
      </c>
      <c r="Z890" s="22">
        <f t="shared" si="149"/>
        <v>-17.992866041999999</v>
      </c>
      <c r="AA890" s="22">
        <f t="shared" si="150"/>
        <v>30.064029336000001</v>
      </c>
      <c r="AB890" s="22">
        <f t="shared" si="151"/>
        <v>0</v>
      </c>
      <c r="AC890" s="22">
        <f t="shared" si="152"/>
        <v>17.229455644999998</v>
      </c>
      <c r="AD890" s="22">
        <f t="shared" si="153"/>
        <v>4.9600587119999995</v>
      </c>
      <c r="AE890" s="137">
        <f t="shared" si="154"/>
        <v>-32.122284992000004</v>
      </c>
      <c r="AF890" s="218">
        <v>154</v>
      </c>
      <c r="AG890" s="137">
        <f t="shared" si="155"/>
        <v>237.726297187</v>
      </c>
    </row>
    <row r="891" spans="2:33" outlineLevel="1" x14ac:dyDescent="0.3">
      <c r="B891" s="114">
        <f t="shared" si="156"/>
        <v>38</v>
      </c>
      <c r="C891" s="114" t="s">
        <v>394</v>
      </c>
      <c r="D891" s="370">
        <v>12801989</v>
      </c>
      <c r="E891"/>
      <c r="F891" s="14">
        <v>72</v>
      </c>
      <c r="G891" s="14">
        <v>75</v>
      </c>
      <c r="H891" s="14">
        <v>82</v>
      </c>
      <c r="I891" s="14">
        <v>82</v>
      </c>
      <c r="J891" s="14">
        <v>99</v>
      </c>
      <c r="K891" s="14">
        <v>82</v>
      </c>
      <c r="L891" s="14">
        <v>183</v>
      </c>
      <c r="M891" s="184">
        <v>61</v>
      </c>
      <c r="N891" s="14"/>
      <c r="O891" s="218">
        <v>57</v>
      </c>
      <c r="P891" s="218">
        <v>54</v>
      </c>
      <c r="Q891" s="218">
        <v>47</v>
      </c>
      <c r="R891" s="218">
        <v>47</v>
      </c>
      <c r="S891" s="218">
        <v>30</v>
      </c>
      <c r="T891" s="218">
        <v>47</v>
      </c>
      <c r="U891" s="218">
        <v>0</v>
      </c>
      <c r="V891" s="333">
        <v>68</v>
      </c>
      <c r="W891"/>
      <c r="X891" s="22">
        <f t="shared" si="147"/>
        <v>-86.83589138699999</v>
      </c>
      <c r="Y891" s="22">
        <f t="shared" si="148"/>
        <v>-178.357310748</v>
      </c>
      <c r="Z891" s="22">
        <f t="shared" si="149"/>
        <v>-47.533785156999997</v>
      </c>
      <c r="AA891" s="22">
        <f t="shared" si="150"/>
        <v>79.423539756000011</v>
      </c>
      <c r="AB891" s="22">
        <f t="shared" si="151"/>
        <v>41.862504030000004</v>
      </c>
      <c r="AC891" s="22">
        <f t="shared" si="152"/>
        <v>57.160880884999997</v>
      </c>
      <c r="AD891" s="22">
        <f t="shared" si="153"/>
        <v>0</v>
      </c>
      <c r="AE891" s="137">
        <f t="shared" si="154"/>
        <v>-97.499948224000008</v>
      </c>
      <c r="AF891" s="218">
        <v>5587</v>
      </c>
      <c r="AG891" s="137">
        <f t="shared" si="155"/>
        <v>5818.7800108450001</v>
      </c>
    </row>
    <row r="892" spans="2:33" outlineLevel="1" x14ac:dyDescent="0.3">
      <c r="B892" s="114">
        <f t="shared" si="156"/>
        <v>39</v>
      </c>
      <c r="C892" s="114" t="s">
        <v>395</v>
      </c>
      <c r="D892" s="370">
        <v>1059361</v>
      </c>
      <c r="E892"/>
      <c r="F892" s="14">
        <v>75</v>
      </c>
      <c r="G892" s="14">
        <v>81</v>
      </c>
      <c r="H892" s="14">
        <v>71</v>
      </c>
      <c r="I892" s="14">
        <v>75</v>
      </c>
      <c r="J892" s="14">
        <v>183</v>
      </c>
      <c r="K892" s="14">
        <v>83</v>
      </c>
      <c r="L892" s="14">
        <v>83</v>
      </c>
      <c r="M892" s="184">
        <v>61</v>
      </c>
      <c r="N892" s="14"/>
      <c r="O892" s="218">
        <v>54</v>
      </c>
      <c r="P892" s="218">
        <v>48</v>
      </c>
      <c r="Q892" s="218">
        <v>58</v>
      </c>
      <c r="R892" s="218">
        <v>54</v>
      </c>
      <c r="S892" s="218">
        <v>0</v>
      </c>
      <c r="T892" s="218">
        <v>45</v>
      </c>
      <c r="U892" s="218">
        <v>46</v>
      </c>
      <c r="V892" s="333">
        <v>68</v>
      </c>
      <c r="W892"/>
      <c r="X892" s="22">
        <f t="shared" si="147"/>
        <v>-6.807453786</v>
      </c>
      <c r="Y892" s="22">
        <f t="shared" si="148"/>
        <v>-13.119126624</v>
      </c>
      <c r="Z892" s="22">
        <f t="shared" si="149"/>
        <v>-4.8539921020000003</v>
      </c>
      <c r="AA892" s="22">
        <f t="shared" si="150"/>
        <v>7.5511252080000002</v>
      </c>
      <c r="AB892" s="22">
        <f t="shared" si="151"/>
        <v>0</v>
      </c>
      <c r="AC892" s="22">
        <f t="shared" si="152"/>
        <v>4.528768275</v>
      </c>
      <c r="AD892" s="22">
        <f t="shared" si="153"/>
        <v>1.364456968</v>
      </c>
      <c r="AE892" s="137">
        <f t="shared" si="154"/>
        <v>-8.0680933760000002</v>
      </c>
      <c r="AF892" s="218">
        <v>832</v>
      </c>
      <c r="AG892" s="137">
        <f t="shared" si="155"/>
        <v>851.40431543700004</v>
      </c>
    </row>
    <row r="893" spans="2:33" outlineLevel="1" x14ac:dyDescent="0.3">
      <c r="B893" s="114">
        <f t="shared" si="156"/>
        <v>40</v>
      </c>
      <c r="C893" s="114" t="s">
        <v>396</v>
      </c>
      <c r="D893" s="370">
        <v>5148714</v>
      </c>
      <c r="E893"/>
      <c r="F893" s="14">
        <v>75</v>
      </c>
      <c r="G893" s="14">
        <v>91</v>
      </c>
      <c r="H893" s="14">
        <v>77</v>
      </c>
      <c r="I893" s="14">
        <v>74</v>
      </c>
      <c r="J893" s="14">
        <v>150</v>
      </c>
      <c r="K893" s="14">
        <v>85</v>
      </c>
      <c r="L893" s="14">
        <v>93</v>
      </c>
      <c r="M893" s="184">
        <v>61</v>
      </c>
      <c r="N893" s="14"/>
      <c r="O893" s="218">
        <v>54</v>
      </c>
      <c r="P893" s="218">
        <v>38</v>
      </c>
      <c r="Q893" s="218">
        <v>52</v>
      </c>
      <c r="R893" s="218">
        <v>55</v>
      </c>
      <c r="S893" s="218">
        <v>0</v>
      </c>
      <c r="T893" s="218">
        <v>39</v>
      </c>
      <c r="U893" s="218">
        <v>28</v>
      </c>
      <c r="V893" s="333">
        <v>68</v>
      </c>
      <c r="W893"/>
      <c r="X893" s="22">
        <f t="shared" si="147"/>
        <v>-33.085636164</v>
      </c>
      <c r="Y893" s="22">
        <f t="shared" si="148"/>
        <v>-50.477992056000005</v>
      </c>
      <c r="Z893" s="22">
        <f t="shared" si="149"/>
        <v>-21.150917111999998</v>
      </c>
      <c r="AA893" s="22">
        <f t="shared" si="150"/>
        <v>37.379663640000004</v>
      </c>
      <c r="AB893" s="22">
        <f t="shared" si="151"/>
        <v>0</v>
      </c>
      <c r="AC893" s="22">
        <f t="shared" si="152"/>
        <v>19.075985370000001</v>
      </c>
      <c r="AD893" s="22">
        <f t="shared" si="153"/>
        <v>4.0365917759999999</v>
      </c>
      <c r="AE893" s="137">
        <f t="shared" si="154"/>
        <v>-39.212605824000001</v>
      </c>
      <c r="AF893" s="218">
        <v>500</v>
      </c>
      <c r="AG893" s="137">
        <f t="shared" si="155"/>
        <v>583.43491037000001</v>
      </c>
    </row>
    <row r="894" spans="2:33" outlineLevel="1" x14ac:dyDescent="0.3">
      <c r="B894" s="114">
        <f t="shared" si="156"/>
        <v>41</v>
      </c>
      <c r="C894" s="114" t="s">
        <v>397</v>
      </c>
      <c r="D894" s="370">
        <v>884659</v>
      </c>
      <c r="E894"/>
      <c r="F894" s="14">
        <v>71</v>
      </c>
      <c r="G894" s="14">
        <v>74</v>
      </c>
      <c r="H894" s="14">
        <v>82</v>
      </c>
      <c r="I894" s="14">
        <v>82</v>
      </c>
      <c r="J894" s="14">
        <v>183</v>
      </c>
      <c r="K894" s="14">
        <v>183</v>
      </c>
      <c r="L894" s="14">
        <v>183</v>
      </c>
      <c r="M894" s="184">
        <v>61</v>
      </c>
      <c r="N894" s="14"/>
      <c r="O894" s="218">
        <v>58</v>
      </c>
      <c r="P894" s="218">
        <v>48</v>
      </c>
      <c r="Q894" s="218">
        <v>36</v>
      </c>
      <c r="R894" s="218">
        <v>36</v>
      </c>
      <c r="S894" s="218">
        <v>0</v>
      </c>
      <c r="T894" s="218">
        <v>0</v>
      </c>
      <c r="U894" s="218">
        <v>0</v>
      </c>
      <c r="V894" s="333">
        <v>68</v>
      </c>
      <c r="W894"/>
      <c r="X894" s="22">
        <f t="shared" si="147"/>
        <v>-6.1059164179999996</v>
      </c>
      <c r="Y894" s="22">
        <f t="shared" si="148"/>
        <v>-10.955617055999999</v>
      </c>
      <c r="Z894" s="22">
        <f t="shared" si="149"/>
        <v>-2.515970196</v>
      </c>
      <c r="AA894" s="22">
        <f t="shared" si="150"/>
        <v>4.2038995680000006</v>
      </c>
      <c r="AB894" s="22">
        <f t="shared" si="151"/>
        <v>0</v>
      </c>
      <c r="AC894" s="22">
        <f t="shared" si="152"/>
        <v>0</v>
      </c>
      <c r="AD894" s="22">
        <f t="shared" si="153"/>
        <v>0</v>
      </c>
      <c r="AE894" s="137">
        <f t="shared" si="154"/>
        <v>-6.7375629440000004</v>
      </c>
      <c r="AF894" s="218">
        <v>62</v>
      </c>
      <c r="AG894" s="137">
        <f t="shared" si="155"/>
        <v>84.111167046000006</v>
      </c>
    </row>
    <row r="895" spans="2:33" outlineLevel="1" x14ac:dyDescent="0.3">
      <c r="B895" s="114">
        <f t="shared" si="156"/>
        <v>42</v>
      </c>
      <c r="C895" s="114" t="s">
        <v>398</v>
      </c>
      <c r="D895" s="370">
        <v>6829174</v>
      </c>
      <c r="E895"/>
      <c r="F895" s="14">
        <v>76</v>
      </c>
      <c r="G895" s="14">
        <v>76</v>
      </c>
      <c r="H895" s="14">
        <v>81</v>
      </c>
      <c r="I895" s="14">
        <v>81</v>
      </c>
      <c r="J895" s="14">
        <v>183</v>
      </c>
      <c r="K895" s="14">
        <v>74</v>
      </c>
      <c r="L895" s="14">
        <v>183</v>
      </c>
      <c r="M895" s="184">
        <v>61</v>
      </c>
      <c r="N895" s="14"/>
      <c r="O895" s="218">
        <v>53</v>
      </c>
      <c r="P895" s="218">
        <v>53</v>
      </c>
      <c r="Q895" s="218">
        <v>48</v>
      </c>
      <c r="R895" s="218">
        <v>48</v>
      </c>
      <c r="S895" s="218">
        <v>0</v>
      </c>
      <c r="T895" s="218">
        <v>54</v>
      </c>
      <c r="U895" s="218">
        <v>0</v>
      </c>
      <c r="V895" s="333">
        <v>68</v>
      </c>
      <c r="W895"/>
      <c r="X895" s="22">
        <f t="shared" si="147"/>
        <v>-43.071600417999996</v>
      </c>
      <c r="Y895" s="22">
        <f t="shared" si="148"/>
        <v>-93.382125275999996</v>
      </c>
      <c r="Z895" s="22">
        <f t="shared" si="149"/>
        <v>-25.896227807999999</v>
      </c>
      <c r="AA895" s="22">
        <f t="shared" si="150"/>
        <v>43.269646464000004</v>
      </c>
      <c r="AB895" s="22">
        <f t="shared" si="151"/>
        <v>0</v>
      </c>
      <c r="AC895" s="22">
        <f t="shared" si="152"/>
        <v>35.033662619999994</v>
      </c>
      <c r="AD895" s="22">
        <f t="shared" si="153"/>
        <v>0</v>
      </c>
      <c r="AE895" s="137">
        <f t="shared" si="154"/>
        <v>-52.010989184000003</v>
      </c>
      <c r="AF895" s="218">
        <v>364</v>
      </c>
      <c r="AG895" s="137">
        <f t="shared" si="155"/>
        <v>500.05763360200001</v>
      </c>
    </row>
    <row r="896" spans="2:33" outlineLevel="1" x14ac:dyDescent="0.3">
      <c r="B896" s="114">
        <f t="shared" si="156"/>
        <v>43</v>
      </c>
      <c r="C896" s="114" t="s">
        <v>400</v>
      </c>
      <c r="D896" s="370">
        <v>28995881</v>
      </c>
      <c r="E896"/>
      <c r="F896" s="14">
        <v>75</v>
      </c>
      <c r="G896" s="14">
        <v>75</v>
      </c>
      <c r="H896" s="14">
        <v>70</v>
      </c>
      <c r="I896" s="14">
        <v>72</v>
      </c>
      <c r="J896" s="14">
        <v>183</v>
      </c>
      <c r="K896" s="14">
        <v>82</v>
      </c>
      <c r="L896" s="14">
        <v>87</v>
      </c>
      <c r="M896" s="184">
        <v>27</v>
      </c>
      <c r="N896" s="14"/>
      <c r="O896" s="218">
        <v>54</v>
      </c>
      <c r="P896" s="218">
        <v>54</v>
      </c>
      <c r="Q896" s="218">
        <v>59</v>
      </c>
      <c r="R896" s="218">
        <v>57</v>
      </c>
      <c r="S896" s="218">
        <v>0</v>
      </c>
      <c r="T896" s="218">
        <v>47</v>
      </c>
      <c r="U896" s="218">
        <v>42</v>
      </c>
      <c r="V896" s="333">
        <v>68</v>
      </c>
      <c r="W896"/>
      <c r="X896" s="22">
        <f t="shared" si="147"/>
        <v>-186.327531306</v>
      </c>
      <c r="Y896" s="22">
        <f t="shared" si="148"/>
        <v>-403.97061409200001</v>
      </c>
      <c r="Z896" s="22">
        <f t="shared" si="149"/>
        <v>-135.14980134100003</v>
      </c>
      <c r="AA896" s="22">
        <f t="shared" si="150"/>
        <v>218.16500864399998</v>
      </c>
      <c r="AB896" s="22">
        <f t="shared" si="151"/>
        <v>0</v>
      </c>
      <c r="AC896" s="22">
        <f t="shared" si="152"/>
        <v>129.466608665</v>
      </c>
      <c r="AD896" s="22">
        <f t="shared" si="153"/>
        <v>34.099156055999998</v>
      </c>
      <c r="AE896" s="137">
        <f t="shared" si="154"/>
        <v>-220.832629696</v>
      </c>
      <c r="AF896" s="218">
        <v>1879</v>
      </c>
      <c r="AG896" s="137">
        <f t="shared" si="155"/>
        <v>2443.5498030700001</v>
      </c>
    </row>
    <row r="897" spans="2:34" outlineLevel="1" x14ac:dyDescent="0.3">
      <c r="B897" s="114">
        <f t="shared" si="156"/>
        <v>44</v>
      </c>
      <c r="C897" s="114" t="s">
        <v>401</v>
      </c>
      <c r="D897" s="370">
        <v>3205958</v>
      </c>
      <c r="E897"/>
      <c r="F897" s="14">
        <v>71</v>
      </c>
      <c r="G897" s="14">
        <v>89</v>
      </c>
      <c r="H897" s="14">
        <v>75</v>
      </c>
      <c r="I897" s="14">
        <v>75</v>
      </c>
      <c r="J897" s="14">
        <v>183</v>
      </c>
      <c r="K897" s="14">
        <v>183</v>
      </c>
      <c r="L897" s="14">
        <v>183</v>
      </c>
      <c r="M897" s="184">
        <v>61</v>
      </c>
      <c r="N897" s="14"/>
      <c r="O897" s="218">
        <v>58</v>
      </c>
      <c r="P897" s="218">
        <v>32</v>
      </c>
      <c r="Q897" s="218">
        <v>32</v>
      </c>
      <c r="R897" s="218">
        <v>54</v>
      </c>
      <c r="S897" s="218">
        <v>0</v>
      </c>
      <c r="T897" s="218">
        <v>0</v>
      </c>
      <c r="U897" s="218">
        <v>0</v>
      </c>
      <c r="V897" s="333">
        <v>68</v>
      </c>
      <c r="W897"/>
      <c r="X897" s="22">
        <f t="shared" si="147"/>
        <v>-22.127522115999998</v>
      </c>
      <c r="Y897" s="22">
        <f t="shared" si="148"/>
        <v>-26.468389248000001</v>
      </c>
      <c r="Z897" s="22">
        <f t="shared" si="149"/>
        <v>-8.1046618240000008</v>
      </c>
      <c r="AA897" s="22">
        <f t="shared" si="150"/>
        <v>22.852068624000001</v>
      </c>
      <c r="AB897" s="22">
        <f t="shared" si="151"/>
        <v>0</v>
      </c>
      <c r="AC897" s="22">
        <f t="shared" si="152"/>
        <v>0</v>
      </c>
      <c r="AD897" s="22">
        <f t="shared" si="153"/>
        <v>0</v>
      </c>
      <c r="AE897" s="137">
        <f t="shared" si="154"/>
        <v>-24.416576128000003</v>
      </c>
      <c r="AF897" s="218">
        <v>113</v>
      </c>
      <c r="AG897" s="137">
        <f t="shared" si="155"/>
        <v>171.26508069200003</v>
      </c>
    </row>
    <row r="898" spans="2:34" outlineLevel="1" x14ac:dyDescent="0.3">
      <c r="B898" s="114">
        <f t="shared" si="156"/>
        <v>45</v>
      </c>
      <c r="C898" s="114" t="s">
        <v>402</v>
      </c>
      <c r="D898" s="370">
        <v>623989</v>
      </c>
      <c r="E898"/>
      <c r="F898" s="14">
        <v>75</v>
      </c>
      <c r="G898" s="14">
        <v>76</v>
      </c>
      <c r="H898" s="14">
        <v>72</v>
      </c>
      <c r="I898" s="14">
        <v>72</v>
      </c>
      <c r="J898" s="14">
        <v>183</v>
      </c>
      <c r="K898" s="14">
        <v>83</v>
      </c>
      <c r="L898" s="14">
        <v>72</v>
      </c>
      <c r="M898" s="184">
        <v>61</v>
      </c>
      <c r="N898" s="14"/>
      <c r="O898" s="218">
        <v>54</v>
      </c>
      <c r="P898" s="218">
        <v>53</v>
      </c>
      <c r="Q898" s="218">
        <v>57</v>
      </c>
      <c r="R898" s="218">
        <v>57</v>
      </c>
      <c r="S898" s="218">
        <v>0</v>
      </c>
      <c r="T898" s="218">
        <v>43</v>
      </c>
      <c r="U898" s="218">
        <v>57</v>
      </c>
      <c r="V898" s="333">
        <v>68</v>
      </c>
      <c r="W898"/>
      <c r="X898" s="22">
        <f t="shared" si="147"/>
        <v>-4.0097533140000001</v>
      </c>
      <c r="Y898" s="22">
        <f t="shared" si="148"/>
        <v>-8.5324255859999987</v>
      </c>
      <c r="Z898" s="22">
        <f t="shared" si="149"/>
        <v>-2.809822467</v>
      </c>
      <c r="AA898" s="22">
        <f t="shared" si="150"/>
        <v>4.6948932359999995</v>
      </c>
      <c r="AB898" s="22">
        <f t="shared" si="151"/>
        <v>0</v>
      </c>
      <c r="AC898" s="22">
        <f t="shared" si="152"/>
        <v>2.5489950649999997</v>
      </c>
      <c r="AD898" s="22">
        <f t="shared" si="153"/>
        <v>0.99588644400000004</v>
      </c>
      <c r="AE898" s="137">
        <f t="shared" si="154"/>
        <v>-4.7523002240000007</v>
      </c>
      <c r="AF898" s="218">
        <v>55</v>
      </c>
      <c r="AG898" s="137">
        <f t="shared" si="155"/>
        <v>66.864526846000004</v>
      </c>
    </row>
    <row r="899" spans="2:34" outlineLevel="1" x14ac:dyDescent="0.3">
      <c r="B899" s="114">
        <f t="shared" si="156"/>
        <v>46</v>
      </c>
      <c r="C899" s="114" t="s">
        <v>403</v>
      </c>
      <c r="D899" s="370">
        <v>8535519</v>
      </c>
      <c r="E899"/>
      <c r="F899" s="14">
        <v>75</v>
      </c>
      <c r="G899" s="14">
        <v>83</v>
      </c>
      <c r="H899" s="14">
        <v>83</v>
      </c>
      <c r="I899" s="14">
        <v>83</v>
      </c>
      <c r="J899" s="14">
        <v>183</v>
      </c>
      <c r="K899" s="14">
        <v>89</v>
      </c>
      <c r="L899" s="14">
        <v>71</v>
      </c>
      <c r="M899" s="184">
        <v>61</v>
      </c>
      <c r="N899" s="14"/>
      <c r="O899" s="218">
        <v>54</v>
      </c>
      <c r="P899" s="218">
        <v>46</v>
      </c>
      <c r="Q899" s="218">
        <v>46</v>
      </c>
      <c r="R899" s="218">
        <v>46</v>
      </c>
      <c r="S899" s="218">
        <v>0</v>
      </c>
      <c r="T899" s="218">
        <v>40</v>
      </c>
      <c r="U899" s="218">
        <v>58</v>
      </c>
      <c r="V899" s="333">
        <v>68</v>
      </c>
      <c r="W899"/>
      <c r="X899" s="22">
        <f t="shared" si="147"/>
        <v>-54.849245094000004</v>
      </c>
      <c r="Y899" s="22">
        <f t="shared" si="148"/>
        <v>-101.29953949199999</v>
      </c>
      <c r="Z899" s="22">
        <f t="shared" si="149"/>
        <v>-31.018076046000001</v>
      </c>
      <c r="AA899" s="22">
        <f t="shared" si="150"/>
        <v>51.827671367999997</v>
      </c>
      <c r="AB899" s="22">
        <f t="shared" si="151"/>
        <v>0</v>
      </c>
      <c r="AC899" s="22">
        <f t="shared" si="152"/>
        <v>32.434972199999997</v>
      </c>
      <c r="AD899" s="22">
        <f t="shared" si="153"/>
        <v>13.861682856</v>
      </c>
      <c r="AE899" s="137">
        <f t="shared" si="154"/>
        <v>-65.006512704000002</v>
      </c>
      <c r="AF899" s="218">
        <v>1392</v>
      </c>
      <c r="AG899" s="137">
        <f t="shared" si="155"/>
        <v>1546.049046912</v>
      </c>
    </row>
    <row r="900" spans="2:34" outlineLevel="1" x14ac:dyDescent="0.3">
      <c r="B900" s="114">
        <f t="shared" si="156"/>
        <v>47</v>
      </c>
      <c r="C900" s="114" t="s">
        <v>404</v>
      </c>
      <c r="D900" s="370">
        <v>7614893</v>
      </c>
      <c r="E900"/>
      <c r="F900" s="14">
        <v>76</v>
      </c>
      <c r="G900" s="14">
        <v>75</v>
      </c>
      <c r="H900" s="14">
        <v>70</v>
      </c>
      <c r="I900" s="14">
        <v>70</v>
      </c>
      <c r="J900" s="14">
        <v>183</v>
      </c>
      <c r="K900" s="14">
        <v>82</v>
      </c>
      <c r="L900" s="14">
        <v>183</v>
      </c>
      <c r="M900" s="184">
        <v>61</v>
      </c>
      <c r="N900" s="14"/>
      <c r="O900" s="218">
        <v>53</v>
      </c>
      <c r="P900" s="218">
        <v>54</v>
      </c>
      <c r="Q900" s="218">
        <v>59</v>
      </c>
      <c r="R900" s="218">
        <v>59</v>
      </c>
      <c r="S900" s="218">
        <v>0</v>
      </c>
      <c r="T900" s="218">
        <v>47</v>
      </c>
      <c r="U900" s="218">
        <v>0</v>
      </c>
      <c r="V900" s="333">
        <v>68</v>
      </c>
      <c r="W900"/>
      <c r="X900" s="22">
        <f t="shared" si="147"/>
        <v>-48.027130150999994</v>
      </c>
      <c r="Y900" s="22">
        <f t="shared" si="148"/>
        <v>-106.09068927600001</v>
      </c>
      <c r="Z900" s="22">
        <f t="shared" si="149"/>
        <v>-35.493016273000002</v>
      </c>
      <c r="AA900" s="22">
        <f t="shared" si="150"/>
        <v>59.304786684</v>
      </c>
      <c r="AB900" s="22">
        <f t="shared" si="151"/>
        <v>0</v>
      </c>
      <c r="AC900" s="22">
        <f t="shared" si="152"/>
        <v>34.000497244999998</v>
      </c>
      <c r="AD900" s="22">
        <f t="shared" si="153"/>
        <v>0</v>
      </c>
      <c r="AE900" s="137">
        <f t="shared" si="154"/>
        <v>-57.995025088000006</v>
      </c>
      <c r="AF900" s="218">
        <v>1128</v>
      </c>
      <c r="AG900" s="137">
        <f t="shared" si="155"/>
        <v>1282.3005768590001</v>
      </c>
    </row>
    <row r="901" spans="2:34" outlineLevel="1" x14ac:dyDescent="0.3">
      <c r="B901" s="114">
        <f t="shared" si="156"/>
        <v>48</v>
      </c>
      <c r="C901" s="114" t="s">
        <v>405</v>
      </c>
      <c r="D901" s="370">
        <v>705749</v>
      </c>
      <c r="E901"/>
      <c r="F901" s="14">
        <v>75</v>
      </c>
      <c r="G901" s="14">
        <v>84</v>
      </c>
      <c r="H901" s="14">
        <v>84</v>
      </c>
      <c r="I901" s="14">
        <v>72</v>
      </c>
      <c r="J901" s="14">
        <v>91</v>
      </c>
      <c r="K901" s="14">
        <v>91</v>
      </c>
      <c r="L901" s="14">
        <v>91</v>
      </c>
      <c r="M901" s="184">
        <v>61</v>
      </c>
      <c r="N901" s="14"/>
      <c r="O901" s="218">
        <v>54</v>
      </c>
      <c r="P901" s="218">
        <v>45</v>
      </c>
      <c r="Q901" s="218">
        <v>45</v>
      </c>
      <c r="R901" s="218">
        <v>57</v>
      </c>
      <c r="S901" s="218">
        <v>38</v>
      </c>
      <c r="T901" s="218">
        <v>38</v>
      </c>
      <c r="U901" s="218">
        <v>38</v>
      </c>
      <c r="V901" s="333">
        <v>68</v>
      </c>
      <c r="W901"/>
      <c r="X901" s="22">
        <f t="shared" si="147"/>
        <v>-4.5351430739999996</v>
      </c>
      <c r="Y901" s="22">
        <f t="shared" si="148"/>
        <v>-8.1937458899999989</v>
      </c>
      <c r="Z901" s="22">
        <f t="shared" si="149"/>
        <v>-2.5089376950000002</v>
      </c>
      <c r="AA901" s="22">
        <f t="shared" si="150"/>
        <v>5.3100554759999996</v>
      </c>
      <c r="AB901" s="22">
        <f t="shared" si="151"/>
        <v>2.9232123580000007</v>
      </c>
      <c r="AC901" s="22">
        <f t="shared" si="152"/>
        <v>2.5477538900000001</v>
      </c>
      <c r="AD901" s="22">
        <f t="shared" si="153"/>
        <v>0.75091693599999998</v>
      </c>
      <c r="AE901" s="137">
        <f t="shared" si="154"/>
        <v>-5.3749843840000002</v>
      </c>
      <c r="AF901" s="218">
        <v>468</v>
      </c>
      <c r="AG901" s="137">
        <f t="shared" si="155"/>
        <v>477.08087238299998</v>
      </c>
    </row>
    <row r="902" spans="2:34" outlineLevel="1" x14ac:dyDescent="0.3">
      <c r="B902" s="114">
        <f t="shared" si="156"/>
        <v>49</v>
      </c>
      <c r="C902" s="114" t="s">
        <v>406</v>
      </c>
      <c r="D902" s="370">
        <v>1792147</v>
      </c>
      <c r="E902"/>
      <c r="F902" s="14">
        <v>72</v>
      </c>
      <c r="G902" s="14">
        <v>77</v>
      </c>
      <c r="H902" s="14">
        <v>82</v>
      </c>
      <c r="I902" s="14">
        <v>82</v>
      </c>
      <c r="J902" s="14">
        <v>183</v>
      </c>
      <c r="K902" s="14">
        <v>82</v>
      </c>
      <c r="L902" s="14">
        <v>89</v>
      </c>
      <c r="M902" s="184">
        <v>61</v>
      </c>
      <c r="N902" s="14"/>
      <c r="O902" s="218">
        <v>57</v>
      </c>
      <c r="P902" s="218">
        <v>52</v>
      </c>
      <c r="Q902" s="218">
        <v>47</v>
      </c>
      <c r="R902" s="218">
        <v>47</v>
      </c>
      <c r="S902" s="218">
        <v>0</v>
      </c>
      <c r="T902" s="218">
        <v>42</v>
      </c>
      <c r="U902" s="218">
        <v>40</v>
      </c>
      <c r="V902" s="333">
        <v>68</v>
      </c>
      <c r="W902"/>
      <c r="X902" s="22">
        <f t="shared" si="147"/>
        <v>-12.156133101</v>
      </c>
      <c r="Y902" s="22">
        <f t="shared" si="148"/>
        <v>-24.043444151999999</v>
      </c>
      <c r="Z902" s="22">
        <f t="shared" si="149"/>
        <v>-6.6542418109999995</v>
      </c>
      <c r="AA902" s="22">
        <f t="shared" si="150"/>
        <v>11.118479988000002</v>
      </c>
      <c r="AB902" s="22">
        <f t="shared" si="151"/>
        <v>0</v>
      </c>
      <c r="AC902" s="22">
        <f t="shared" si="152"/>
        <v>7.1506665300000005</v>
      </c>
      <c r="AD902" s="22">
        <f t="shared" si="153"/>
        <v>2.0072046400000003</v>
      </c>
      <c r="AE902" s="137">
        <f t="shared" si="154"/>
        <v>-13.648991552000002</v>
      </c>
      <c r="AF902" s="218">
        <v>76</v>
      </c>
      <c r="AG902" s="137">
        <f t="shared" si="155"/>
        <v>112.22645945799999</v>
      </c>
    </row>
    <row r="903" spans="2:34" outlineLevel="1" x14ac:dyDescent="0.3">
      <c r="B903" s="114">
        <f t="shared" si="156"/>
        <v>50</v>
      </c>
      <c r="C903" s="114" t="s">
        <v>407</v>
      </c>
      <c r="D903" s="370">
        <v>5822434</v>
      </c>
      <c r="E903"/>
      <c r="F903" s="14">
        <v>77</v>
      </c>
      <c r="G903" s="14">
        <v>76</v>
      </c>
      <c r="H903" s="14">
        <v>76</v>
      </c>
      <c r="I903" s="14">
        <v>76</v>
      </c>
      <c r="J903" s="14">
        <v>183</v>
      </c>
      <c r="K903" s="14">
        <v>84</v>
      </c>
      <c r="L903" s="14">
        <v>183</v>
      </c>
      <c r="M903" s="184">
        <v>61</v>
      </c>
      <c r="N903" s="14"/>
      <c r="O903" s="218">
        <v>52</v>
      </c>
      <c r="P903" s="218">
        <v>53</v>
      </c>
      <c r="Q903" s="218">
        <v>53</v>
      </c>
      <c r="R903" s="218">
        <v>53</v>
      </c>
      <c r="S903" s="218">
        <v>0</v>
      </c>
      <c r="T903" s="218">
        <v>45</v>
      </c>
      <c r="U903" s="218">
        <v>0</v>
      </c>
      <c r="V903" s="333">
        <v>68</v>
      </c>
      <c r="W903"/>
      <c r="X903" s="22">
        <f t="shared" si="147"/>
        <v>-36.029221591999999</v>
      </c>
      <c r="Y903" s="22">
        <f t="shared" si="148"/>
        <v>-79.615962515999996</v>
      </c>
      <c r="Z903" s="22">
        <f t="shared" si="149"/>
        <v>-24.378531158000001</v>
      </c>
      <c r="AA903" s="22">
        <f t="shared" si="150"/>
        <v>40.733748264000006</v>
      </c>
      <c r="AB903" s="22">
        <f t="shared" si="151"/>
        <v>0</v>
      </c>
      <c r="AC903" s="22">
        <f t="shared" si="152"/>
        <v>24.890905350000001</v>
      </c>
      <c r="AD903" s="22">
        <f t="shared" si="153"/>
        <v>0</v>
      </c>
      <c r="AE903" s="137">
        <f t="shared" si="154"/>
        <v>-44.343657344000007</v>
      </c>
      <c r="AF903" s="218">
        <v>656</v>
      </c>
      <c r="AG903" s="137">
        <f t="shared" si="155"/>
        <v>774.74271899600001</v>
      </c>
    </row>
    <row r="904" spans="2:34" outlineLevel="1" x14ac:dyDescent="0.3">
      <c r="B904" s="114">
        <f t="shared" si="156"/>
        <v>51</v>
      </c>
      <c r="C904" s="114" t="s">
        <v>408</v>
      </c>
      <c r="D904" s="370">
        <v>578759</v>
      </c>
      <c r="E904"/>
      <c r="F904" s="14">
        <v>78</v>
      </c>
      <c r="G904" s="14">
        <v>75</v>
      </c>
      <c r="H904" s="14">
        <v>78</v>
      </c>
      <c r="I904" s="14">
        <v>76</v>
      </c>
      <c r="J904" s="14">
        <v>101</v>
      </c>
      <c r="K904" s="14">
        <v>183</v>
      </c>
      <c r="L904" s="14">
        <v>183</v>
      </c>
      <c r="M904" s="184">
        <v>61</v>
      </c>
      <c r="N904" s="14"/>
      <c r="O904" s="218">
        <v>51</v>
      </c>
      <c r="P904" s="218">
        <v>54</v>
      </c>
      <c r="Q904" s="218">
        <v>51</v>
      </c>
      <c r="R904" s="218">
        <v>53</v>
      </c>
      <c r="S904" s="218">
        <v>28</v>
      </c>
      <c r="T904" s="218">
        <v>0</v>
      </c>
      <c r="U904" s="218">
        <v>0</v>
      </c>
      <c r="V904" s="333">
        <v>68</v>
      </c>
      <c r="W904"/>
      <c r="X904" s="22">
        <f t="shared" si="147"/>
        <v>-3.5124883709999999</v>
      </c>
      <c r="Y904" s="22">
        <f t="shared" si="148"/>
        <v>-8.0632703879999994</v>
      </c>
      <c r="Z904" s="22">
        <f t="shared" si="149"/>
        <v>-2.331820011</v>
      </c>
      <c r="AA904" s="22">
        <f t="shared" si="150"/>
        <v>4.0489979639999998</v>
      </c>
      <c r="AB904" s="22">
        <f t="shared" si="151"/>
        <v>1.7663724680000001</v>
      </c>
      <c r="AC904" s="22">
        <f t="shared" si="152"/>
        <v>0</v>
      </c>
      <c r="AD904" s="22">
        <f t="shared" si="153"/>
        <v>0</v>
      </c>
      <c r="AE904" s="137">
        <f t="shared" si="154"/>
        <v>-4.4078285440000009</v>
      </c>
      <c r="AF904" s="218">
        <v>17</v>
      </c>
      <c r="AG904" s="137">
        <f t="shared" si="155"/>
        <v>29.500036882</v>
      </c>
    </row>
    <row r="905" spans="2:34" x14ac:dyDescent="0.3">
      <c r="B905" s="368"/>
      <c r="C905" s="368" t="s">
        <v>156</v>
      </c>
      <c r="D905" s="369">
        <f>SUM(D854:D904)</f>
        <v>328239523</v>
      </c>
      <c r="E905" s="52"/>
      <c r="F905" s="52"/>
      <c r="G905" s="52"/>
      <c r="H905" s="52"/>
      <c r="I905" s="52"/>
      <c r="J905" s="52"/>
      <c r="K905" s="52"/>
      <c r="L905" s="52"/>
      <c r="M905" s="368"/>
      <c r="N905" s="52"/>
      <c r="O905" s="367"/>
      <c r="P905" s="367"/>
      <c r="Q905" s="367"/>
      <c r="R905" s="367"/>
      <c r="S905" s="367"/>
      <c r="T905" s="367"/>
      <c r="U905" s="367"/>
      <c r="V905" s="366"/>
      <c r="W905" s="52"/>
      <c r="X905" s="367">
        <f t="shared" ref="X905:AG905" si="157">SUM(X854:X904)</f>
        <v>-2132.116601965</v>
      </c>
      <c r="Y905" s="367">
        <f t="shared" si="157"/>
        <v>-4376.9352179879997</v>
      </c>
      <c r="Z905" s="367">
        <f t="shared" si="157"/>
        <v>-1351.0811778889999</v>
      </c>
      <c r="AA905" s="367">
        <f t="shared" si="157"/>
        <v>2283.1795611240009</v>
      </c>
      <c r="AB905" s="367">
        <f t="shared" si="157"/>
        <v>113.03879520299999</v>
      </c>
      <c r="AC905" s="367">
        <f t="shared" si="157"/>
        <v>1327.31958564</v>
      </c>
      <c r="AD905" s="367">
        <f t="shared" si="157"/>
        <v>221.97395542000001</v>
      </c>
      <c r="AE905" s="366">
        <f t="shared" si="157"/>
        <v>-2499.8722071680013</v>
      </c>
      <c r="AF905" s="367">
        <f t="shared" si="157"/>
        <v>108293</v>
      </c>
      <c r="AG905" s="366">
        <f t="shared" si="157"/>
        <v>114707.49330762298</v>
      </c>
      <c r="AH905" s="3">
        <f>AF905/AG905-1</f>
        <v>-5.592043834852678E-2</v>
      </c>
    </row>
    <row r="906" spans="2:34" x14ac:dyDescent="0.3">
      <c r="B906" s="62" t="s">
        <v>521</v>
      </c>
      <c r="D906" s="26"/>
    </row>
    <row r="908" spans="2:34" s="154" customFormat="1" ht="19.5" x14ac:dyDescent="0.4">
      <c r="B908" s="154" t="s">
        <v>523</v>
      </c>
    </row>
    <row r="910" spans="2:34" x14ac:dyDescent="0.3">
      <c r="C910" s="4" t="s">
        <v>523</v>
      </c>
    </row>
    <row r="911" spans="2:34" x14ac:dyDescent="0.3">
      <c r="C911" s="113"/>
      <c r="D911" s="365" t="s">
        <v>524</v>
      </c>
      <c r="E911" s="9"/>
      <c r="F911" s="9"/>
      <c r="G911" s="9"/>
      <c r="H911" s="113"/>
      <c r="I911" s="365" t="s">
        <v>525</v>
      </c>
      <c r="J911" s="9"/>
      <c r="K911" s="9"/>
      <c r="L911" s="9"/>
      <c r="M911" s="113"/>
      <c r="N911" s="365" t="s">
        <v>875</v>
      </c>
      <c r="O911" s="113"/>
      <c r="P911" s="365" t="s">
        <v>526</v>
      </c>
      <c r="Q911" s="113"/>
    </row>
    <row r="912" spans="2:34" x14ac:dyDescent="0.3">
      <c r="C912" s="42"/>
      <c r="D912" s="12" t="s">
        <v>2</v>
      </c>
      <c r="E912" s="12" t="s">
        <v>527</v>
      </c>
      <c r="F912" s="12" t="s">
        <v>270</v>
      </c>
      <c r="G912" s="12" t="s">
        <v>271</v>
      </c>
      <c r="H912" s="42" t="s">
        <v>15</v>
      </c>
      <c r="I912" s="12"/>
      <c r="J912" s="12"/>
      <c r="K912" s="12" t="s">
        <v>270</v>
      </c>
      <c r="L912" s="12" t="s">
        <v>271</v>
      </c>
      <c r="M912" s="42" t="s">
        <v>15</v>
      </c>
      <c r="N912" s="12" t="s">
        <v>528</v>
      </c>
      <c r="O912" s="42" t="s">
        <v>529</v>
      </c>
      <c r="P912" s="12" t="s">
        <v>316</v>
      </c>
      <c r="Q912" s="42" t="s">
        <v>15</v>
      </c>
    </row>
    <row r="913" spans="2:17" x14ac:dyDescent="0.3">
      <c r="C913" s="114" t="s">
        <v>530</v>
      </c>
      <c r="D913" s="6">
        <v>-0.11899999999999999</v>
      </c>
      <c r="E913" s="6" t="s">
        <v>531</v>
      </c>
      <c r="F913" t="str">
        <f t="shared" ref="F913:F920" si="158">MID(E913,2,6)</f>
        <v>-0.297</v>
      </c>
      <c r="G913">
        <f t="shared" ref="G913:G920" si="159">SUBSTITUTE(SUBSTITUTE(MID(E913,FIND("to",E913)+2,99),")",""),CHAR(10),"")*1</f>
        <v>5.8999999999999997E-2</v>
      </c>
      <c r="H913" s="364">
        <f t="shared" ref="H913:H920" si="160">(G913-F913)/2/1.96</f>
        <v>9.0816326530612237E-2</v>
      </c>
      <c r="I913" s="6">
        <v>-1.238</v>
      </c>
      <c r="J913" s="6" t="s">
        <v>532</v>
      </c>
      <c r="K913" t="str">
        <f t="shared" ref="K913:K920" si="161">MID(J913,2,6)</f>
        <v>-2.203</v>
      </c>
      <c r="L913">
        <f t="shared" ref="L913:L920" si="162">SUBSTITUTE(SUBSTITUTE(MID(J913,FIND("to",J913)+2,99),")",""),CHAR(10),"")*1</f>
        <v>-0.27300000000000002</v>
      </c>
      <c r="M913" s="364">
        <f t="shared" ref="M913:M920" si="163">(L913-K913)/2/1.96</f>
        <v>0.49234693877551017</v>
      </c>
      <c r="N913" s="121">
        <f t="shared" ref="N913:N920" si="164">AVERAGE(D913,I913)</f>
        <v>-0.67849999999999999</v>
      </c>
      <c r="O913" s="364">
        <f t="shared" ref="O913:O920" si="165">AVERAGE(H913,M913)</f>
        <v>0.2915816326530612</v>
      </c>
      <c r="P913" s="121">
        <f t="shared" ref="P913:P920" si="166">CHOOSE($C$758,D913,I913,N913)</f>
        <v>-0.11899999999999999</v>
      </c>
      <c r="Q913" s="364">
        <f t="shared" ref="Q913:Q920" si="167">CHOOSE($C$758,H913,M913,O913)</f>
        <v>9.0816326530612237E-2</v>
      </c>
    </row>
    <row r="914" spans="2:17" x14ac:dyDescent="0.3">
      <c r="C914" s="114" t="s">
        <v>533</v>
      </c>
      <c r="D914" s="6">
        <v>-0.25800000000000001</v>
      </c>
      <c r="E914" s="6" t="s">
        <v>534</v>
      </c>
      <c r="F914" t="str">
        <f t="shared" si="158"/>
        <v>-0.465</v>
      </c>
      <c r="G914">
        <f t="shared" si="159"/>
        <v>-5.0999999999999997E-2</v>
      </c>
      <c r="H914" s="364">
        <f t="shared" si="160"/>
        <v>0.1056122448979592</v>
      </c>
      <c r="I914" s="6">
        <v>-0.313</v>
      </c>
      <c r="J914" s="6" t="s">
        <v>535</v>
      </c>
      <c r="K914" t="str">
        <f t="shared" si="161"/>
        <v>-0.861</v>
      </c>
      <c r="L914">
        <f t="shared" si="162"/>
        <v>0.23400000000000001</v>
      </c>
      <c r="M914" s="364">
        <f t="shared" si="163"/>
        <v>0.27933673469387754</v>
      </c>
      <c r="N914" s="121">
        <f t="shared" si="164"/>
        <v>-0.28549999999999998</v>
      </c>
      <c r="O914" s="364">
        <f t="shared" si="165"/>
        <v>0.19247448979591836</v>
      </c>
      <c r="P914" s="121">
        <f t="shared" si="166"/>
        <v>-0.25800000000000001</v>
      </c>
      <c r="Q914" s="364">
        <f t="shared" si="167"/>
        <v>0.1056122448979592</v>
      </c>
    </row>
    <row r="915" spans="2:17" x14ac:dyDescent="0.3">
      <c r="C915" s="114" t="s">
        <v>536</v>
      </c>
      <c r="D915" s="6">
        <v>-7.9000000000000001E-2</v>
      </c>
      <c r="E915" s="6" t="s">
        <v>537</v>
      </c>
      <c r="F915" t="str">
        <f t="shared" si="158"/>
        <v>-0.325</v>
      </c>
      <c r="G915">
        <f t="shared" si="159"/>
        <v>0.16700000000000001</v>
      </c>
      <c r="H915" s="364">
        <f t="shared" si="160"/>
        <v>0.12551020408163266</v>
      </c>
      <c r="I915" s="6">
        <v>0.34399999999999997</v>
      </c>
      <c r="J915" s="6" t="s">
        <v>538</v>
      </c>
      <c r="K915" t="str">
        <f t="shared" si="161"/>
        <v>-0.403</v>
      </c>
      <c r="L915">
        <f t="shared" si="162"/>
        <v>1.091</v>
      </c>
      <c r="M915" s="364">
        <f t="shared" si="163"/>
        <v>0.38112244897959185</v>
      </c>
      <c r="N915" s="121">
        <f t="shared" si="164"/>
        <v>0.13249999999999998</v>
      </c>
      <c r="O915" s="364">
        <f t="shared" si="165"/>
        <v>0.25331632653061226</v>
      </c>
      <c r="P915" s="121">
        <f t="shared" si="166"/>
        <v>-7.9000000000000001E-2</v>
      </c>
      <c r="Q915" s="364">
        <f t="shared" si="167"/>
        <v>0.12551020408163266</v>
      </c>
    </row>
    <row r="916" spans="2:17" x14ac:dyDescent="0.3">
      <c r="C916" s="114" t="s">
        <v>228</v>
      </c>
      <c r="D916" s="6">
        <v>0.13200000000000001</v>
      </c>
      <c r="E916" s="6" t="s">
        <v>539</v>
      </c>
      <c r="F916" t="str">
        <f t="shared" si="158"/>
        <v>-0.017</v>
      </c>
      <c r="G916" s="116">
        <f t="shared" si="159"/>
        <v>0.28000000000000003</v>
      </c>
      <c r="H916" s="364">
        <f t="shared" si="160"/>
        <v>7.5765306122448986E-2</v>
      </c>
      <c r="I916" s="6">
        <v>0.32800000000000001</v>
      </c>
      <c r="J916" s="6" t="s">
        <v>540</v>
      </c>
      <c r="K916" t="str">
        <f t="shared" si="161"/>
        <v>-0.021</v>
      </c>
      <c r="L916" s="116">
        <f t="shared" si="162"/>
        <v>0.67700000000000005</v>
      </c>
      <c r="M916" s="364">
        <f t="shared" si="163"/>
        <v>0.17806122448979594</v>
      </c>
      <c r="N916" s="121">
        <f t="shared" si="164"/>
        <v>0.23</v>
      </c>
      <c r="O916" s="364">
        <f t="shared" si="165"/>
        <v>0.12691326530612246</v>
      </c>
      <c r="P916" s="121">
        <f t="shared" si="166"/>
        <v>0.13200000000000001</v>
      </c>
      <c r="Q916" s="364">
        <f t="shared" si="167"/>
        <v>7.5765306122448986E-2</v>
      </c>
    </row>
    <row r="917" spans="2:17" x14ac:dyDescent="0.3">
      <c r="C917" s="114" t="s">
        <v>541</v>
      </c>
      <c r="D917" s="6">
        <v>0.109</v>
      </c>
      <c r="E917" s="6" t="s">
        <v>542</v>
      </c>
      <c r="F917" t="str">
        <f t="shared" si="158"/>
        <v>-0.172</v>
      </c>
      <c r="G917">
        <f t="shared" si="159"/>
        <v>0.39100000000000001</v>
      </c>
      <c r="H917" s="364">
        <f t="shared" si="160"/>
        <v>0.14362244897959184</v>
      </c>
      <c r="I917" s="6">
        <v>-0.11</v>
      </c>
      <c r="J917" s="6" t="s">
        <v>543</v>
      </c>
      <c r="K917" t="str">
        <f t="shared" si="161"/>
        <v>-1.020</v>
      </c>
      <c r="L917">
        <f t="shared" si="162"/>
        <v>0.80100000000000005</v>
      </c>
      <c r="M917" s="364">
        <f t="shared" si="163"/>
        <v>0.46454081632653066</v>
      </c>
      <c r="N917" s="121">
        <f t="shared" si="164"/>
        <v>-5.0000000000000044E-4</v>
      </c>
      <c r="O917" s="364">
        <f t="shared" si="165"/>
        <v>0.30408163265306126</v>
      </c>
      <c r="P917" s="121">
        <f t="shared" si="166"/>
        <v>0.109</v>
      </c>
      <c r="Q917" s="364">
        <f t="shared" si="167"/>
        <v>0.14362244897959184</v>
      </c>
    </row>
    <row r="918" spans="2:17" x14ac:dyDescent="0.3">
      <c r="C918" s="114" t="s">
        <v>544</v>
      </c>
      <c r="D918" s="6">
        <v>9.5000000000000001E-2</v>
      </c>
      <c r="E918" s="6" t="s">
        <v>545</v>
      </c>
      <c r="F918" t="str">
        <f t="shared" si="158"/>
        <v>-0.224</v>
      </c>
      <c r="G918">
        <f t="shared" si="159"/>
        <v>0.41299999999999998</v>
      </c>
      <c r="H918" s="364">
        <f t="shared" si="160"/>
        <v>0.16250000000000001</v>
      </c>
      <c r="I918" s="6">
        <v>0.50600000000000001</v>
      </c>
      <c r="J918" s="6" t="s">
        <v>546</v>
      </c>
      <c r="K918" t="str">
        <f t="shared" si="161"/>
        <v>-0.380</v>
      </c>
      <c r="L918">
        <f t="shared" si="162"/>
        <v>1.3919999999999999</v>
      </c>
      <c r="M918" s="364">
        <f t="shared" si="163"/>
        <v>0.45204081632653059</v>
      </c>
      <c r="N918" s="121">
        <f t="shared" si="164"/>
        <v>0.30049999999999999</v>
      </c>
      <c r="O918" s="364">
        <f t="shared" si="165"/>
        <v>0.30727040816326529</v>
      </c>
      <c r="P918" s="121">
        <f t="shared" si="166"/>
        <v>9.5000000000000001E-2</v>
      </c>
      <c r="Q918" s="364">
        <f t="shared" si="167"/>
        <v>0.16250000000000001</v>
      </c>
    </row>
    <row r="919" spans="2:17" x14ac:dyDescent="0.3">
      <c r="C919" s="114" t="s">
        <v>547</v>
      </c>
      <c r="D919" s="6">
        <v>2.8000000000000001E-2</v>
      </c>
      <c r="E919" s="6" t="s">
        <v>548</v>
      </c>
      <c r="F919" t="str">
        <f t="shared" si="158"/>
        <v>-0.246</v>
      </c>
      <c r="G919">
        <f t="shared" si="159"/>
        <v>0.30199999999999999</v>
      </c>
      <c r="H919" s="364">
        <f t="shared" si="160"/>
        <v>0.13979591836734695</v>
      </c>
      <c r="I919" s="6">
        <v>0.14199999999999999</v>
      </c>
      <c r="J919" s="6" t="s">
        <v>549</v>
      </c>
      <c r="K919" t="str">
        <f t="shared" si="161"/>
        <v>-0.613</v>
      </c>
      <c r="L919">
        <f t="shared" si="162"/>
        <v>0.89700000000000002</v>
      </c>
      <c r="M919" s="364">
        <f t="shared" si="163"/>
        <v>0.38520408163265307</v>
      </c>
      <c r="N919" s="121">
        <f t="shared" si="164"/>
        <v>8.4999999999999992E-2</v>
      </c>
      <c r="O919" s="364">
        <f t="shared" si="165"/>
        <v>0.26250000000000001</v>
      </c>
      <c r="P919" s="121">
        <f t="shared" si="166"/>
        <v>2.8000000000000001E-2</v>
      </c>
      <c r="Q919" s="364">
        <f t="shared" si="167"/>
        <v>0.13979591836734695</v>
      </c>
    </row>
    <row r="920" spans="2:17" x14ac:dyDescent="0.3">
      <c r="C920" s="42" t="s">
        <v>550</v>
      </c>
      <c r="D920" s="7">
        <v>-0.112</v>
      </c>
      <c r="E920" s="7" t="s">
        <v>551</v>
      </c>
      <c r="F920" s="12" t="str">
        <f t="shared" si="158"/>
        <v>-0.262</v>
      </c>
      <c r="G920" s="12">
        <f t="shared" si="159"/>
        <v>3.7999999999999999E-2</v>
      </c>
      <c r="H920" s="361">
        <f t="shared" si="160"/>
        <v>7.6530612244897961E-2</v>
      </c>
      <c r="I920" s="7">
        <v>-0.63100000000000001</v>
      </c>
      <c r="J920" s="7" t="s">
        <v>552</v>
      </c>
      <c r="K920" s="12" t="str">
        <f t="shared" si="161"/>
        <v>-1.296</v>
      </c>
      <c r="L920" s="12">
        <f t="shared" si="162"/>
        <v>3.4000000000000002E-2</v>
      </c>
      <c r="M920" s="361">
        <f t="shared" si="163"/>
        <v>0.3392857142857143</v>
      </c>
      <c r="N920" s="363">
        <f t="shared" si="164"/>
        <v>-0.3715</v>
      </c>
      <c r="O920" s="361">
        <f t="shared" si="165"/>
        <v>0.20790816326530615</v>
      </c>
      <c r="P920" s="362">
        <f t="shared" si="166"/>
        <v>-0.112</v>
      </c>
      <c r="Q920" s="361">
        <f t="shared" si="167"/>
        <v>7.6530612244897961E-2</v>
      </c>
    </row>
    <row r="922" spans="2:17" x14ac:dyDescent="0.3">
      <c r="C922" s="9" t="s">
        <v>553</v>
      </c>
      <c r="D922" s="9"/>
      <c r="E922" s="360">
        <v>43983</v>
      </c>
    </row>
    <row r="923" spans="2:17" x14ac:dyDescent="0.3">
      <c r="C923" s="12" t="s">
        <v>554</v>
      </c>
      <c r="D923" s="12"/>
      <c r="E923" s="189">
        <f>E922-24</f>
        <v>43959</v>
      </c>
    </row>
    <row r="924" spans="2:17" x14ac:dyDescent="0.3">
      <c r="C924" s="62" t="s">
        <v>555</v>
      </c>
    </row>
    <row r="925" spans="2:17" x14ac:dyDescent="0.3">
      <c r="C925" s="62"/>
    </row>
    <row r="926" spans="2:17" s="154" customFormat="1" ht="19.5" x14ac:dyDescent="0.4">
      <c r="B926" s="154" t="s">
        <v>876</v>
      </c>
    </row>
    <row r="936" spans="3:47" x14ac:dyDescent="0.3">
      <c r="C936" s="113"/>
      <c r="D936" s="92" t="s">
        <v>949</v>
      </c>
      <c r="E936" s="92"/>
      <c r="F936" s="115"/>
      <c r="G936" s="92" t="s">
        <v>956</v>
      </c>
      <c r="H936" s="92"/>
      <c r="I936" s="115"/>
      <c r="AP936" s="3" t="s">
        <v>949</v>
      </c>
      <c r="AS936" s="3" t="s">
        <v>956</v>
      </c>
    </row>
    <row r="937" spans="3:47" x14ac:dyDescent="0.3">
      <c r="C937" s="42"/>
      <c r="D937" s="12" t="s">
        <v>443</v>
      </c>
      <c r="E937" s="12" t="s">
        <v>444</v>
      </c>
      <c r="F937" s="425" t="s">
        <v>282</v>
      </c>
      <c r="G937" s="12" t="s">
        <v>443</v>
      </c>
      <c r="H937" s="12" t="s">
        <v>444</v>
      </c>
      <c r="I937" s="425" t="s">
        <v>282</v>
      </c>
      <c r="AP937" s="3" t="s">
        <v>443</v>
      </c>
      <c r="AQ937" s="3" t="s">
        <v>444</v>
      </c>
      <c r="AR937" s="3" t="s">
        <v>282</v>
      </c>
      <c r="AS937" s="3" t="s">
        <v>443</v>
      </c>
      <c r="AT937" s="3" t="s">
        <v>444</v>
      </c>
      <c r="AU937" s="3" t="s">
        <v>282</v>
      </c>
    </row>
    <row r="938" spans="3:47" x14ac:dyDescent="0.3">
      <c r="C938" s="114" t="s">
        <v>888</v>
      </c>
      <c r="D938" s="228">
        <f>F949</f>
        <v>-1.9405788854149605E-2</v>
      </c>
      <c r="E938" s="314">
        <f>H949</f>
        <v>-3.5238181122122042E-2</v>
      </c>
      <c r="F938" s="424">
        <f>AVERAGE(D938,E938)</f>
        <v>-2.7321984988135824E-2</v>
      </c>
      <c r="G938" s="237">
        <f>G949</f>
        <v>7.1933161516839431E-3</v>
      </c>
      <c r="H938" s="237">
        <f>I949</f>
        <v>1.797866383781737E-2</v>
      </c>
      <c r="I938" s="426">
        <f>AVERAGE(G938,H938)</f>
        <v>1.2585989994750656E-2</v>
      </c>
      <c r="J938" s="58"/>
      <c r="AO938" s="3" t="s">
        <v>93</v>
      </c>
      <c r="AP938" s="58">
        <f>F949</f>
        <v>-1.9405788854149605E-2</v>
      </c>
      <c r="AQ938" s="58">
        <f>H949</f>
        <v>-3.5238181122122042E-2</v>
      </c>
      <c r="AS938" s="134">
        <f>G949</f>
        <v>7.1933161516839431E-3</v>
      </c>
      <c r="AT938" s="134">
        <f>I949</f>
        <v>1.797866383781737E-2</v>
      </c>
    </row>
    <row r="939" spans="3:47" x14ac:dyDescent="0.3">
      <c r="C939" s="114" t="s">
        <v>889</v>
      </c>
      <c r="D939" s="228">
        <f>F950</f>
        <v>2.0000131357617232E-2</v>
      </c>
      <c r="E939" s="314">
        <f>H950</f>
        <v>7.4263358789366712E-2</v>
      </c>
      <c r="F939" s="424">
        <f>AVERAGE(D939,E939)</f>
        <v>4.7131745073491972E-2</v>
      </c>
      <c r="G939" s="237">
        <f>G950</f>
        <v>3.679871107571793E-2</v>
      </c>
      <c r="H939" s="237">
        <f>I950</f>
        <v>4.9304885643123485E-2</v>
      </c>
      <c r="I939" s="426">
        <f>AVERAGE(G939,H939)</f>
        <v>4.3051798359420704E-2</v>
      </c>
      <c r="AO939" s="3" t="s">
        <v>94</v>
      </c>
      <c r="AP939" s="58">
        <f>F950</f>
        <v>2.0000131357617232E-2</v>
      </c>
      <c r="AQ939" s="58">
        <f>H950</f>
        <v>7.4263358789366712E-2</v>
      </c>
      <c r="AS939" s="134">
        <f>G950</f>
        <v>3.679871107571793E-2</v>
      </c>
      <c r="AT939" s="134">
        <f>I950</f>
        <v>4.9304885643123485E-2</v>
      </c>
    </row>
    <row r="940" spans="3:47" x14ac:dyDescent="0.3">
      <c r="C940" s="114" t="s">
        <v>890</v>
      </c>
      <c r="D940" s="228">
        <f>F951</f>
        <v>1.9400658144767588E-2</v>
      </c>
      <c r="E940" s="314">
        <f>H951</f>
        <v>7.5187805442347558E-2</v>
      </c>
      <c r="F940" s="424">
        <f>AVERAGE(D940,E940)</f>
        <v>4.7294231793557573E-2</v>
      </c>
      <c r="G940" s="237">
        <f>G951</f>
        <v>3.6186623825550462E-2</v>
      </c>
      <c r="H940" s="237">
        <f>I951</f>
        <v>4.7985657536775202E-2</v>
      </c>
      <c r="I940" s="426">
        <f>AVERAGE(G940,H940)</f>
        <v>4.2086140681162829E-2</v>
      </c>
      <c r="AO940" s="3" t="s">
        <v>95</v>
      </c>
      <c r="AP940" s="58">
        <f>F951</f>
        <v>1.9400658144767588E-2</v>
      </c>
      <c r="AQ940" s="58">
        <f>H951</f>
        <v>7.5187805442347558E-2</v>
      </c>
      <c r="AS940" s="134">
        <f>G951</f>
        <v>3.6186623825550462E-2</v>
      </c>
      <c r="AT940" s="134">
        <f>I951</f>
        <v>4.7985657536775202E-2</v>
      </c>
    </row>
    <row r="941" spans="3:47" x14ac:dyDescent="0.3">
      <c r="C941" s="114" t="s">
        <v>891</v>
      </c>
      <c r="D941" s="228">
        <f>F952</f>
        <v>8.1582410837095498E-3</v>
      </c>
      <c r="E941" s="314">
        <f>H952</f>
        <v>6.8749841250549615E-2</v>
      </c>
      <c r="F941" s="424">
        <f>AVERAGE(D941,E941)</f>
        <v>3.8454041167129582E-2</v>
      </c>
      <c r="G941" s="237">
        <f>G952</f>
        <v>6.8817815944216612E-2</v>
      </c>
      <c r="H941" s="237">
        <f>I952</f>
        <v>6.1558007607094373E-2</v>
      </c>
      <c r="I941" s="426">
        <f>AVERAGE(G941,H941)</f>
        <v>6.5187911775655499E-2</v>
      </c>
      <c r="AO941" s="3" t="s">
        <v>96</v>
      </c>
      <c r="AP941" s="58">
        <f>F952</f>
        <v>8.1582410837095498E-3</v>
      </c>
      <c r="AQ941" s="58">
        <f>H952</f>
        <v>6.8749841250549615E-2</v>
      </c>
      <c r="AS941" s="134">
        <f>G952</f>
        <v>6.8817815944216612E-2</v>
      </c>
      <c r="AT941" s="134">
        <f>I952</f>
        <v>6.1558007607094373E-2</v>
      </c>
    </row>
    <row r="942" spans="3:47" x14ac:dyDescent="0.3">
      <c r="C942" s="114" t="s">
        <v>892</v>
      </c>
      <c r="D942" s="228">
        <f>F953</f>
        <v>2.2800401889216018E-2</v>
      </c>
      <c r="E942" s="314">
        <f>H953</f>
        <v>7.6723519983851657E-2</v>
      </c>
      <c r="F942" s="424">
        <f>AVERAGE(D942,E942)</f>
        <v>4.9761960936533838E-2</v>
      </c>
      <c r="G942" s="237">
        <f>G953</f>
        <v>3.9000687442080031E-2</v>
      </c>
      <c r="H942" s="237">
        <f>I953</f>
        <v>6.8541823329931195E-2</v>
      </c>
      <c r="I942" s="426">
        <f>AVERAGE(G942,H942)</f>
        <v>5.3771255386005613E-2</v>
      </c>
      <c r="AO942" s="3" t="s">
        <v>97</v>
      </c>
      <c r="AP942" s="58">
        <f>F953</f>
        <v>2.2800401889216018E-2</v>
      </c>
      <c r="AQ942" s="58">
        <f>H953</f>
        <v>7.6723519983851657E-2</v>
      </c>
      <c r="AS942" s="134">
        <f>G953</f>
        <v>3.9000687442080031E-2</v>
      </c>
      <c r="AT942" s="134">
        <f>I953</f>
        <v>6.8541823329931195E-2</v>
      </c>
    </row>
    <row r="943" spans="3:47" x14ac:dyDescent="0.3">
      <c r="C943" s="62" t="s">
        <v>445</v>
      </c>
      <c r="D943" s="58"/>
      <c r="E943" s="58"/>
      <c r="F943" s="134"/>
      <c r="G943" s="134"/>
      <c r="H943" s="134"/>
      <c r="I943" s="134"/>
      <c r="J943" s="134"/>
      <c r="AO943" s="3" t="s">
        <v>98</v>
      </c>
      <c r="AP943" s="58" t="e">
        <f>#REF!</f>
        <v>#REF!</v>
      </c>
      <c r="AQ943" s="58" t="e">
        <f>#REF!</f>
        <v>#REF!</v>
      </c>
      <c r="AR943" s="58" t="e">
        <f>AVERAGE(D943:E943)</f>
        <v>#DIV/0!</v>
      </c>
      <c r="AS943" s="134" t="e">
        <f>#REF!</f>
        <v>#REF!</v>
      </c>
      <c r="AT943" s="134" t="e">
        <f>#REF!</f>
        <v>#REF!</v>
      </c>
      <c r="AU943" s="134" t="e">
        <f>AVERAGE(G943:H943)</f>
        <v>#DIV/0!</v>
      </c>
    </row>
    <row r="944" spans="3:47" x14ac:dyDescent="0.3">
      <c r="C944" s="62" t="s">
        <v>446</v>
      </c>
      <c r="D944" s="58"/>
      <c r="E944" s="58"/>
      <c r="F944" s="134"/>
      <c r="G944" s="134"/>
      <c r="H944" s="134"/>
      <c r="I944" s="134"/>
      <c r="AO944" s="3" t="s">
        <v>99</v>
      </c>
      <c r="AP944" s="58" t="e">
        <f>#REF!</f>
        <v>#REF!</v>
      </c>
      <c r="AQ944" s="58" t="e">
        <f>#REF!</f>
        <v>#REF!</v>
      </c>
      <c r="AS944" s="134" t="e">
        <f>#REF!</f>
        <v>#REF!</v>
      </c>
      <c r="AT944" s="134" t="e">
        <f>#REF!</f>
        <v>#REF!</v>
      </c>
    </row>
    <row r="945" spans="3:47" x14ac:dyDescent="0.3">
      <c r="D945" s="58"/>
      <c r="E945" s="58"/>
      <c r="F945" s="134"/>
      <c r="G945" s="134"/>
      <c r="H945" s="134"/>
      <c r="I945" s="134"/>
      <c r="AO945" s="3" t="s">
        <v>100</v>
      </c>
      <c r="AP945" s="58" t="e">
        <f>#REF!</f>
        <v>#REF!</v>
      </c>
      <c r="AQ945" s="58" t="e">
        <f>#REF!</f>
        <v>#REF!</v>
      </c>
      <c r="AS945" s="134" t="e">
        <f>#REF!</f>
        <v>#REF!</v>
      </c>
      <c r="AT945" s="134" t="e">
        <f>#REF!</f>
        <v>#REF!</v>
      </c>
    </row>
    <row r="946" spans="3:47" x14ac:dyDescent="0.3">
      <c r="F946" s="3" t="str">
        <f ca="1">"NOTE: Manually copy-pasted from cells to the left afther choosing time period in cell "&amp;CELL("address",C758)</f>
        <v>NOTE: Manually copy-pasted from cells to the left afther choosing time period in cell $C$758</v>
      </c>
      <c r="AO946" s="3" t="s">
        <v>445</v>
      </c>
    </row>
    <row r="947" spans="3:47" x14ac:dyDescent="0.3">
      <c r="C947" s="113"/>
      <c r="D947" s="9" t="s">
        <v>448</v>
      </c>
      <c r="E947" s="113" t="str">
        <f>INDEX(C755:C757,C758)</f>
        <v>24 days</v>
      </c>
      <c r="F947" s="92" t="s">
        <v>443</v>
      </c>
      <c r="G947" s="115"/>
      <c r="H947" s="92" t="s">
        <v>444</v>
      </c>
      <c r="I947" s="92"/>
      <c r="J947" s="420" t="s">
        <v>904</v>
      </c>
      <c r="K947" s="115"/>
      <c r="AO947" s="3" t="s">
        <v>446</v>
      </c>
    </row>
    <row r="948" spans="3:47" x14ac:dyDescent="0.3">
      <c r="C948" s="42"/>
      <c r="D948" s="12" t="s">
        <v>2</v>
      </c>
      <c r="E948" s="42" t="s">
        <v>15</v>
      </c>
      <c r="F948" s="43" t="s">
        <v>2</v>
      </c>
      <c r="G948" s="222" t="s">
        <v>15</v>
      </c>
      <c r="H948" s="43" t="s">
        <v>2</v>
      </c>
      <c r="I948" s="43" t="s">
        <v>15</v>
      </c>
      <c r="J948" s="421" t="s">
        <v>2</v>
      </c>
      <c r="K948" s="222" t="s">
        <v>15</v>
      </c>
    </row>
    <row r="949" spans="3:47" x14ac:dyDescent="0.3">
      <c r="C949" s="114" t="s">
        <v>888</v>
      </c>
      <c r="D949" s="110" cm="1">
        <f t="array" ref="D949:E953">TRANSPOSE(F963:J964)</f>
        <v>-1.9405788854149605E-2</v>
      </c>
      <c r="E949" s="387">
        <v>7.1933161516839431E-3</v>
      </c>
      <c r="F949" s="144">
        <v>-1.9405788854149605E-2</v>
      </c>
      <c r="G949" s="231">
        <v>7.1933161516839431E-3</v>
      </c>
      <c r="H949" s="144">
        <v>-3.5238181122122042E-2</v>
      </c>
      <c r="I949" s="232">
        <v>1.797866383781737E-2</v>
      </c>
      <c r="J949" s="422">
        <v>-2.8164506755917099E-2</v>
      </c>
      <c r="K949" s="231">
        <v>1.3266821215413177E-2</v>
      </c>
      <c r="AR949" s="3" t="str">
        <f ca="1">"NOTE: Manually copy-pasted from cells to the left afther choosing time period in cell "&amp;CELL("address",C758)</f>
        <v>NOTE: Manually copy-pasted from cells to the left afther choosing time period in cell $C$758</v>
      </c>
    </row>
    <row r="950" spans="3:47" x14ac:dyDescent="0.3">
      <c r="C950" s="114" t="s">
        <v>889</v>
      </c>
      <c r="D950" s="110">
        <v>2.0000131357617232E-2</v>
      </c>
      <c r="E950" s="387">
        <v>3.679871107571793E-2</v>
      </c>
      <c r="F950" s="141">
        <v>2.0000131357617232E-2</v>
      </c>
      <c r="G950" s="233">
        <v>3.679871107571793E-2</v>
      </c>
      <c r="H950" s="141">
        <v>7.4263358789366712E-2</v>
      </c>
      <c r="I950" s="234">
        <v>4.9304885643123485E-2</v>
      </c>
      <c r="J950" s="423">
        <v>4.9307205192599207E-2</v>
      </c>
      <c r="K950" s="233">
        <v>4.0146294897475551E-2</v>
      </c>
      <c r="AP950" s="3" t="s">
        <v>448</v>
      </c>
      <c r="AQ950" s="3" t="str">
        <f>INDEX(C755:C757,C758)</f>
        <v>24 days</v>
      </c>
      <c r="AR950" s="3" t="s">
        <v>443</v>
      </c>
      <c r="AT950" s="3" t="s">
        <v>444</v>
      </c>
    </row>
    <row r="951" spans="3:47" x14ac:dyDescent="0.3">
      <c r="C951" s="114" t="s">
        <v>890</v>
      </c>
      <c r="D951" s="110">
        <v>1.9400658144767588E-2</v>
      </c>
      <c r="E951" s="387">
        <v>3.6186623825550462E-2</v>
      </c>
      <c r="F951" s="141">
        <v>1.9400658144767588E-2</v>
      </c>
      <c r="G951" s="233">
        <v>3.6186623825550462E-2</v>
      </c>
      <c r="H951" s="141">
        <v>7.5187805442347558E-2</v>
      </c>
      <c r="I951" s="234">
        <v>4.7985657536775202E-2</v>
      </c>
      <c r="J951" s="423">
        <v>4.9535737029348464E-2</v>
      </c>
      <c r="K951" s="233">
        <v>3.8961405314148108E-2</v>
      </c>
      <c r="AP951" s="3" t="s">
        <v>2</v>
      </c>
      <c r="AQ951" s="3" t="s">
        <v>15</v>
      </c>
      <c r="AR951" s="3" t="s">
        <v>2</v>
      </c>
      <c r="AS951" s="3" t="s">
        <v>15</v>
      </c>
      <c r="AT951" s="3" t="s">
        <v>2</v>
      </c>
      <c r="AU951" s="3" t="s">
        <v>15</v>
      </c>
    </row>
    <row r="952" spans="3:47" x14ac:dyDescent="0.3">
      <c r="C952" s="114" t="s">
        <v>891</v>
      </c>
      <c r="D952" s="110">
        <v>8.1582410837095498E-3</v>
      </c>
      <c r="E952" s="387">
        <v>6.8817815944216612E-2</v>
      </c>
      <c r="F952" s="141">
        <v>8.1582410837095498E-3</v>
      </c>
      <c r="G952" s="233">
        <v>6.8817815944216612E-2</v>
      </c>
      <c r="H952" s="141">
        <v>6.8749841250549615E-2</v>
      </c>
      <c r="I952" s="234">
        <v>6.1558007607094373E-2</v>
      </c>
      <c r="J952" s="423">
        <v>4.0850044510370012E-2</v>
      </c>
      <c r="K952" s="233">
        <v>4.9630272603107733E-2</v>
      </c>
      <c r="AO952" s="3" t="s">
        <v>93</v>
      </c>
      <c r="AP952" s="3" t="e">
        <f>TRANSPOSE(F969:M970)</f>
        <v>#VALUE!</v>
      </c>
      <c r="AQ952" s="3" t="e">
        <f>TRANSPOSE(F969:M970)</f>
        <v>#VALUE!</v>
      </c>
      <c r="AR952" s="3">
        <v>-6.2000769906456815E-3</v>
      </c>
      <c r="AS952" s="3">
        <v>4.502721844649833E-3</v>
      </c>
      <c r="AT952" s="3">
        <v>-4.9147950043480909E-2</v>
      </c>
      <c r="AU952" s="3">
        <v>2.5075484716061688E-2</v>
      </c>
    </row>
    <row r="953" spans="3:47" x14ac:dyDescent="0.3">
      <c r="C953" s="114" t="s">
        <v>892</v>
      </c>
      <c r="D953" s="110">
        <v>2.2800401889216018E-2</v>
      </c>
      <c r="E953" s="387">
        <v>3.9000687442080031E-2</v>
      </c>
      <c r="F953" s="141">
        <v>2.2800401889216018E-2</v>
      </c>
      <c r="G953" s="233">
        <v>3.9000687442080031E-2</v>
      </c>
      <c r="H953" s="141">
        <v>7.6723519983851657E-2</v>
      </c>
      <c r="I953" s="234">
        <v>6.8541823329931195E-2</v>
      </c>
      <c r="J953" s="423">
        <v>5.1868195042040752E-2</v>
      </c>
      <c r="K953" s="233">
        <v>5.3036810187220347E-2</v>
      </c>
      <c r="AO953" s="3" t="s">
        <v>94</v>
      </c>
      <c r="AP953" s="3" t="e">
        <f>TRANSPOSE(F969:M970)</f>
        <v>#VALUE!</v>
      </c>
      <c r="AQ953" s="3" t="e">
        <f>TRANSPOSE(F969:M970)</f>
        <v>#VALUE!</v>
      </c>
      <c r="AR953" s="3">
        <v>-1.4860926532511712E-2</v>
      </c>
      <c r="AS953" s="3">
        <v>6.33186459401959E-3</v>
      </c>
      <c r="AT953" s="3">
        <v>-2.6224026102336935E-2</v>
      </c>
      <c r="AU953" s="3">
        <v>1.3379605154253536E-2</v>
      </c>
    </row>
    <row r="954" spans="3:47" x14ac:dyDescent="0.3">
      <c r="C954" s="385" t="s">
        <v>449</v>
      </c>
      <c r="AO954" s="3" t="s">
        <v>95</v>
      </c>
      <c r="AP954" s="3" t="e">
        <f>TRANSPOSE(F969:M970)</f>
        <v>#VALUE!</v>
      </c>
      <c r="AQ954" s="3" t="e">
        <f>TRANSPOSE(F969:M970)</f>
        <v>#VALUE!</v>
      </c>
      <c r="AR954" s="3">
        <v>5.6633607970483883E-3</v>
      </c>
      <c r="AS954" s="3">
        <v>2.6256486392704375E-2</v>
      </c>
      <c r="AT954" s="3">
        <v>4.7844525487907963E-2</v>
      </c>
      <c r="AU954" s="3">
        <v>6.3037004806571997E-2</v>
      </c>
    </row>
    <row r="955" spans="3:47" x14ac:dyDescent="0.3">
      <c r="AO955" s="3" t="s">
        <v>96</v>
      </c>
      <c r="AP955" s="3" t="e">
        <f>TRANSPOSE(F969:M970)</f>
        <v>#VALUE!</v>
      </c>
      <c r="AQ955" s="3" t="e">
        <f>TRANSPOSE(F969:M970)</f>
        <v>#VALUE!</v>
      </c>
      <c r="AR955" s="3">
        <v>2.2749791885324694E-2</v>
      </c>
      <c r="AS955" s="3">
        <v>9.1615289488135316E-3</v>
      </c>
      <c r="AT955" s="3">
        <v>4.1486770270374729E-2</v>
      </c>
      <c r="AU955" s="3">
        <v>1.751405553675292E-2</v>
      </c>
    </row>
    <row r="956" spans="3:47" x14ac:dyDescent="0.3">
      <c r="C956" s="4" t="s">
        <v>450</v>
      </c>
      <c r="AO956" s="3" t="s">
        <v>97</v>
      </c>
      <c r="AP956" s="3" t="e">
        <f>TRANSPOSE(F969:M970)</f>
        <v>#VALUE!</v>
      </c>
      <c r="AQ956" s="3" t="e">
        <f>TRANSPOSE(F969:M970)</f>
        <v>#VALUE!</v>
      </c>
      <c r="AR956" s="3">
        <v>1.9707839987141408E-2</v>
      </c>
      <c r="AS956" s="3">
        <v>2.8565398868189658E-2</v>
      </c>
      <c r="AT956" s="3">
        <v>4.3215712321324783E-2</v>
      </c>
      <c r="AU956" s="3">
        <v>4.3313156601190179E-2</v>
      </c>
    </row>
    <row r="957" spans="3:47" x14ac:dyDescent="0.3">
      <c r="C957" s="5"/>
      <c r="D957" s="5" t="s">
        <v>339</v>
      </c>
      <c r="E957" s="5" t="s">
        <v>451</v>
      </c>
      <c r="F957" s="5" t="s">
        <v>888</v>
      </c>
      <c r="G957" s="5" t="s">
        <v>889</v>
      </c>
      <c r="H957" s="5" t="s">
        <v>890</v>
      </c>
      <c r="I957" s="5" t="s">
        <v>891</v>
      </c>
      <c r="J957" s="5" t="s">
        <v>892</v>
      </c>
      <c r="AO957" s="3" t="s">
        <v>98</v>
      </c>
      <c r="AP957" s="3" t="e">
        <f>TRANSPOSE(F969:M970)</f>
        <v>#VALUE!</v>
      </c>
      <c r="AQ957" s="3" t="e">
        <f>TRANSPOSE(F969:M970)</f>
        <v>#VALUE!</v>
      </c>
      <c r="AR957" s="3">
        <v>6.148971456525658E-3</v>
      </c>
      <c r="AS957" s="3">
        <v>2.84860514414556E-2</v>
      </c>
      <c r="AT957" s="3">
        <v>4.254881913341145E-2</v>
      </c>
      <c r="AU957" s="3">
        <v>5.5622416183425227E-2</v>
      </c>
    </row>
    <row r="958" spans="3:47" x14ac:dyDescent="0.3">
      <c r="C958" t="s">
        <v>2</v>
      </c>
      <c r="D958"/>
      <c r="E958"/>
      <c r="F958" s="405">
        <f>P979</f>
        <v>-0.245</v>
      </c>
      <c r="G958" s="405">
        <f>P980</f>
        <v>0.08</v>
      </c>
      <c r="H958" s="405">
        <f>P981</f>
        <v>7.6999999999999999E-2</v>
      </c>
      <c r="I958" s="405">
        <f>P982</f>
        <v>-1.4999999999999999E-2</v>
      </c>
      <c r="J958" s="405">
        <f>P983</f>
        <v>9.5000000000000001E-2</v>
      </c>
      <c r="K958" s="99"/>
      <c r="L958" s="99"/>
      <c r="M958" s="99"/>
      <c r="AO958" s="3" t="s">
        <v>99</v>
      </c>
      <c r="AP958" s="3" t="e">
        <f>TRANSPOSE(F969:M970)</f>
        <v>#VALUE!</v>
      </c>
      <c r="AQ958" s="3" t="e">
        <f>TRANSPOSE(F969:M970)</f>
        <v>#VALUE!</v>
      </c>
      <c r="AR958" s="3">
        <v>1.9195391602252886E-2</v>
      </c>
      <c r="AS958" s="3">
        <v>2.6375856967381345E-2</v>
      </c>
      <c r="AT958" s="3">
        <v>2.8808618691335049E-3</v>
      </c>
      <c r="AU958" s="3">
        <v>4.8547221651382057E-3</v>
      </c>
    </row>
    <row r="959" spans="3:47" x14ac:dyDescent="0.3">
      <c r="C959" s="12" t="s">
        <v>15</v>
      </c>
      <c r="D959" s="12"/>
      <c r="E959" s="12"/>
      <c r="F959" s="405">
        <f>Q979</f>
        <v>9.0816326530612237E-2</v>
      </c>
      <c r="G959" s="405">
        <f>Q980</f>
        <v>0.1471938775510204</v>
      </c>
      <c r="H959" s="405">
        <f>Q981</f>
        <v>0.14362244897959184</v>
      </c>
      <c r="I959" s="405">
        <f>Q982</f>
        <v>0.12653061224489795</v>
      </c>
      <c r="J959" s="405">
        <f>Q983</f>
        <v>0.16250000000000001</v>
      </c>
      <c r="K959" s="99"/>
      <c r="L959" s="99"/>
      <c r="M959" s="99"/>
      <c r="AO959" s="3" t="s">
        <v>100</v>
      </c>
      <c r="AP959" s="3" t="e">
        <f>TRANSPOSE(F969:M970)</f>
        <v>#VALUE!</v>
      </c>
      <c r="AQ959" s="3" t="e">
        <f>TRANSPOSE(F969:M970)</f>
        <v>#VALUE!</v>
      </c>
      <c r="AR959" s="3">
        <v>-2.8108904679763026E-3</v>
      </c>
      <c r="AS959" s="3">
        <v>2.5471821937951568E-3</v>
      </c>
      <c r="AT959" s="3">
        <v>-1.958756484989051E-2</v>
      </c>
      <c r="AU959" s="3">
        <v>1.2349672773339553E-2</v>
      </c>
    </row>
    <row r="960" spans="3:47" x14ac:dyDescent="0.3">
      <c r="C960" s="192" t="s">
        <v>452</v>
      </c>
      <c r="D960"/>
      <c r="E960"/>
      <c r="F960" s="11"/>
      <c r="G960" s="11"/>
      <c r="H960" s="11"/>
      <c r="I960" s="11"/>
      <c r="J960" s="11"/>
      <c r="K960" s="10"/>
      <c r="L960" s="10"/>
      <c r="M960" s="10"/>
      <c r="AO960" s="3" t="s">
        <v>449</v>
      </c>
    </row>
    <row r="961" spans="3:51" x14ac:dyDescent="0.3">
      <c r="C961" s="22" t="s">
        <v>17</v>
      </c>
      <c r="D961" s="22">
        <f>D779</f>
        <v>747627702</v>
      </c>
      <c r="E961" s="22">
        <f>E779</f>
        <v>187172.97273569804</v>
      </c>
      <c r="F961" s="11">
        <f>F958*$F$974*$D$961/1000000/$E$961</f>
        <v>-5.2844779632938668E-2</v>
      </c>
      <c r="G961" s="11">
        <f>G958*$F$974*$D$961/1000000/$E$961</f>
        <v>1.7255438247490179E-2</v>
      </c>
      <c r="H961" s="11">
        <f>H958*$F$974*$D$961/1000000/$E$961</f>
        <v>1.6608359313209295E-2</v>
      </c>
      <c r="I961" s="11">
        <f>I958*$F$974*$D$961/1000000/$E$961</f>
        <v>-3.2353946714044081E-3</v>
      </c>
      <c r="J961" s="11">
        <f>J958*$F$974*$D$961/1000000/$E$961</f>
        <v>2.0490832918894582E-2</v>
      </c>
      <c r="K961" s="10"/>
      <c r="L961" s="10"/>
      <c r="M961" s="10"/>
    </row>
    <row r="962" spans="3:51" x14ac:dyDescent="0.3">
      <c r="C962" t="s">
        <v>156</v>
      </c>
      <c r="D962" s="22">
        <f>D905</f>
        <v>328239523</v>
      </c>
      <c r="E962" s="22">
        <f>AG905</f>
        <v>114707.49330762298</v>
      </c>
      <c r="F962" s="11">
        <f>F959*$F$974*$D$962/1000000/$E$962</f>
        <v>1.4033201924639454E-2</v>
      </c>
      <c r="G962" s="11">
        <f>G959*$F$974*$D$962/1000000/$E$962</f>
        <v>2.2744824467744281E-2</v>
      </c>
      <c r="H962" s="11">
        <f>H959*$F$974*$D$962/1000000/$E$962</f>
        <v>2.2192956976325881E-2</v>
      </c>
      <c r="I962" s="11">
        <f>I959*$F$974*$D$962/1000000/$E$962</f>
        <v>1.9551876838823506E-2</v>
      </c>
      <c r="J962" s="11">
        <f>J959*$F$974*$D$962/1000000/$E$962</f>
        <v>2.510997085953745E-2</v>
      </c>
      <c r="K962" s="10"/>
      <c r="L962" s="10"/>
      <c r="M962" s="10"/>
      <c r="AO962" s="3" t="s">
        <v>450</v>
      </c>
    </row>
    <row r="963" spans="3:51" x14ac:dyDescent="0.3">
      <c r="C963" s="192" t="s">
        <v>949</v>
      </c>
      <c r="D963" s="195"/>
      <c r="E963" s="195"/>
      <c r="F963" s="230">
        <f>AVERAGE(F961:F962)</f>
        <v>-1.9405788854149605E-2</v>
      </c>
      <c r="G963" s="230">
        <f>AVERAGE(G961:G962)</f>
        <v>2.0000131357617232E-2</v>
      </c>
      <c r="H963" s="230">
        <f>AVERAGE(H961:H962)</f>
        <v>1.9400658144767588E-2</v>
      </c>
      <c r="I963" s="230">
        <f>AVERAGE(I961:I962)</f>
        <v>8.1582410837095498E-3</v>
      </c>
      <c r="J963" s="230">
        <f>AVERAGE(J961:J962)</f>
        <v>2.2800401889216018E-2</v>
      </c>
      <c r="K963" s="58"/>
      <c r="L963" s="58"/>
      <c r="M963" s="58"/>
      <c r="AP963" s="3" t="s">
        <v>339</v>
      </c>
      <c r="AQ963" s="3" t="s">
        <v>451</v>
      </c>
      <c r="AR963" s="3" t="s">
        <v>93</v>
      </c>
      <c r="AS963" s="3" t="s">
        <v>94</v>
      </c>
      <c r="AT963" s="3" t="s">
        <v>95</v>
      </c>
      <c r="AU963" s="3" t="s">
        <v>96</v>
      </c>
      <c r="AV963" s="3" t="s">
        <v>97</v>
      </c>
      <c r="AW963" s="3" t="s">
        <v>98</v>
      </c>
      <c r="AX963" s="3" t="s">
        <v>99</v>
      </c>
      <c r="AY963" s="3" t="s">
        <v>100</v>
      </c>
    </row>
    <row r="964" spans="3:51" x14ac:dyDescent="0.3">
      <c r="C964" s="193" t="s">
        <v>956</v>
      </c>
      <c r="D964" s="194"/>
      <c r="E964" s="194"/>
      <c r="F964" s="384">
        <f>ABS(F963/F958*F959)</f>
        <v>7.1933161516839431E-3</v>
      </c>
      <c r="G964" s="384">
        <f>ABS(G963/G958*G959)</f>
        <v>3.679871107571793E-2</v>
      </c>
      <c r="H964" s="384">
        <f>ABS(H963/H958*H959)</f>
        <v>3.6186623825550462E-2</v>
      </c>
      <c r="I964" s="384">
        <f>ABS(I963/I958*I959)</f>
        <v>6.8817815944216612E-2</v>
      </c>
      <c r="J964" s="384">
        <f>ABS(J963/J958*J959)</f>
        <v>3.9000687442080031E-2</v>
      </c>
      <c r="K964" s="58"/>
      <c r="L964" s="58"/>
      <c r="M964" s="58"/>
      <c r="AO964" s="3" t="s">
        <v>2</v>
      </c>
      <c r="AR964" s="99">
        <f>P979</f>
        <v>-0.245</v>
      </c>
      <c r="AS964" s="99">
        <f>P980</f>
        <v>0.08</v>
      </c>
      <c r="AT964" s="99">
        <f>P981</f>
        <v>7.6999999999999999E-2</v>
      </c>
      <c r="AU964" s="99">
        <f>P982</f>
        <v>-1.4999999999999999E-2</v>
      </c>
      <c r="AV964" s="99">
        <f>P983</f>
        <v>9.5000000000000001E-2</v>
      </c>
      <c r="AW964" s="99">
        <f>P990</f>
        <v>0</v>
      </c>
      <c r="AX964" s="99">
        <f>P991</f>
        <v>0</v>
      </c>
      <c r="AY964" s="99">
        <f>P992</f>
        <v>0</v>
      </c>
    </row>
    <row r="965" spans="3:51" x14ac:dyDescent="0.3">
      <c r="K965" s="99"/>
      <c r="L965" s="99"/>
      <c r="M965" s="99"/>
      <c r="AO965" s="3" t="s">
        <v>15</v>
      </c>
      <c r="AR965" s="99">
        <f>Q979</f>
        <v>9.0816326530612237E-2</v>
      </c>
      <c r="AS965" s="99">
        <f>Q980</f>
        <v>0.1471938775510204</v>
      </c>
      <c r="AT965" s="99">
        <f>Q981</f>
        <v>0.14362244897959184</v>
      </c>
      <c r="AU965" s="99">
        <f>Q982</f>
        <v>0.12653061224489795</v>
      </c>
      <c r="AV965" s="99">
        <f>Q983</f>
        <v>0.16250000000000001</v>
      </c>
      <c r="AW965" s="99">
        <f>Q990</f>
        <v>0</v>
      </c>
      <c r="AX965" s="99">
        <f>Q991</f>
        <v>0</v>
      </c>
      <c r="AY965" s="99">
        <f>Q992</f>
        <v>0</v>
      </c>
    </row>
    <row r="966" spans="3:51" x14ac:dyDescent="0.3">
      <c r="C966" s="80" t="s">
        <v>453</v>
      </c>
      <c r="D966" s="83"/>
      <c r="E966" s="83"/>
      <c r="F966" s="383" t="s">
        <v>145</v>
      </c>
      <c r="G966" s="383"/>
      <c r="H966" s="383"/>
      <c r="I966" s="383"/>
      <c r="J966" s="383"/>
      <c r="K966" s="10"/>
      <c r="L966" s="10"/>
      <c r="M966" s="10"/>
      <c r="AO966" s="3" t="s">
        <v>452</v>
      </c>
    </row>
    <row r="967" spans="3:51" x14ac:dyDescent="0.3">
      <c r="C967" s="166" t="s">
        <v>17</v>
      </c>
      <c r="D967" s="83"/>
      <c r="E967" s="83"/>
      <c r="F967" s="165">
        <f>K784</f>
        <v>1.5558382980068982E-2</v>
      </c>
      <c r="G967" s="10"/>
      <c r="H967" s="10"/>
      <c r="I967" s="10"/>
      <c r="J967" s="10"/>
      <c r="K967" s="10"/>
      <c r="L967" s="10"/>
      <c r="M967" s="10"/>
      <c r="AO967" s="3" t="s">
        <v>17</v>
      </c>
      <c r="AP967" s="26" t="e">
        <f>#REF!</f>
        <v>#REF!</v>
      </c>
      <c r="AQ967" s="26" t="e">
        <f>#REF!</f>
        <v>#REF!</v>
      </c>
      <c r="AR967" s="3">
        <f t="shared" ref="AR967:AY967" si="168">F958*$F$974*$D$961/1000000/$E$961</f>
        <v>-5.2844779632938668E-2</v>
      </c>
      <c r="AS967" s="3">
        <f t="shared" si="168"/>
        <v>1.7255438247490179E-2</v>
      </c>
      <c r="AT967" s="3">
        <f t="shared" si="168"/>
        <v>1.6608359313209295E-2</v>
      </c>
      <c r="AU967" s="3">
        <f t="shared" si="168"/>
        <v>-3.2353946714044081E-3</v>
      </c>
      <c r="AV967" s="3">
        <f t="shared" si="168"/>
        <v>2.0490832918894582E-2</v>
      </c>
      <c r="AW967" s="3">
        <f t="shared" si="168"/>
        <v>0</v>
      </c>
      <c r="AX967" s="3">
        <f t="shared" si="168"/>
        <v>0</v>
      </c>
      <c r="AY967" s="3">
        <f t="shared" si="168"/>
        <v>0</v>
      </c>
    </row>
    <row r="968" spans="3:51" x14ac:dyDescent="0.3">
      <c r="C968" s="83" t="s">
        <v>156</v>
      </c>
      <c r="D968" s="83"/>
      <c r="E968" s="83"/>
      <c r="F968" s="165">
        <f>K785</f>
        <v>1.157134156946826E-2</v>
      </c>
      <c r="G968" s="10"/>
      <c r="H968" s="10"/>
      <c r="I968" s="10"/>
      <c r="J968" s="10"/>
      <c r="K968" s="58"/>
      <c r="L968" s="58"/>
      <c r="M968" s="58"/>
      <c r="AO968" s="3" t="s">
        <v>156</v>
      </c>
      <c r="AP968" s="26">
        <f>D905</f>
        <v>328239523</v>
      </c>
      <c r="AQ968" s="26">
        <f>AG905</f>
        <v>114707.49330762298</v>
      </c>
      <c r="AR968" s="3">
        <f t="shared" ref="AR968:AY968" si="169">F959*$F$974*$D$962/1000000/$E$962</f>
        <v>1.4033201924639454E-2</v>
      </c>
      <c r="AS968" s="3">
        <f t="shared" si="169"/>
        <v>2.2744824467744281E-2</v>
      </c>
      <c r="AT968" s="3">
        <f t="shared" si="169"/>
        <v>2.2192956976325881E-2</v>
      </c>
      <c r="AU968" s="3">
        <f t="shared" si="169"/>
        <v>1.9551876838823506E-2</v>
      </c>
      <c r="AV968" s="3">
        <f t="shared" si="169"/>
        <v>2.510997085953745E-2</v>
      </c>
      <c r="AW968" s="3">
        <f t="shared" si="169"/>
        <v>0</v>
      </c>
      <c r="AX968" s="3">
        <f t="shared" si="169"/>
        <v>0</v>
      </c>
      <c r="AY968" s="3">
        <f t="shared" si="169"/>
        <v>0</v>
      </c>
    </row>
    <row r="969" spans="3:51" x14ac:dyDescent="0.3">
      <c r="C969" s="80" t="s">
        <v>949</v>
      </c>
      <c r="D969" s="80"/>
      <c r="E969" s="80"/>
      <c r="F969" s="165">
        <f>K786</f>
        <v>1.3564862274768621E-2</v>
      </c>
      <c r="G969" s="58"/>
      <c r="H969" s="58"/>
      <c r="I969" s="58"/>
      <c r="J969" s="58"/>
      <c r="K969" s="58"/>
      <c r="L969" s="58"/>
      <c r="M969" s="58"/>
      <c r="AO969" s="3" t="s">
        <v>949</v>
      </c>
      <c r="AR969" s="10">
        <f>AVERAGE(F961:F962)</f>
        <v>-1.9405788854149605E-2</v>
      </c>
      <c r="AS969" s="10">
        <f>AVERAGE(G961:G962)</f>
        <v>2.0000131357617232E-2</v>
      </c>
      <c r="AT969" s="10">
        <f t="shared" ref="AT969:AY969" si="170">AVERAGE(H961:H962)</f>
        <v>1.9400658144767588E-2</v>
      </c>
      <c r="AU969" s="10">
        <f t="shared" si="170"/>
        <v>8.1582410837095498E-3</v>
      </c>
      <c r="AV969" s="10">
        <f t="shared" si="170"/>
        <v>2.2800401889216018E-2</v>
      </c>
      <c r="AW969" s="10" t="e">
        <f t="shared" si="170"/>
        <v>#DIV/0!</v>
      </c>
      <c r="AX969" s="10" t="e">
        <f t="shared" si="170"/>
        <v>#DIV/0!</v>
      </c>
      <c r="AY969" s="10" t="e">
        <f t="shared" si="170"/>
        <v>#DIV/0!</v>
      </c>
    </row>
    <row r="970" spans="3:51" x14ac:dyDescent="0.3">
      <c r="C970" s="381" t="s">
        <v>956</v>
      </c>
      <c r="D970" s="381"/>
      <c r="E970" s="381"/>
      <c r="F970" s="165">
        <f>K787</f>
        <v>2.3203053891051591E-2</v>
      </c>
      <c r="G970" s="58"/>
      <c r="H970" s="58"/>
      <c r="I970" s="58"/>
      <c r="J970" s="58"/>
      <c r="K970" s="10"/>
      <c r="L970" s="10"/>
      <c r="M970" s="10"/>
      <c r="AO970" s="3" t="s">
        <v>956</v>
      </c>
      <c r="AR970" s="3">
        <f>ABS(F963/F958*F959)</f>
        <v>7.1933161516839431E-3</v>
      </c>
      <c r="AS970" s="3">
        <f>ABS(G963/G958*G959)</f>
        <v>3.679871107571793E-2</v>
      </c>
      <c r="AT970" s="3">
        <f t="shared" ref="AT970:AY970" si="171">ABS(H963/H958*H959)</f>
        <v>3.6186623825550462E-2</v>
      </c>
      <c r="AU970" s="3">
        <f t="shared" si="171"/>
        <v>6.8817815944216612E-2</v>
      </c>
      <c r="AV970" s="3">
        <f t="shared" si="171"/>
        <v>3.9000687442080031E-2</v>
      </c>
      <c r="AW970" s="3" t="e">
        <f t="shared" si="171"/>
        <v>#DIV/0!</v>
      </c>
      <c r="AX970" s="3" t="e">
        <f t="shared" si="171"/>
        <v>#DIV/0!</v>
      </c>
      <c r="AY970" s="3" t="e">
        <f t="shared" si="171"/>
        <v>#DIV/0!</v>
      </c>
    </row>
    <row r="971" spans="3:51" x14ac:dyDescent="0.3">
      <c r="D971" s="26"/>
      <c r="E971" s="26"/>
      <c r="F971" s="10"/>
      <c r="G971" s="10"/>
      <c r="H971" s="10"/>
      <c r="I971" s="10"/>
      <c r="J971" s="10"/>
      <c r="K971" s="10"/>
      <c r="L971" s="10"/>
      <c r="M971" s="10"/>
      <c r="AO971" s="3" t="s">
        <v>453</v>
      </c>
    </row>
    <row r="972" spans="3:51" x14ac:dyDescent="0.3">
      <c r="C972" s="9" t="s">
        <v>454</v>
      </c>
      <c r="D972" s="9"/>
      <c r="E972" s="9"/>
      <c r="F972" s="415">
        <f>F790</f>
        <v>43905</v>
      </c>
      <c r="G972" s="26"/>
      <c r="AO972" s="3" t="s">
        <v>17</v>
      </c>
      <c r="AR972" s="3" t="e">
        <f>#REF!/#REF!</f>
        <v>#REF!</v>
      </c>
      <c r="AS972" s="3" t="e">
        <f>#REF!/#REF!</f>
        <v>#REF!</v>
      </c>
      <c r="AT972" s="3" t="e">
        <f>#REF!/#REF!</f>
        <v>#REF!</v>
      </c>
      <c r="AU972" s="3" t="e">
        <f>#REF!/#REF!</f>
        <v>#REF!</v>
      </c>
      <c r="AV972" s="3" t="e">
        <f>#REF!/#REF!</f>
        <v>#REF!</v>
      </c>
      <c r="AW972" s="3" t="e">
        <f>#REF!/#REF!</f>
        <v>#REF!</v>
      </c>
      <c r="AX972" s="3" t="e">
        <f>#REF!/#REF!</f>
        <v>#REF!</v>
      </c>
      <c r="AY972" s="3" t="e">
        <f>#REF!/#REF!</f>
        <v>#REF!</v>
      </c>
    </row>
    <row r="973" spans="3:51" x14ac:dyDescent="0.3">
      <c r="C973" t="s">
        <v>455</v>
      </c>
      <c r="D973"/>
      <c r="E973"/>
      <c r="F973" s="55">
        <f>F791</f>
        <v>43959</v>
      </c>
      <c r="H973" s="26"/>
      <c r="I973" s="58"/>
      <c r="AO973" s="3" t="s">
        <v>156</v>
      </c>
      <c r="AR973" s="3">
        <f t="shared" ref="AR973:AY973" si="172">X905/$AG905</f>
        <v>-1.8587422150766399E-2</v>
      </c>
      <c r="AS973" s="3">
        <f t="shared" si="172"/>
        <v>-3.8157360881820673E-2</v>
      </c>
      <c r="AT973" s="3">
        <f t="shared" si="172"/>
        <v>-1.177849100289957E-2</v>
      </c>
      <c r="AU973" s="3">
        <f t="shared" si="172"/>
        <v>1.9904362786491738E-2</v>
      </c>
      <c r="AV973" s="3">
        <f t="shared" si="172"/>
        <v>9.8545257980533259E-4</v>
      </c>
      <c r="AW973" s="3">
        <f t="shared" si="172"/>
        <v>1.157134156946826E-2</v>
      </c>
      <c r="AX973" s="3">
        <f t="shared" si="172"/>
        <v>1.9351303826743859E-3</v>
      </c>
      <c r="AY973" s="3">
        <f t="shared" si="172"/>
        <v>-2.1793451631480037E-2</v>
      </c>
    </row>
    <row r="974" spans="3:51" x14ac:dyDescent="0.3">
      <c r="C974" s="12" t="s">
        <v>456</v>
      </c>
      <c r="D974" s="27"/>
      <c r="E974" s="27"/>
      <c r="F974" s="416">
        <f>F792</f>
        <v>54</v>
      </c>
      <c r="H974" s="26"/>
      <c r="I974" s="58"/>
      <c r="AO974" s="3" t="s">
        <v>949</v>
      </c>
      <c r="AR974" s="10">
        <f>AVERAGE(F967:F968)</f>
        <v>1.3564862274768621E-2</v>
      </c>
      <c r="AS974" s="10" t="e">
        <f>AVERAGE(G967:G968)</f>
        <v>#DIV/0!</v>
      </c>
      <c r="AT974" s="10" t="e">
        <f>AVERAGE(H967:H968)</f>
        <v>#DIV/0!</v>
      </c>
      <c r="AU974" s="10" t="e">
        <f>AVERAGE(I967:I968)</f>
        <v>#DIV/0!</v>
      </c>
      <c r="AV974" s="10" t="e">
        <f>AVERAGE(J967:J968)</f>
        <v>#DIV/0!</v>
      </c>
      <c r="AW974" s="10" t="e">
        <f>AVERAGE(K966:K967)</f>
        <v>#DIV/0!</v>
      </c>
      <c r="AX974" s="10" t="e">
        <f>AVERAGE(L966:L967)</f>
        <v>#DIV/0!</v>
      </c>
      <c r="AY974" s="10" t="e">
        <f>AVERAGE(M966:M967)</f>
        <v>#DIV/0!</v>
      </c>
    </row>
    <row r="975" spans="3:51" x14ac:dyDescent="0.3">
      <c r="AO975" s="3" t="s">
        <v>956</v>
      </c>
      <c r="AR975" s="3">
        <f>F969/F958*F959</f>
        <v>-5.0282080068904918E-3</v>
      </c>
      <c r="AS975" s="3">
        <f>G969/G958*G959</f>
        <v>0</v>
      </c>
      <c r="AT975" s="3">
        <f>H969/H958*H959</f>
        <v>0</v>
      </c>
      <c r="AU975" s="3">
        <f>I969/I958*I959</f>
        <v>0</v>
      </c>
      <c r="AV975" s="3">
        <f>J969/J958*J959</f>
        <v>0</v>
      </c>
      <c r="AW975" s="3" t="e">
        <f>K968/K958*K959</f>
        <v>#DIV/0!</v>
      </c>
      <c r="AX975" s="3" t="e">
        <f>L968/L958*L959</f>
        <v>#DIV/0!</v>
      </c>
      <c r="AY975" s="3" t="e">
        <f>M968/M958*M959</f>
        <v>#DIV/0!</v>
      </c>
    </row>
    <row r="977" spans="3:55" x14ac:dyDescent="0.3">
      <c r="C977" s="404" t="s">
        <v>893</v>
      </c>
      <c r="D977" s="365" t="s">
        <v>524</v>
      </c>
      <c r="E977" s="9"/>
      <c r="F977" s="9"/>
      <c r="G977" s="9"/>
      <c r="H977" s="113"/>
      <c r="I977" s="365" t="s">
        <v>525</v>
      </c>
      <c r="J977" s="9"/>
      <c r="K977" s="9"/>
      <c r="L977" s="9"/>
      <c r="M977" s="113"/>
      <c r="N977" s="365" t="s">
        <v>875</v>
      </c>
      <c r="O977" s="113"/>
      <c r="P977" s="365" t="s">
        <v>526</v>
      </c>
      <c r="Q977" s="113"/>
    </row>
    <row r="978" spans="3:55" x14ac:dyDescent="0.3">
      <c r="C978" s="42"/>
      <c r="D978" s="12" t="s">
        <v>2</v>
      </c>
      <c r="E978" s="12" t="s">
        <v>527</v>
      </c>
      <c r="F978" s="12" t="s">
        <v>270</v>
      </c>
      <c r="G978" s="12" t="s">
        <v>271</v>
      </c>
      <c r="H978" s="42" t="s">
        <v>15</v>
      </c>
      <c r="I978" s="12" t="s">
        <v>2</v>
      </c>
      <c r="J978" s="12" t="s">
        <v>527</v>
      </c>
      <c r="K978" s="12" t="s">
        <v>270</v>
      </c>
      <c r="L978" s="12" t="s">
        <v>271</v>
      </c>
      <c r="M978" s="42" t="s">
        <v>15</v>
      </c>
      <c r="N978" s="12" t="s">
        <v>528</v>
      </c>
      <c r="O978" s="42" t="s">
        <v>529</v>
      </c>
      <c r="P978" s="12" t="s">
        <v>316</v>
      </c>
      <c r="Q978" s="42" t="s">
        <v>15</v>
      </c>
      <c r="AO978" s="3" t="s">
        <v>454</v>
      </c>
      <c r="AR978" s="18">
        <f>F790</f>
        <v>43905</v>
      </c>
    </row>
    <row r="979" spans="3:55" x14ac:dyDescent="0.3">
      <c r="C979" s="114" t="s">
        <v>888</v>
      </c>
      <c r="D979" s="14">
        <v>-0.245</v>
      </c>
      <c r="E979" s="14" t="s">
        <v>895</v>
      </c>
      <c r="F979" t="str">
        <f>MID(E979,2,6)</f>
        <v>-0.423</v>
      </c>
      <c r="G979">
        <f>SUBSTITUTE(SUBSTITUTE(MID(E979,FIND("to",E979)+2,99),")",""),CHAR(10),"")*1</f>
        <v>-6.7000000000000004E-2</v>
      </c>
      <c r="H979" s="364">
        <f>(G979-F979)/2/1.96</f>
        <v>9.0816326530612237E-2</v>
      </c>
      <c r="I979" s="14">
        <v>-0.628</v>
      </c>
      <c r="J979" s="14" t="s">
        <v>903</v>
      </c>
      <c r="K979" t="str">
        <f>MID(J979,2,6)</f>
        <v>-1.061</v>
      </c>
      <c r="L979">
        <f>SUBSTITUTE(SUBSTITUTE(MID(J979,FIND("to",J979)+2,99),")",""),CHAR(10),"")*1</f>
        <v>0.19500000000000001</v>
      </c>
      <c r="M979" s="364">
        <f>(L979-K979)/2/1.96</f>
        <v>0.32040816326530613</v>
      </c>
      <c r="N979" s="121">
        <f>AVERAGE(D979,I979)</f>
        <v>-0.4365</v>
      </c>
      <c r="O979" s="364">
        <f>AVERAGE(H979,M979)</f>
        <v>0.20561224489795918</v>
      </c>
      <c r="P979" s="121">
        <f>CHOOSE($C$758,D979,I979,N979)</f>
        <v>-0.245</v>
      </c>
      <c r="Q979" s="364">
        <f>CHOOSE($C$758,H979,M979,O979)</f>
        <v>9.0816326530612237E-2</v>
      </c>
      <c r="AO979" s="3" t="s">
        <v>455</v>
      </c>
      <c r="AR979" s="18">
        <f>F791</f>
        <v>43959</v>
      </c>
    </row>
    <row r="980" spans="3:55" x14ac:dyDescent="0.3">
      <c r="C980" s="114" t="s">
        <v>889</v>
      </c>
      <c r="D980" s="14">
        <v>0.08</v>
      </c>
      <c r="E980" s="14" t="s">
        <v>896</v>
      </c>
      <c r="F980" t="str">
        <f>MID(E980,2,6)</f>
        <v>-0.208</v>
      </c>
      <c r="G980">
        <f>SUBSTITUTE(SUBSTITUTE(MID(E980,FIND("to",E980)+2,99),")",""),CHAR(10),"")*1</f>
        <v>0.36899999999999999</v>
      </c>
      <c r="H980" s="364">
        <f>(G980-F980)/2/1.96</f>
        <v>0.1471938775510204</v>
      </c>
      <c r="I980" s="14">
        <v>0.54600000000000004</v>
      </c>
      <c r="J980" s="14" t="s">
        <v>894</v>
      </c>
      <c r="K980" t="str">
        <f>MID(J980,2,6)</f>
        <v>-0.164</v>
      </c>
      <c r="L980">
        <f>SUBSTITUTE(SUBSTITUTE(MID(J980,FIND("to",J980)+2,99),")",""),CHAR(10),"")*1</f>
        <v>1.2569999999999999</v>
      </c>
      <c r="M980" s="364">
        <f>(L980-K980)/2/1.96</f>
        <v>0.36249999999999993</v>
      </c>
      <c r="N980" s="121">
        <f>AVERAGE(D980,I980)</f>
        <v>0.313</v>
      </c>
      <c r="O980" s="364">
        <f>AVERAGE(H980,M980)</f>
        <v>0.25484693877551018</v>
      </c>
      <c r="P980" s="121">
        <f>CHOOSE($C$758,D980,I980,N980)</f>
        <v>0.08</v>
      </c>
      <c r="Q980" s="364">
        <f>CHOOSE($C$758,H980,M980,O980)</f>
        <v>0.1471938775510204</v>
      </c>
      <c r="AO980" s="3" t="s">
        <v>456</v>
      </c>
      <c r="AR980" s="26">
        <f>F792</f>
        <v>54</v>
      </c>
    </row>
    <row r="981" spans="3:55" x14ac:dyDescent="0.3">
      <c r="C981" s="114" t="s">
        <v>890</v>
      </c>
      <c r="D981" s="14">
        <v>7.6999999999999999E-2</v>
      </c>
      <c r="E981" s="14" t="s">
        <v>897</v>
      </c>
      <c r="F981" t="str">
        <f>MID(E981,2,6)</f>
        <v>-0.205</v>
      </c>
      <c r="G981">
        <f>SUBSTITUTE(SUBSTITUTE(MID(E981,FIND("to",E981)+2,99),")",""),CHAR(10),"")*1</f>
        <v>0.35799999999999998</v>
      </c>
      <c r="H981" s="364">
        <f>(G981-F981)/2/1.96</f>
        <v>0.14362244897959184</v>
      </c>
      <c r="I981" s="14">
        <v>0.56000000000000005</v>
      </c>
      <c r="J981" s="14" t="s">
        <v>900</v>
      </c>
      <c r="K981" t="str">
        <f>MID(J981,2,6)</f>
        <v>-0.140</v>
      </c>
      <c r="L981">
        <f>SUBSTITUTE(SUBSTITUTE(MID(J981,FIND("to",J981)+2,99),")",""),CHAR(10),"")*1</f>
        <v>1.2609999999999999</v>
      </c>
      <c r="M981" s="364">
        <f>(L981-K981)/2/1.96</f>
        <v>0.35739795918367345</v>
      </c>
      <c r="N981" s="121">
        <f>AVERAGE(D981,I981)</f>
        <v>0.31850000000000001</v>
      </c>
      <c r="O981" s="364">
        <f>AVERAGE(H981,M981)</f>
        <v>0.25051020408163266</v>
      </c>
      <c r="P981" s="121">
        <f>CHOOSE($C$758,D981,I981,N981)</f>
        <v>7.6999999999999999E-2</v>
      </c>
      <c r="Q981" s="364">
        <f>CHOOSE($C$758,H981,M981,O981)</f>
        <v>0.14362244897959184</v>
      </c>
    </row>
    <row r="982" spans="3:55" x14ac:dyDescent="0.3">
      <c r="C982" s="114" t="s">
        <v>891</v>
      </c>
      <c r="D982" s="14">
        <v>-1.4999999999999999E-2</v>
      </c>
      <c r="E982" s="14" t="s">
        <v>898</v>
      </c>
      <c r="F982" t="str">
        <f>MID(E982,2,6)</f>
        <v>-0.263</v>
      </c>
      <c r="G982">
        <f>SUBSTITUTE(SUBSTITUTE(MID(E982,FIND("to",E982)+2,99),")",""),CHAR(10),"")*1</f>
        <v>0.23300000000000001</v>
      </c>
      <c r="H982" s="364">
        <f>(G982-F982)/2/1.96</f>
        <v>0.12653061224489795</v>
      </c>
      <c r="I982" s="14">
        <v>0.45300000000000001</v>
      </c>
      <c r="J982" s="14" t="s">
        <v>901</v>
      </c>
      <c r="K982" t="str">
        <f>MID(J982,2,6)</f>
        <v>-0.342</v>
      </c>
      <c r="L982">
        <f>SUBSTITUTE(SUBSTITUTE(MID(J982,FIND("to",J982)+2,99),")",""),CHAR(10),"")*1</f>
        <v>1.248</v>
      </c>
      <c r="M982" s="364">
        <f>(L982-K982)/2/1.96</f>
        <v>0.40561224489795922</v>
      </c>
      <c r="N982" s="121">
        <f>AVERAGE(D982,I982)</f>
        <v>0.219</v>
      </c>
      <c r="O982" s="364">
        <f>AVERAGE(H982,M982)</f>
        <v>0.26607142857142857</v>
      </c>
      <c r="P982" s="121">
        <f>CHOOSE($C$758,D982,I982,N982)</f>
        <v>-1.4999999999999999E-2</v>
      </c>
      <c r="Q982" s="364">
        <f>CHOOSE($C$758,H982,M982,O982)</f>
        <v>0.12653061224489795</v>
      </c>
    </row>
    <row r="983" spans="3:55" x14ac:dyDescent="0.3">
      <c r="C983" s="114" t="s">
        <v>892</v>
      </c>
      <c r="D983" s="14">
        <v>9.5000000000000001E-2</v>
      </c>
      <c r="E983" s="14" t="s">
        <v>899</v>
      </c>
      <c r="F983" t="str">
        <f>MID(E983,2,6)</f>
        <v>-0.224</v>
      </c>
      <c r="G983">
        <f>SUBSTITUTE(SUBSTITUTE(MID(E983,FIND("to",E983)+2,99),")",""),CHAR(10),"")*1</f>
        <v>0.41299999999999998</v>
      </c>
      <c r="H983" s="364">
        <f>(G983-F983)/2/1.96</f>
        <v>0.16250000000000001</v>
      </c>
      <c r="I983" s="14">
        <v>0.50600000000000001</v>
      </c>
      <c r="J983" s="14" t="s">
        <v>902</v>
      </c>
      <c r="K983" t="str">
        <f>MID(J983,2,6)</f>
        <v>-0.380</v>
      </c>
      <c r="L983">
        <f>SUBSTITUTE(SUBSTITUTE(MID(J983,FIND("to",J983)+2,99),")",""),CHAR(10),"")*1</f>
        <v>1.3919999999999999</v>
      </c>
      <c r="M983" s="364">
        <f>(L983-K983)/2/1.96</f>
        <v>0.45204081632653059</v>
      </c>
      <c r="N983" s="121">
        <f>AVERAGE(D983,I983)</f>
        <v>0.30049999999999999</v>
      </c>
      <c r="O983" s="364">
        <f>AVERAGE(H983,M983)</f>
        <v>0.30727040816326529</v>
      </c>
      <c r="P983" s="121">
        <f>CHOOSE($C$758,D983,I983,N983)</f>
        <v>9.5000000000000001E-2</v>
      </c>
      <c r="Q983" s="364">
        <f>CHOOSE($C$758,H983,M983,O983)</f>
        <v>0.16250000000000001</v>
      </c>
      <c r="AO983" s="3" t="s">
        <v>556</v>
      </c>
      <c r="AP983" s="3" t="s">
        <v>524</v>
      </c>
      <c r="AU983" s="3" t="s">
        <v>525</v>
      </c>
      <c r="AZ983" s="3" t="s">
        <v>875</v>
      </c>
      <c r="BB983" s="3" t="s">
        <v>526</v>
      </c>
    </row>
    <row r="984" spans="3:55" x14ac:dyDescent="0.3">
      <c r="AP984" s="3" t="s">
        <v>2</v>
      </c>
      <c r="AQ984" s="3" t="s">
        <v>527</v>
      </c>
      <c r="AR984" s="3" t="s">
        <v>270</v>
      </c>
      <c r="AS984" s="3" t="s">
        <v>271</v>
      </c>
      <c r="AT984" s="3" t="s">
        <v>15</v>
      </c>
      <c r="AU984" s="3" t="s">
        <v>2</v>
      </c>
      <c r="AV984" s="3" t="s">
        <v>527</v>
      </c>
      <c r="AW984" s="3" t="s">
        <v>270</v>
      </c>
      <c r="AX984" s="3" t="s">
        <v>271</v>
      </c>
      <c r="AY984" s="3" t="s">
        <v>15</v>
      </c>
      <c r="AZ984" s="3" t="s">
        <v>528</v>
      </c>
      <c r="BA984" s="3" t="s">
        <v>529</v>
      </c>
      <c r="BB984" s="3" t="s">
        <v>316</v>
      </c>
      <c r="BC984" s="3" t="s">
        <v>15</v>
      </c>
    </row>
    <row r="985" spans="3:55" x14ac:dyDescent="0.3">
      <c r="AO985" s="3" t="s">
        <v>530</v>
      </c>
      <c r="AP985" s="3">
        <v>-0.111</v>
      </c>
      <c r="AQ985" s="3" t="s">
        <v>557</v>
      </c>
      <c r="AR985" s="3" t="str">
        <f>MID(E979,2,6)</f>
        <v>-0.423</v>
      </c>
      <c r="AS985" s="3">
        <f>SUBSTITUTE(SUBSTITUTE(MID(E979,FIND("to",E979)+2,99),")",""),CHAR(10),"")*1</f>
        <v>-6.7000000000000004E-2</v>
      </c>
      <c r="AT985" s="3">
        <f>(G979-F979)/2/1.96</f>
        <v>9.0816326530612237E-2</v>
      </c>
      <c r="AU985" s="3">
        <v>-0.83399999999999996</v>
      </c>
      <c r="AV985" s="3" t="s">
        <v>558</v>
      </c>
      <c r="AW985" s="3" t="str">
        <f>MID(J979,2,6)</f>
        <v>-1.061</v>
      </c>
      <c r="AX985" s="3">
        <f>SUBSTITUTE(SUBSTITUTE(MID(J979,FIND("to",J979)+2,99),")",""),CHAR(10),"")*1</f>
        <v>0.19500000000000001</v>
      </c>
      <c r="AY985" s="3">
        <f>(L979-K979)/2/1.96</f>
        <v>0.32040816326530613</v>
      </c>
      <c r="AZ985" s="3">
        <f>AVERAGE(D979,I979)</f>
        <v>-0.4365</v>
      </c>
      <c r="BA985" s="99">
        <f>AVERAGE(H979,M979)</f>
        <v>0.20561224489795918</v>
      </c>
      <c r="BB985" s="3">
        <f>CHOOSE($C$758,D979,I979,N979)</f>
        <v>-0.245</v>
      </c>
      <c r="BC985" s="3">
        <f>CHOOSE($C$758,H979,M979,O979)</f>
        <v>9.0816326530612237E-2</v>
      </c>
    </row>
    <row r="986" spans="3:55" x14ac:dyDescent="0.3">
      <c r="AO986" s="3" t="s">
        <v>533</v>
      </c>
      <c r="AP986" s="3">
        <v>-0.188</v>
      </c>
      <c r="AQ986" s="3" t="s">
        <v>559</v>
      </c>
      <c r="AR986" s="3" t="str">
        <f>MID(E980,2,6)</f>
        <v>-0.208</v>
      </c>
      <c r="AS986" s="3">
        <f>SUBSTITUTE(SUBSTITUTE(MID(E980,FIND("to",E980)+2,99),")",""),CHAR(10),"")*1</f>
        <v>0.36899999999999999</v>
      </c>
      <c r="AT986" s="3">
        <f>(G980-F980)/2/1.96</f>
        <v>0.1471938775510204</v>
      </c>
      <c r="AU986" s="3">
        <v>-0.44500000000000001</v>
      </c>
      <c r="AV986" s="3" t="s">
        <v>560</v>
      </c>
      <c r="AW986" s="3" t="str">
        <f>MID(J980,2,6)</f>
        <v>-0.164</v>
      </c>
      <c r="AX986" s="3">
        <f>SUBSTITUTE(SUBSTITUTE(MID(J980,FIND("to",J980)+2,99),")",""),CHAR(10),"")*1</f>
        <v>1.2569999999999999</v>
      </c>
      <c r="AY986" s="3">
        <f>(L980-K980)/2/1.96</f>
        <v>0.36249999999999993</v>
      </c>
      <c r="AZ986" s="3">
        <f>AVERAGE(D980,I980)</f>
        <v>0.313</v>
      </c>
      <c r="BA986" s="99">
        <f>AVERAGE(H980,M980)</f>
        <v>0.25484693877551018</v>
      </c>
      <c r="BB986" s="3">
        <f>CHOOSE($C$758,D980,I980,N980)</f>
        <v>0.08</v>
      </c>
      <c r="BC986" s="3">
        <f>CHOOSE($C$758,H980,M980,O980)</f>
        <v>0.1471938775510204</v>
      </c>
    </row>
    <row r="987" spans="3:55" x14ac:dyDescent="0.3">
      <c r="AO987" s="3" t="s">
        <v>536</v>
      </c>
      <c r="AP987" s="3">
        <v>-2.3E-2</v>
      </c>
      <c r="AQ987" s="3" t="s">
        <v>561</v>
      </c>
      <c r="AR987" s="3" t="str">
        <f>MID(E981,2,6)</f>
        <v>-0.205</v>
      </c>
      <c r="AS987" s="3">
        <f>SUBSTITUTE(SUBSTITUTE(MID(E981,FIND("to",E981)+2,99),")",""),CHAR(10),"")*1</f>
        <v>0.35799999999999998</v>
      </c>
      <c r="AT987" s="3">
        <f>(G981-F981)/2/1.96</f>
        <v>0.14362244897959184</v>
      </c>
      <c r="AU987" s="3">
        <v>0.26100000000000001</v>
      </c>
      <c r="AV987" s="3" t="s">
        <v>562</v>
      </c>
      <c r="AW987" s="3" t="str">
        <f>MID(J981,2,6)</f>
        <v>-0.140</v>
      </c>
      <c r="AX987" s="3">
        <f>SUBSTITUTE(SUBSTITUTE(MID(J981,FIND("to",J981)+2,99),")",""),CHAR(10),"")*1</f>
        <v>1.2609999999999999</v>
      </c>
      <c r="AY987" s="3">
        <f>(L981-K981)/2/1.96</f>
        <v>0.35739795918367345</v>
      </c>
      <c r="AZ987" s="3">
        <f>AVERAGE(D981,I981)</f>
        <v>0.31850000000000001</v>
      </c>
      <c r="BA987" s="99">
        <f>AVERAGE(H981,M981)</f>
        <v>0.25051020408163266</v>
      </c>
      <c r="BB987" s="3">
        <f>CHOOSE($C$758,D981,I981,N981)</f>
        <v>7.6999999999999999E-2</v>
      </c>
      <c r="BC987" s="3">
        <f>CHOOSE($C$758,H981,M981,O981)</f>
        <v>0.14362244897959184</v>
      </c>
    </row>
    <row r="988" spans="3:55" x14ac:dyDescent="0.3">
      <c r="AO988" s="3" t="s">
        <v>228</v>
      </c>
      <c r="AP988" s="3">
        <v>0.159</v>
      </c>
      <c r="AQ988" s="3" t="s">
        <v>563</v>
      </c>
      <c r="AR988" s="3" t="e">
        <f>MID(#REF!,2,6)</f>
        <v>#REF!</v>
      </c>
      <c r="AS988" s="3" t="e">
        <f>SUBSTITUTE(SUBSTITUTE(MID(#REF!,FIND("to",#REF!)+2,99),")",""),CHAR(10),"")*1</f>
        <v>#REF!</v>
      </c>
      <c r="AT988" s="3">
        <f>(G982-F982)/2/1.96</f>
        <v>0.12653061224489795</v>
      </c>
      <c r="AU988" s="3">
        <v>0.33900000000000002</v>
      </c>
      <c r="AV988" s="3" t="s">
        <v>564</v>
      </c>
      <c r="AW988" s="3" t="str">
        <f>MID(J982,2,6)</f>
        <v>-0.342</v>
      </c>
      <c r="AX988" s="3">
        <f>SUBSTITUTE(SUBSTITUTE(MID(J982,FIND("to",J982)+2,99),")",""),CHAR(10),"")*1</f>
        <v>1.248</v>
      </c>
      <c r="AY988" s="3">
        <f>(L982-K982)/2/1.96</f>
        <v>0.40561224489795922</v>
      </c>
      <c r="AZ988" s="3">
        <f>AVERAGE(D982,I982)</f>
        <v>0.219</v>
      </c>
      <c r="BA988" s="99">
        <f>AVERAGE(H982,M982)</f>
        <v>0.26607142857142857</v>
      </c>
      <c r="BB988" s="3">
        <f>CHOOSE($C$758,D982,I982,N982)</f>
        <v>-1.4999999999999999E-2</v>
      </c>
      <c r="BC988" s="3">
        <f>CHOOSE($C$758,H982,M982,O982)</f>
        <v>0.12653061224489795</v>
      </c>
    </row>
    <row r="989" spans="3:55" x14ac:dyDescent="0.3">
      <c r="AO989" s="3" t="s">
        <v>541</v>
      </c>
      <c r="AP989" s="3">
        <v>8.7999999999999995E-2</v>
      </c>
      <c r="AQ989" s="3" t="s">
        <v>565</v>
      </c>
      <c r="AR989" s="3" t="str">
        <f>MID(E982,2,6)</f>
        <v>-0.263</v>
      </c>
      <c r="AS989" s="3">
        <f>SUBSTITUTE(SUBSTITUTE(MID(E982,FIND("to",E982)+2,99),")",""),CHAR(10),"")*1</f>
        <v>0.23300000000000001</v>
      </c>
      <c r="AT989" s="3">
        <f>(G983-F983)/2/1.96</f>
        <v>0.16250000000000001</v>
      </c>
      <c r="AU989" s="3">
        <v>0.26700000000000002</v>
      </c>
      <c r="AV989" s="3" t="s">
        <v>566</v>
      </c>
      <c r="AW989" s="3" t="e">
        <f>MID(#REF!,2,6)</f>
        <v>#REF!</v>
      </c>
      <c r="AX989" s="3" t="e">
        <f>SUBSTITUTE(SUBSTITUTE(MID(#REF!,FIND("to",#REF!)+2,99),")",""),CHAR(10),"")*1</f>
        <v>#REF!</v>
      </c>
      <c r="AY989" s="3">
        <f>(L983-K983)/2/1.96</f>
        <v>0.45204081632653059</v>
      </c>
      <c r="AZ989" s="3">
        <f>AVERAGE(D983,I983)</f>
        <v>0.30049999999999999</v>
      </c>
      <c r="BA989" s="99">
        <f>AVERAGE(H983,M983)</f>
        <v>0.30727040816326529</v>
      </c>
      <c r="BB989" s="3">
        <f>CHOOSE($C$758,D983,I983,N983)</f>
        <v>9.5000000000000001E-2</v>
      </c>
      <c r="BC989" s="3">
        <f>CHOOSE($C$758,H983,M983,O983)</f>
        <v>0.16250000000000001</v>
      </c>
    </row>
    <row r="990" spans="3:55" x14ac:dyDescent="0.3">
      <c r="H990" s="99"/>
      <c r="M990" s="99"/>
      <c r="N990" s="99"/>
      <c r="O990" s="99"/>
      <c r="P990" s="99"/>
      <c r="Q990" s="99"/>
      <c r="AO990" s="3" t="s">
        <v>544</v>
      </c>
      <c r="AP990" s="3">
        <v>-2.5000000000000001E-2</v>
      </c>
      <c r="AQ990" s="3" t="s">
        <v>567</v>
      </c>
      <c r="AR990" s="3" t="str">
        <f>MID(E990,2,6)</f>
        <v/>
      </c>
      <c r="AS990" s="3" t="e">
        <f>SUBSTITUTE(SUBSTITUTE(MID(E990,FIND("to",E990)+2,99),")",""),CHAR(10),"")*1</f>
        <v>#VALUE!</v>
      </c>
      <c r="AT990" s="3">
        <f>(G990-F990)/2/1.96</f>
        <v>0</v>
      </c>
      <c r="AU990" s="3">
        <v>0.23300000000000001</v>
      </c>
      <c r="AV990" s="3" t="s">
        <v>568</v>
      </c>
      <c r="AW990" s="3" t="str">
        <f>MID(J990,2,6)</f>
        <v/>
      </c>
      <c r="AX990" s="3" t="e">
        <f>SUBSTITUTE(SUBSTITUTE(MID(J990,FIND("to",J990)+2,99),")",""),CHAR(10),"")*1</f>
        <v>#VALUE!</v>
      </c>
      <c r="AY990" s="3">
        <f>(L990-K990)/2/1.96</f>
        <v>0</v>
      </c>
      <c r="AZ990" s="3" t="e">
        <f>AVERAGE(D990,I990)</f>
        <v>#DIV/0!</v>
      </c>
      <c r="BA990" s="99" t="e">
        <f>AVERAGE(H990,M990)</f>
        <v>#DIV/0!</v>
      </c>
      <c r="BB990" s="3">
        <f>CHOOSE($C$758,D990,I990,N990)</f>
        <v>0</v>
      </c>
      <c r="BC990" s="3">
        <f>CHOOSE($C$758,H990,M990,O990)</f>
        <v>0</v>
      </c>
    </row>
    <row r="991" spans="3:55" x14ac:dyDescent="0.3">
      <c r="H991" s="99"/>
      <c r="M991" s="99"/>
      <c r="N991" s="99"/>
      <c r="O991" s="99"/>
      <c r="P991" s="99"/>
      <c r="Q991" s="99"/>
      <c r="AO991" s="3" t="s">
        <v>547</v>
      </c>
      <c r="AP991" s="3">
        <v>8.7999999999999995E-2</v>
      </c>
      <c r="AQ991" s="3" t="s">
        <v>569</v>
      </c>
      <c r="AR991" s="3" t="str">
        <f>MID(E991,2,6)</f>
        <v/>
      </c>
      <c r="AS991" s="3" t="e">
        <f>SUBSTITUTE(SUBSTITUTE(MID(E991,FIND("to",E991)+2,99),")",""),CHAR(10),"")*1</f>
        <v>#VALUE!</v>
      </c>
      <c r="AT991" s="3">
        <f>(G991-F991)/2/1.96</f>
        <v>0</v>
      </c>
      <c r="AU991" s="3">
        <v>-0.13700000000000001</v>
      </c>
      <c r="AV991" s="3" t="s">
        <v>570</v>
      </c>
      <c r="AW991" s="3" t="str">
        <f>MID(J991,2,6)</f>
        <v/>
      </c>
      <c r="AX991" s="3" t="e">
        <f>SUBSTITUTE(SUBSTITUTE(MID(J991,FIND("to",J991)+2,99),")",""),CHAR(10),"")*1</f>
        <v>#VALUE!</v>
      </c>
      <c r="AY991" s="3">
        <f>(L991-K991)/2/1.96</f>
        <v>0</v>
      </c>
      <c r="AZ991" s="3" t="e">
        <f>AVERAGE(D991,I991)</f>
        <v>#DIV/0!</v>
      </c>
      <c r="BA991" s="99" t="e">
        <f>AVERAGE(H991,M991)</f>
        <v>#DIV/0!</v>
      </c>
      <c r="BB991" s="3">
        <f>CHOOSE($C$758,D991,I991,N991)</f>
        <v>0</v>
      </c>
      <c r="BC991" s="3">
        <f>CHOOSE($C$758,H991,M991,O991)</f>
        <v>0</v>
      </c>
    </row>
    <row r="992" spans="3:55" x14ac:dyDescent="0.3">
      <c r="H992" s="99"/>
      <c r="M992" s="99"/>
      <c r="N992" s="99"/>
      <c r="O992" s="99"/>
      <c r="P992" s="99"/>
      <c r="Q992" s="99"/>
      <c r="AO992" s="3" t="s">
        <v>550</v>
      </c>
      <c r="AP992" s="3">
        <v>-6.7000000000000004E-2</v>
      </c>
      <c r="AQ992" s="3" t="s">
        <v>571</v>
      </c>
      <c r="AR992" s="3" t="str">
        <f>MID(E992,2,6)</f>
        <v/>
      </c>
      <c r="AS992" s="3" t="e">
        <f>SUBSTITUTE(SUBSTITUTE(MID(E992,FIND("to",E992)+2,99),")",""),CHAR(10),"")*1</f>
        <v>#VALUE!</v>
      </c>
      <c r="AT992" s="3">
        <f>(G992-F992)/2/1.96</f>
        <v>0</v>
      </c>
      <c r="AU992" s="3">
        <v>-0.38600000000000001</v>
      </c>
      <c r="AV992" s="3" t="s">
        <v>572</v>
      </c>
      <c r="AW992" s="3" t="str">
        <f>MID(J992,2,6)</f>
        <v/>
      </c>
      <c r="AX992" s="3" t="e">
        <f>SUBSTITUTE(SUBSTITUTE(MID(J992,FIND("to",J992)+2,99),")",""),CHAR(10),"")*1</f>
        <v>#VALUE!</v>
      </c>
      <c r="AY992" s="3">
        <f>(L992-K992)/2/1.96</f>
        <v>0</v>
      </c>
      <c r="AZ992" s="3" t="e">
        <f>AVERAGE(D992,I992)</f>
        <v>#DIV/0!</v>
      </c>
      <c r="BA992" s="99" t="e">
        <f>AVERAGE(H992,M992)</f>
        <v>#DIV/0!</v>
      </c>
      <c r="BB992" s="3">
        <f>CHOOSE($C$758,D992,I992,N992)</f>
        <v>0</v>
      </c>
      <c r="BC992" s="3">
        <f>CHOOSE($C$758,H992,M992,O992)</f>
        <v>0</v>
      </c>
    </row>
    <row r="999" spans="7:76" x14ac:dyDescent="0.3">
      <c r="AO999" s="3" t="s">
        <v>523</v>
      </c>
      <c r="AZ999" s="3" t="s">
        <v>873</v>
      </c>
    </row>
    <row r="1000" spans="7:76" x14ac:dyDescent="0.3">
      <c r="AO1000" s="3" t="s">
        <v>573</v>
      </c>
      <c r="AP1000" s="3" t="s">
        <v>524</v>
      </c>
      <c r="AU1000" s="3" t="s">
        <v>525</v>
      </c>
      <c r="AZ1000" s="3" t="s">
        <v>874</v>
      </c>
      <c r="BD1000" s="3" t="s">
        <v>444</v>
      </c>
      <c r="BI1000" s="3" t="s">
        <v>526</v>
      </c>
      <c r="BK1000" s="3" t="s">
        <v>526</v>
      </c>
    </row>
    <row r="1001" spans="7:76" x14ac:dyDescent="0.3">
      <c r="AP1001" s="3" t="s">
        <v>2</v>
      </c>
      <c r="AQ1001" s="3" t="s">
        <v>527</v>
      </c>
      <c r="AR1001" s="3" t="s">
        <v>270</v>
      </c>
      <c r="AS1001" s="3" t="s">
        <v>271</v>
      </c>
      <c r="AT1001" s="3" t="s">
        <v>15</v>
      </c>
      <c r="AU1001" s="3" t="s">
        <v>2</v>
      </c>
      <c r="AV1001" s="3" t="s">
        <v>527</v>
      </c>
      <c r="AW1001" s="3" t="s">
        <v>270</v>
      </c>
      <c r="AX1001" s="3" t="s">
        <v>271</v>
      </c>
      <c r="AY1001" s="3" t="s">
        <v>15</v>
      </c>
      <c r="AZ1001" s="3" t="s">
        <v>2</v>
      </c>
      <c r="BA1001" s="3" t="s">
        <v>270</v>
      </c>
      <c r="BB1001" s="3" t="s">
        <v>271</v>
      </c>
      <c r="BC1001" s="3" t="s">
        <v>15</v>
      </c>
      <c r="BD1001" s="3" t="s">
        <v>2</v>
      </c>
      <c r="BE1001" s="3" t="s">
        <v>270</v>
      </c>
      <c r="BF1001" s="3" t="s">
        <v>271</v>
      </c>
      <c r="BG1001" s="3" t="s">
        <v>15</v>
      </c>
      <c r="BI1001" s="3" t="s">
        <v>528</v>
      </c>
      <c r="BJ1001" s="3" t="s">
        <v>529</v>
      </c>
      <c r="BK1001" s="3" t="s">
        <v>316</v>
      </c>
      <c r="BL1001" s="3" t="s">
        <v>15</v>
      </c>
      <c r="BN1001" s="3" t="s">
        <v>868</v>
      </c>
      <c r="BO1001" s="3" t="s">
        <v>869</v>
      </c>
      <c r="BP1001" s="3" t="s">
        <v>870</v>
      </c>
      <c r="BQ1001" s="3" t="s">
        <v>871</v>
      </c>
      <c r="BR1001" s="3" t="s">
        <v>872</v>
      </c>
      <c r="BT1001" s="3" t="s">
        <v>868</v>
      </c>
      <c r="BU1001" s="3" t="s">
        <v>869</v>
      </c>
      <c r="BV1001" s="3" t="s">
        <v>870</v>
      </c>
      <c r="BW1001" s="3" t="s">
        <v>871</v>
      </c>
      <c r="BX1001" s="3" t="s">
        <v>872</v>
      </c>
    </row>
    <row r="1002" spans="7:76" x14ac:dyDescent="0.3">
      <c r="H1002" s="99"/>
      <c r="M1002" s="99"/>
      <c r="Q1002" s="99"/>
      <c r="U1002" s="99"/>
      <c r="W1002" s="99"/>
      <c r="X1002" s="99"/>
      <c r="Y1002" s="99"/>
      <c r="Z1002" s="99"/>
      <c r="AO1002" s="3" t="s">
        <v>530</v>
      </c>
      <c r="AP1002" s="3">
        <v>0.67500000000000004</v>
      </c>
      <c r="AQ1002" s="3" t="s">
        <v>845</v>
      </c>
      <c r="AR1002" s="3" t="str">
        <f>MID(E1002,2,6)</f>
        <v/>
      </c>
      <c r="AS1002" s="3" t="e">
        <f>SUBSTITUTE(SUBSTITUTE(MID(E1002,FIND("to",E1002)+2,99),")",""),CHAR(10),"")*1</f>
        <v>#VALUE!</v>
      </c>
      <c r="AT1002" s="3">
        <f>(G1002-F1002)/2/1.96</f>
        <v>0</v>
      </c>
      <c r="AU1002" s="3">
        <v>0.32200000000000001</v>
      </c>
      <c r="AV1002" s="3" t="s">
        <v>846</v>
      </c>
      <c r="AW1002" s="3" t="str">
        <f>MID(J1002,2,6)</f>
        <v/>
      </c>
      <c r="AX1002" s="3" t="e">
        <f>SUBSTITUTE(SUBSTITUTE(MID(J1002,FIND("to",J1002)+2,99),")",""),CHAR(10),"")*1</f>
        <v>#VALUE!</v>
      </c>
      <c r="AY1002" s="3">
        <f>(L1002-K1002)/2/1.96</f>
        <v>0</v>
      </c>
      <c r="AZ1002" s="3">
        <f>EXP(D1002)-1</f>
        <v>0</v>
      </c>
      <c r="BA1002" s="3">
        <f t="shared" ref="BA1002:BB1006" si="173">EXP(F1002)-1</f>
        <v>0</v>
      </c>
      <c r="BB1002" s="3">
        <f t="shared" si="173"/>
        <v>0</v>
      </c>
      <c r="BC1002" s="3">
        <f>(P1002-O1002)/2/1.96</f>
        <v>0</v>
      </c>
      <c r="BD1002" s="3">
        <f>EXP(I1002)-1</f>
        <v>0</v>
      </c>
      <c r="BE1002" s="3">
        <f t="shared" ref="BE1002:BF1006" si="174">EXP(K1002)-1</f>
        <v>0</v>
      </c>
      <c r="BF1002" s="3">
        <f t="shared" si="174"/>
        <v>0</v>
      </c>
      <c r="BG1002" s="3">
        <f>(T1002-S1002)/2/1.96</f>
        <v>0</v>
      </c>
      <c r="BI1002" s="3" t="e">
        <f>AVERAGE(D1002,I1002)</f>
        <v>#DIV/0!</v>
      </c>
      <c r="BJ1002" s="99" t="e">
        <f>AVERAGE(H1002,M1002)</f>
        <v>#DIV/0!</v>
      </c>
      <c r="BK1002" s="3">
        <f>CHOOSE($C$758,D1002,I1002,W1002)</f>
        <v>0</v>
      </c>
      <c r="BL1002" s="3">
        <f>CHOOSE($C$758,H1002,M1002,X1002)</f>
        <v>0</v>
      </c>
      <c r="BN1002" s="3">
        <f>(EXP(D1002-1)-1)</f>
        <v>-0.63212055882855767</v>
      </c>
      <c r="BO1002" s="3">
        <f>SIGN(AB1002)</f>
        <v>0</v>
      </c>
      <c r="BP1002" s="3">
        <f>SIGN(AE1002)</f>
        <v>0</v>
      </c>
      <c r="BQ1002" s="3">
        <v>-0.11899999999999999</v>
      </c>
      <c r="BR1002" s="3" t="b">
        <f>IF(AC1002=AD1002,TRUE)</f>
        <v>1</v>
      </c>
      <c r="BT1002" s="3">
        <f>(EXP(I1002-1)-1)</f>
        <v>-0.63212055882855767</v>
      </c>
      <c r="BU1002" s="3">
        <f>SIGN(AH1002)</f>
        <v>0</v>
      </c>
      <c r="BV1002" s="3">
        <f>SIGN(AK1002)</f>
        <v>0</v>
      </c>
      <c r="BW1002" s="3">
        <v>-1.238</v>
      </c>
      <c r="BX1002" s="3" t="b">
        <f>IF(AI1002=AJ1002,TRUE)</f>
        <v>1</v>
      </c>
    </row>
    <row r="1003" spans="7:76" x14ac:dyDescent="0.3">
      <c r="H1003" s="99"/>
      <c r="M1003" s="99"/>
      <c r="Q1003" s="99"/>
      <c r="U1003" s="99"/>
      <c r="W1003" s="99"/>
      <c r="X1003" s="99"/>
      <c r="Y1003" s="99"/>
      <c r="Z1003" s="99"/>
      <c r="AO1003" s="3" t="s">
        <v>533</v>
      </c>
      <c r="AP1003" s="3">
        <v>0.75600000000000001</v>
      </c>
      <c r="AQ1003" s="3" t="s">
        <v>847</v>
      </c>
      <c r="AR1003" s="3" t="str">
        <f>MID(E1003,2,6)</f>
        <v/>
      </c>
      <c r="AS1003" s="3" t="e">
        <f>SUBSTITUTE(SUBSTITUTE(MID(E1003,FIND("to",E1003)+2,99),")",""),CHAR(10),"")*1</f>
        <v>#VALUE!</v>
      </c>
      <c r="AT1003" s="3">
        <f>(G1003-F1003)/2/1.96</f>
        <v>0</v>
      </c>
      <c r="AU1003" s="3">
        <v>1.5189999999999999</v>
      </c>
      <c r="AV1003" s="3" t="s">
        <v>851</v>
      </c>
      <c r="AW1003" s="3" t="str">
        <f>MID(J1003,2,6)</f>
        <v/>
      </c>
      <c r="AX1003" s="3" t="e">
        <f>SUBSTITUTE(SUBSTITUTE(MID(J1003,FIND("to",J1003)+2,99),")",""),CHAR(10),"")*1</f>
        <v>#VALUE!</v>
      </c>
      <c r="AY1003" s="3">
        <f>(L1003-K1003)/2/1.96</f>
        <v>0</v>
      </c>
      <c r="AZ1003" s="3">
        <f>EXP(D1003)-1</f>
        <v>0</v>
      </c>
      <c r="BA1003" s="3">
        <f t="shared" si="173"/>
        <v>0</v>
      </c>
      <c r="BB1003" s="3">
        <f t="shared" si="173"/>
        <v>0</v>
      </c>
      <c r="BC1003" s="3">
        <f>(P1003-O1003)/2/1.96</f>
        <v>0</v>
      </c>
      <c r="BD1003" s="3">
        <f>EXP(I1003)-1</f>
        <v>0</v>
      </c>
      <c r="BE1003" s="3">
        <f t="shared" si="174"/>
        <v>0</v>
      </c>
      <c r="BF1003" s="3">
        <f t="shared" si="174"/>
        <v>0</v>
      </c>
      <c r="BG1003" s="3">
        <f>(T1003-S1003)/2/1.96</f>
        <v>0</v>
      </c>
      <c r="BI1003" s="3" t="e">
        <f>AVERAGE(D1003,I1003)</f>
        <v>#DIV/0!</v>
      </c>
      <c r="BJ1003" s="99" t="e">
        <f>AVERAGE(H1003,M1003)</f>
        <v>#DIV/0!</v>
      </c>
      <c r="BK1003" s="3">
        <f>CHOOSE($C$758,D1003,I1003,W1003)</f>
        <v>0</v>
      </c>
      <c r="BL1003" s="3">
        <f>CHOOSE($C$758,H1003,M1003,X1003)</f>
        <v>0</v>
      </c>
      <c r="BN1003" s="3">
        <f>(EXP(D1003-1)-1)</f>
        <v>-0.63212055882855767</v>
      </c>
      <c r="BO1003" s="3">
        <f>SIGN(AB1003)</f>
        <v>0</v>
      </c>
      <c r="BP1003" s="3">
        <f>SIGN(AE1003)</f>
        <v>0</v>
      </c>
      <c r="BQ1003" s="3">
        <v>-0.25800000000000001</v>
      </c>
      <c r="BR1003" s="3" t="b">
        <f>IF(AC1003=AD1003,TRUE)</f>
        <v>1</v>
      </c>
      <c r="BT1003" s="3">
        <f>(EXP(I1003-1)-1)</f>
        <v>-0.63212055882855767</v>
      </c>
      <c r="BU1003" s="3">
        <f>SIGN(AH1003)</f>
        <v>0</v>
      </c>
      <c r="BV1003" s="3">
        <f>SIGN(AK1003)</f>
        <v>0</v>
      </c>
      <c r="BW1003" s="3">
        <v>-0.313</v>
      </c>
      <c r="BX1003" s="3" t="b">
        <f>IF(AI1003=AJ1003,TRUE)</f>
        <v>1</v>
      </c>
    </row>
    <row r="1004" spans="7:76" x14ac:dyDescent="0.3">
      <c r="H1004" s="99"/>
      <c r="M1004" s="99"/>
      <c r="Q1004" s="99"/>
      <c r="U1004" s="99"/>
      <c r="W1004" s="99"/>
      <c r="X1004" s="99"/>
      <c r="Y1004" s="99"/>
      <c r="Z1004" s="99"/>
      <c r="AO1004" s="3" t="s">
        <v>536</v>
      </c>
      <c r="AP1004" s="3">
        <v>0.61299999999999999</v>
      </c>
      <c r="AQ1004" s="3" t="s">
        <v>848</v>
      </c>
      <c r="AR1004" s="3" t="str">
        <f>MID(E1004,2,6)</f>
        <v/>
      </c>
      <c r="AS1004" s="3" t="e">
        <f>SUBSTITUTE(SUBSTITUTE(MID(E1004,FIND("to",E1004)+2,99),")",""),CHAR(10),"")*1</f>
        <v>#VALUE!</v>
      </c>
      <c r="AT1004" s="3">
        <f>(G1004-F1004)/2/1.96</f>
        <v>0</v>
      </c>
      <c r="AU1004" s="3">
        <v>1.282</v>
      </c>
      <c r="AV1004" s="3" t="s">
        <v>852</v>
      </c>
      <c r="AW1004" s="3" t="str">
        <f>MID(J1004,2,6)</f>
        <v/>
      </c>
      <c r="AX1004" s="3" t="e">
        <f>SUBSTITUTE(SUBSTITUTE(MID(J1004,FIND("to",J1004)+2,99),")",""),CHAR(10),"")*1</f>
        <v>#VALUE!</v>
      </c>
      <c r="AY1004" s="3">
        <f>(L1004-K1004)/2/1.96</f>
        <v>0</v>
      </c>
      <c r="AZ1004" s="3">
        <f>EXP(D1004)-1</f>
        <v>0</v>
      </c>
      <c r="BA1004" s="3">
        <f t="shared" si="173"/>
        <v>0</v>
      </c>
      <c r="BB1004" s="3">
        <f t="shared" si="173"/>
        <v>0</v>
      </c>
      <c r="BC1004" s="3">
        <f>(P1004-O1004)/2/1.96</f>
        <v>0</v>
      </c>
      <c r="BD1004" s="3">
        <f>EXP(I1004)-1</f>
        <v>0</v>
      </c>
      <c r="BE1004" s="3">
        <f t="shared" si="174"/>
        <v>0</v>
      </c>
      <c r="BF1004" s="3">
        <f t="shared" si="174"/>
        <v>0</v>
      </c>
      <c r="BG1004" s="3">
        <f>(T1004-S1004)/2/1.96</f>
        <v>0</v>
      </c>
      <c r="BI1004" s="3" t="e">
        <f>AVERAGE(D1004,I1004)</f>
        <v>#DIV/0!</v>
      </c>
      <c r="BJ1004" s="99" t="e">
        <f>AVERAGE(H1004,M1004)</f>
        <v>#DIV/0!</v>
      </c>
      <c r="BK1004" s="3">
        <f>CHOOSE($C$758,D1004,I1004,W1004)</f>
        <v>0</v>
      </c>
      <c r="BL1004" s="3">
        <f>CHOOSE($C$758,H1004,M1004,X1004)</f>
        <v>0</v>
      </c>
      <c r="BN1004" s="3">
        <f>(EXP(D1004-1)-1)</f>
        <v>-0.63212055882855767</v>
      </c>
      <c r="BO1004" s="3">
        <f>SIGN(AB1004)</f>
        <v>0</v>
      </c>
      <c r="BP1004" s="3">
        <f>SIGN(AE1004)</f>
        <v>0</v>
      </c>
      <c r="BQ1004" s="3">
        <v>-7.9000000000000001E-2</v>
      </c>
      <c r="BR1004" s="3" t="b">
        <f>IF(AC1004=AD1004,TRUE)</f>
        <v>1</v>
      </c>
      <c r="BT1004" s="3">
        <f>(EXP(I1004-1)-1)</f>
        <v>-0.63212055882855767</v>
      </c>
      <c r="BU1004" s="3">
        <f>SIGN(AH1004)</f>
        <v>0</v>
      </c>
      <c r="BV1004" s="3">
        <f>SIGN(AK1004)</f>
        <v>0</v>
      </c>
      <c r="BW1004" s="3">
        <v>0.34399999999999997</v>
      </c>
      <c r="BX1004" s="3" t="b">
        <f>IF(AI1004=AJ1004,TRUE)</f>
        <v>1</v>
      </c>
    </row>
    <row r="1005" spans="7:76" x14ac:dyDescent="0.3">
      <c r="G1005" s="208"/>
      <c r="H1005" s="99"/>
      <c r="L1005" s="208"/>
      <c r="M1005" s="99"/>
      <c r="P1005" s="208"/>
      <c r="Q1005" s="99"/>
      <c r="T1005" s="208"/>
      <c r="U1005" s="99"/>
      <c r="W1005" s="99"/>
      <c r="X1005" s="99"/>
      <c r="Y1005" s="99"/>
      <c r="Z1005" s="99"/>
      <c r="AO1005" s="3" t="s">
        <v>228</v>
      </c>
      <c r="AP1005" s="3">
        <v>1.8660000000000001</v>
      </c>
      <c r="AQ1005" s="3" t="s">
        <v>849</v>
      </c>
      <c r="AR1005" s="3" t="str">
        <f>MID(E1005,2,6)</f>
        <v/>
      </c>
      <c r="AS1005" s="3" t="e">
        <f>SUBSTITUTE(SUBSTITUTE(MID(E1005,FIND("to",E1005)+2,99),")",""),CHAR(10),"")*1</f>
        <v>#VALUE!</v>
      </c>
      <c r="AT1005" s="3">
        <f>(G1005-F1005)/2/1.96</f>
        <v>0</v>
      </c>
      <c r="AU1005" s="3">
        <v>1.238</v>
      </c>
      <c r="AV1005" s="3" t="s">
        <v>853</v>
      </c>
      <c r="AW1005" s="3" t="str">
        <f>MID(J1005,2,6)</f>
        <v/>
      </c>
      <c r="AX1005" s="3" t="e">
        <f>SUBSTITUTE(SUBSTITUTE(MID(J1005,FIND("to",J1005)+2,99),")",""),CHAR(10),"")*1</f>
        <v>#VALUE!</v>
      </c>
      <c r="AY1005" s="3">
        <f>(L1005-K1005)/2/1.96</f>
        <v>0</v>
      </c>
      <c r="AZ1005" s="3">
        <f>EXP(D1005)-1</f>
        <v>0</v>
      </c>
      <c r="BA1005" s="3">
        <f t="shared" si="173"/>
        <v>0</v>
      </c>
      <c r="BB1005" s="208">
        <f t="shared" si="173"/>
        <v>0</v>
      </c>
      <c r="BC1005" s="3">
        <f>(P1005-O1005)/2/1.96</f>
        <v>0</v>
      </c>
      <c r="BD1005" s="3">
        <f>EXP(I1005)-1</f>
        <v>0</v>
      </c>
      <c r="BE1005" s="3">
        <f t="shared" si="174"/>
        <v>0</v>
      </c>
      <c r="BF1005" s="208">
        <f t="shared" si="174"/>
        <v>0</v>
      </c>
      <c r="BG1005" s="3">
        <f>(T1005-S1005)/2/1.96</f>
        <v>0</v>
      </c>
      <c r="BI1005" s="3" t="e">
        <f>AVERAGE(D1005,I1005)</f>
        <v>#DIV/0!</v>
      </c>
      <c r="BJ1005" s="99" t="e">
        <f>AVERAGE(H1005,M1005)</f>
        <v>#DIV/0!</v>
      </c>
      <c r="BK1005" s="3">
        <f>CHOOSE($C$758,D1005,I1005,W1005)</f>
        <v>0</v>
      </c>
      <c r="BL1005" s="3">
        <f>CHOOSE($C$758,H1005,M1005,X1005)</f>
        <v>0</v>
      </c>
      <c r="BN1005" s="3">
        <f>(EXP(D1005-1)-1)</f>
        <v>-0.63212055882855767</v>
      </c>
      <c r="BO1005" s="3">
        <f>SIGN(AB1005)</f>
        <v>0</v>
      </c>
      <c r="BP1005" s="3">
        <f>SIGN(AE1005)</f>
        <v>0</v>
      </c>
      <c r="BQ1005" s="3">
        <v>0.13200000000000001</v>
      </c>
      <c r="BR1005" s="3" t="b">
        <f>IF(AC1005=AD1005,TRUE)</f>
        <v>1</v>
      </c>
      <c r="BT1005" s="3">
        <f>(EXP(I1005-1)-1)</f>
        <v>-0.63212055882855767</v>
      </c>
      <c r="BU1005" s="3">
        <f>SIGN(AH1005)</f>
        <v>0</v>
      </c>
      <c r="BV1005" s="3">
        <f>SIGN(AK1005)</f>
        <v>0</v>
      </c>
      <c r="BW1005" s="3">
        <v>0.32800000000000001</v>
      </c>
      <c r="BX1005" s="3" t="b">
        <f>IF(AI1005=AJ1005,TRUE)</f>
        <v>1</v>
      </c>
    </row>
    <row r="1006" spans="7:76" x14ac:dyDescent="0.3">
      <c r="H1006" s="99"/>
      <c r="M1006" s="99"/>
      <c r="Q1006" s="99"/>
      <c r="U1006" s="99"/>
      <c r="W1006" s="99"/>
      <c r="X1006" s="99"/>
      <c r="Y1006" s="99"/>
      <c r="Z1006" s="99"/>
      <c r="AO1006" s="3" t="s">
        <v>541</v>
      </c>
      <c r="AP1006" s="3">
        <v>1.1990000000000001</v>
      </c>
      <c r="AQ1006" s="3" t="s">
        <v>850</v>
      </c>
      <c r="AR1006" s="3" t="str">
        <f>MID(E1006,2,6)</f>
        <v/>
      </c>
      <c r="AS1006" s="3" t="e">
        <f>SUBSTITUTE(SUBSTITUTE(MID(E1006,FIND("to",E1006)+2,99),")",""),CHAR(10),"")*1</f>
        <v>#VALUE!</v>
      </c>
      <c r="AT1006" s="3">
        <f>(G1006-F1006)/2/1.96</f>
        <v>0</v>
      </c>
      <c r="AU1006" s="3">
        <v>0.89700000000000002</v>
      </c>
      <c r="AV1006" s="3" t="s">
        <v>854</v>
      </c>
      <c r="AW1006" s="3" t="str">
        <f>MID(J1006,2,6)</f>
        <v/>
      </c>
      <c r="AX1006" s="3" t="e">
        <f>SUBSTITUTE(SUBSTITUTE(MID(J1006,FIND("to",J1006)+2,99),")",""),CHAR(10),"")*1</f>
        <v>#VALUE!</v>
      </c>
      <c r="AY1006" s="3">
        <f>(L1006-K1006)/2/1.96</f>
        <v>0</v>
      </c>
      <c r="AZ1006" s="3">
        <f>EXP(D1006)-1</f>
        <v>0</v>
      </c>
      <c r="BA1006" s="3">
        <f t="shared" si="173"/>
        <v>0</v>
      </c>
      <c r="BB1006" s="3">
        <f t="shared" si="173"/>
        <v>0</v>
      </c>
      <c r="BC1006" s="3">
        <f>(P1006-O1006)/2/1.96</f>
        <v>0</v>
      </c>
      <c r="BD1006" s="3">
        <f>EXP(I1006)-1</f>
        <v>0</v>
      </c>
      <c r="BE1006" s="3">
        <f t="shared" si="174"/>
        <v>0</v>
      </c>
      <c r="BF1006" s="3">
        <f t="shared" si="174"/>
        <v>0</v>
      </c>
      <c r="BG1006" s="3">
        <f>(T1006-S1006)/2/1.96</f>
        <v>0</v>
      </c>
      <c r="BI1006" s="3" t="e">
        <f>AVERAGE(D1006,I1006)</f>
        <v>#DIV/0!</v>
      </c>
      <c r="BJ1006" s="99" t="e">
        <f>AVERAGE(H1006,M1006)</f>
        <v>#DIV/0!</v>
      </c>
      <c r="BK1006" s="3">
        <f>CHOOSE($C$758,D1006,I1006,W1006)</f>
        <v>0</v>
      </c>
      <c r="BL1006" s="3">
        <f>CHOOSE($C$758,H1006,M1006,X1006)</f>
        <v>0</v>
      </c>
      <c r="BN1006" s="3">
        <f>(EXP(D1006-1)-1)</f>
        <v>-0.63212055882855767</v>
      </c>
      <c r="BO1006" s="3">
        <f>SIGN(AB1006)</f>
        <v>0</v>
      </c>
      <c r="BP1006" s="3">
        <f>SIGN(AE1006)</f>
        <v>0</v>
      </c>
      <c r="BQ1006" s="3">
        <v>0.109</v>
      </c>
      <c r="BR1006" s="3" t="b">
        <f>IF(AC1006=AD1006,TRUE)</f>
        <v>1</v>
      </c>
      <c r="BT1006" s="3">
        <f>(EXP(I1006-1)-1)</f>
        <v>-0.63212055882855767</v>
      </c>
      <c r="BU1006" s="3">
        <f>SIGN(AH1006)</f>
        <v>0</v>
      </c>
      <c r="BV1006" s="3">
        <f>SIGN(AK1006)</f>
        <v>0</v>
      </c>
      <c r="BW1006" s="3">
        <v>-0.11</v>
      </c>
      <c r="BX1006" s="3" t="b">
        <f>IF(AI1006=AJ1006,TRUE)</f>
        <v>1</v>
      </c>
    </row>
    <row r="1013" spans="2:10" s="8" customFormat="1" ht="19.5" x14ac:dyDescent="0.4">
      <c r="B1013" s="8">
        <v>74</v>
      </c>
      <c r="C1013" s="8" t="s" cm="1">
        <v>574</v>
      </c>
      <c r="D1013" s="8" t="s" cm="1">
        <v>575</v>
      </c>
      <c r="G1013" s="8" t="s">
        <v>145</v>
      </c>
    </row>
    <row r="1015" spans="2:10" x14ac:dyDescent="0.3">
      <c r="D1015" s="3" t="s">
        <v>949</v>
      </c>
    </row>
    <row r="1016" spans="2:10" x14ac:dyDescent="0.3">
      <c r="C1016" s="16" t="s">
        <v>576</v>
      </c>
      <c r="D1016" s="145">
        <f>I1022</f>
        <v>-0.40389417076968986</v>
      </c>
      <c r="E1016" s="99"/>
      <c r="F1016" s="99"/>
    </row>
    <row r="1017" spans="2:10" x14ac:dyDescent="0.3">
      <c r="D1017" s="99"/>
    </row>
    <row r="1018" spans="2:10" x14ac:dyDescent="0.3">
      <c r="C1018" s="4" t="s">
        <v>577</v>
      </c>
    </row>
    <row r="1019" spans="2:10" x14ac:dyDescent="0.3">
      <c r="C1019" s="5"/>
      <c r="D1019" s="5" t="s">
        <v>279</v>
      </c>
      <c r="E1019" s="5" t="s">
        <v>280</v>
      </c>
      <c r="F1019" s="5" t="s">
        <v>578</v>
      </c>
      <c r="G1019" s="5" t="s">
        <v>579</v>
      </c>
      <c r="H1019" s="5" t="s">
        <v>580</v>
      </c>
      <c r="I1019" s="5" t="s">
        <v>282</v>
      </c>
    </row>
    <row r="1020" spans="2:10" x14ac:dyDescent="0.3">
      <c r="C1020" t="s">
        <v>2</v>
      </c>
      <c r="D1020" s="102">
        <v>-0.69799999999999995</v>
      </c>
      <c r="E1020" s="102">
        <v>-0.44800000000000001</v>
      </c>
      <c r="F1020" s="102">
        <v>-0.49099999999999999</v>
      </c>
      <c r="G1020" s="102">
        <v>-0.499</v>
      </c>
      <c r="H1020" s="102">
        <v>-0.47099999999999997</v>
      </c>
      <c r="I1020">
        <f>AVERAGE(D1020:H1020)</f>
        <v>-0.52140000000000009</v>
      </c>
    </row>
    <row r="1021" spans="2:10" x14ac:dyDescent="0.3">
      <c r="C1021" t="s">
        <v>15</v>
      </c>
      <c r="D1021" s="102">
        <v>0.6</v>
      </c>
      <c r="E1021" s="102">
        <v>0.432</v>
      </c>
      <c r="F1021" s="102">
        <v>0.437</v>
      </c>
      <c r="G1021" s="102">
        <v>0.436</v>
      </c>
      <c r="H1021" s="102">
        <v>0.4</v>
      </c>
      <c r="I1021" s="12">
        <f>SQRT(SUMSQ(D1021:H1021)/COUNT(D1021:H1021))</f>
        <v>0.46640947674763217</v>
      </c>
      <c r="J1021" s="58"/>
    </row>
    <row r="1022" spans="2:10" x14ac:dyDescent="0.3">
      <c r="C1022" s="5" t="s">
        <v>949</v>
      </c>
      <c r="D1022" s="321">
        <v>-0.502</v>
      </c>
      <c r="E1022" s="321">
        <v>-0.36099999999999999</v>
      </c>
      <c r="F1022" s="16">
        <f>EXP(F1020)-1</f>
        <v>-0.38798592599865012</v>
      </c>
      <c r="G1022" s="16">
        <f>EXP(G1020)-1</f>
        <v>-0.39286250626121033</v>
      </c>
      <c r="H1022" s="16">
        <f>EXP(H1020)-1</f>
        <v>-0.37562242158858872</v>
      </c>
      <c r="I1022" s="34">
        <f>AVERAGE(D1022:H1022)</f>
        <v>-0.40389417076968986</v>
      </c>
      <c r="J1022" s="58"/>
    </row>
    <row r="1023" spans="2:10" x14ac:dyDescent="0.3">
      <c r="C1023" s="3" t="s">
        <v>581</v>
      </c>
      <c r="I1023" s="3" t="s">
        <v>855</v>
      </c>
    </row>
    <row r="1024" spans="2:10" x14ac:dyDescent="0.3">
      <c r="D1024" s="58"/>
      <c r="E1024" s="58"/>
      <c r="F1024" s="58"/>
      <c r="G1024" s="58"/>
      <c r="H1024" s="58"/>
      <c r="I1024" s="58"/>
    </row>
    <row r="1025" spans="2:39" s="8" customFormat="1" ht="19.5" x14ac:dyDescent="0.4">
      <c r="B1025" s="8">
        <v>75</v>
      </c>
      <c r="C1025" s="8" t="s" cm="1">
        <v>582</v>
      </c>
      <c r="D1025" s="8" t="s" cm="1">
        <v>583</v>
      </c>
      <c r="G1025" s="8" t="s">
        <v>136</v>
      </c>
    </row>
    <row r="1026" spans="2:39" x14ac:dyDescent="0.3">
      <c r="U1026" s="19"/>
    </row>
    <row r="1027" spans="2:39" x14ac:dyDescent="0.3">
      <c r="C1027" s="4" t="s">
        <v>584</v>
      </c>
    </row>
    <row r="1028" spans="2:39" x14ac:dyDescent="0.3">
      <c r="C1028" s="113"/>
      <c r="D1028" s="92" t="s">
        <v>585</v>
      </c>
      <c r="E1028" s="92"/>
      <c r="F1028" s="115"/>
      <c r="G1028" s="92" t="s">
        <v>586</v>
      </c>
      <c r="H1028" s="92"/>
      <c r="I1028" s="115"/>
      <c r="J1028" s="92" t="s">
        <v>587</v>
      </c>
      <c r="K1028" s="92"/>
      <c r="L1028" s="115"/>
      <c r="M1028" s="9" t="s">
        <v>588</v>
      </c>
      <c r="N1028" s="113" t="s">
        <v>589</v>
      </c>
      <c r="O1028" s="9" t="s">
        <v>590</v>
      </c>
      <c r="P1028" s="9" t="s">
        <v>591</v>
      </c>
      <c r="Q1028" s="9" t="s">
        <v>276</v>
      </c>
      <c r="R1028" s="92" t="s">
        <v>592</v>
      </c>
      <c r="S1028" s="92" t="s">
        <v>593</v>
      </c>
      <c r="T1028" s="92"/>
      <c r="AI1028" s="58"/>
      <c r="AJ1028" s="58"/>
      <c r="AK1028" s="58"/>
      <c r="AL1028" s="58"/>
      <c r="AM1028" s="58"/>
    </row>
    <row r="1029" spans="2:39" x14ac:dyDescent="0.3">
      <c r="C1029" s="42"/>
      <c r="D1029" s="12" t="s">
        <v>594</v>
      </c>
      <c r="E1029" s="12" t="s">
        <v>15</v>
      </c>
      <c r="F1029" s="42" t="s">
        <v>595</v>
      </c>
      <c r="G1029" s="12" t="s">
        <v>594</v>
      </c>
      <c r="H1029" s="12" t="s">
        <v>15</v>
      </c>
      <c r="I1029" s="42" t="s">
        <v>595</v>
      </c>
      <c r="J1029" s="12" t="s">
        <v>594</v>
      </c>
      <c r="K1029" s="12" t="s">
        <v>15</v>
      </c>
      <c r="L1029" s="42" t="s">
        <v>595</v>
      </c>
      <c r="M1029" s="12"/>
      <c r="N1029" s="42"/>
      <c r="O1029" s="12"/>
      <c r="P1029" s="12"/>
      <c r="Q1029" s="12"/>
      <c r="R1029" s="12" t="s">
        <v>596</v>
      </c>
      <c r="S1029" s="12" t="s">
        <v>949</v>
      </c>
      <c r="T1029" s="12" t="s">
        <v>956</v>
      </c>
      <c r="AI1029" s="58"/>
      <c r="AJ1029" s="58"/>
      <c r="AK1029" s="58"/>
      <c r="AL1029" s="58"/>
      <c r="AM1029" s="58"/>
    </row>
    <row r="1030" spans="2:39" x14ac:dyDescent="0.3">
      <c r="C1030" s="114" t="s">
        <v>597</v>
      </c>
      <c r="D1030" s="14">
        <v>4.0000000000000001E-3</v>
      </c>
      <c r="E1030" s="14">
        <v>1.9E-2</v>
      </c>
      <c r="F1030" s="184"/>
      <c r="G1030" s="14">
        <v>1.2999999999999999E-2</v>
      </c>
      <c r="H1030" s="14">
        <v>2.1999999999999999E-2</v>
      </c>
      <c r="I1030" s="184"/>
      <c r="J1030" s="14">
        <v>9.4E-2</v>
      </c>
      <c r="K1030" s="14">
        <v>3.1E-2</v>
      </c>
      <c r="L1030" s="184" t="s">
        <v>598</v>
      </c>
      <c r="M1030" s="88" t="s">
        <v>599</v>
      </c>
      <c r="N1030" s="328"/>
      <c r="O1030">
        <f t="shared" ref="O1030:O1050" si="175">D1030*$D$1084+G1030*$D$1085+J1030*$D$1086</f>
        <v>5.1250000000000004E-2</v>
      </c>
      <c r="P1030">
        <f t="shared" ref="P1030:P1050" si="176">E1030*$D$1084+H1030*$D$1085+K1030*$D$1086</f>
        <v>2.5749999999999999E-2</v>
      </c>
      <c r="Q1030" s="21">
        <f t="shared" ref="Q1030:Q1050" si="177">ABS(O1030/P1030)</f>
        <v>1.9902912621359226</v>
      </c>
      <c r="R1030">
        <f t="shared" ref="R1030:R1050" si="178">IF(N1030&lt;&gt;"",1,0)</f>
        <v>0</v>
      </c>
      <c r="S1030" s="11">
        <f t="shared" ref="S1030:S1050" si="179">O1030*$E$1080</f>
        <v>0.13071364795918367</v>
      </c>
      <c r="T1030" s="11">
        <f t="shared" ref="T1030:T1050" si="180">P1030/O1030*S1030</f>
        <v>6.5675637755102018E-2</v>
      </c>
    </row>
    <row r="1031" spans="2:39" x14ac:dyDescent="0.3">
      <c r="C1031" s="114" t="s">
        <v>226</v>
      </c>
      <c r="D1031" s="14">
        <v>5.6000000000000001E-2</v>
      </c>
      <c r="E1031" s="14">
        <v>2.1000000000000001E-2</v>
      </c>
      <c r="F1031" s="184" t="s">
        <v>598</v>
      </c>
      <c r="G1031" s="14">
        <v>5.2999999999999999E-2</v>
      </c>
      <c r="H1031" s="14">
        <v>2.3E-2</v>
      </c>
      <c r="I1031" s="184" t="s">
        <v>600</v>
      </c>
      <c r="J1031" s="14">
        <v>-0.01</v>
      </c>
      <c r="K1031" s="14">
        <v>5.2999999999999999E-2</v>
      </c>
      <c r="L1031" s="184"/>
      <c r="M1031" s="88" t="s">
        <v>599</v>
      </c>
      <c r="N1031" s="328" t="s">
        <v>599</v>
      </c>
      <c r="O1031">
        <f t="shared" si="175"/>
        <v>2.2249999999999999E-2</v>
      </c>
      <c r="P1031">
        <f t="shared" si="176"/>
        <v>3.7499999999999999E-2</v>
      </c>
      <c r="Q1031" s="21">
        <f t="shared" si="177"/>
        <v>0.59333333333333338</v>
      </c>
      <c r="R1031">
        <f t="shared" si="178"/>
        <v>1</v>
      </c>
      <c r="S1031" s="11">
        <f t="shared" si="179"/>
        <v>5.6748852040816318E-2</v>
      </c>
      <c r="T1031" s="11">
        <f t="shared" si="180"/>
        <v>9.5644132653061223E-2</v>
      </c>
    </row>
    <row r="1032" spans="2:39" x14ac:dyDescent="0.3">
      <c r="C1032" s="114" t="s">
        <v>601</v>
      </c>
      <c r="D1032" s="14">
        <v>8.9999999999999993E-3</v>
      </c>
      <c r="E1032" s="14">
        <v>1.0999999999999999E-2</v>
      </c>
      <c r="F1032" s="184"/>
      <c r="G1032" s="14">
        <v>8.9999999999999993E-3</v>
      </c>
      <c r="H1032" s="14">
        <v>1.2999999999999999E-2</v>
      </c>
      <c r="I1032" s="184"/>
      <c r="J1032" s="14">
        <v>-4.0000000000000001E-3</v>
      </c>
      <c r="K1032" s="14">
        <v>1.9E-2</v>
      </c>
      <c r="L1032" s="184"/>
      <c r="M1032" s="88"/>
      <c r="N1032" s="328"/>
      <c r="O1032">
        <f t="shared" si="175"/>
        <v>2.4999999999999996E-3</v>
      </c>
      <c r="P1032">
        <f t="shared" si="176"/>
        <v>1.55E-2</v>
      </c>
      <c r="Q1032" s="21">
        <f t="shared" si="177"/>
        <v>0.16129032258064513</v>
      </c>
      <c r="R1032">
        <f t="shared" si="178"/>
        <v>0</v>
      </c>
      <c r="S1032" s="11">
        <f t="shared" si="179"/>
        <v>6.3762755102040802E-3</v>
      </c>
      <c r="T1032" s="11">
        <f t="shared" si="180"/>
        <v>3.9532908163265303E-2</v>
      </c>
    </row>
    <row r="1033" spans="2:39" x14ac:dyDescent="0.3">
      <c r="C1033" s="114" t="s">
        <v>602</v>
      </c>
      <c r="D1033" s="14">
        <v>4.2000000000000003E-2</v>
      </c>
      <c r="E1033" s="14">
        <v>1.2E-2</v>
      </c>
      <c r="F1033" s="184" t="s">
        <v>598</v>
      </c>
      <c r="G1033" s="14">
        <v>4.2000000000000003E-2</v>
      </c>
      <c r="H1033" s="14">
        <v>1.2999999999999999E-2</v>
      </c>
      <c r="I1033" s="184" t="s">
        <v>598</v>
      </c>
      <c r="J1033" s="14">
        <v>1.0999999999999999E-2</v>
      </c>
      <c r="K1033" s="14">
        <v>1.9E-2</v>
      </c>
      <c r="L1033" s="184"/>
      <c r="M1033" s="88" t="s">
        <v>599</v>
      </c>
      <c r="N1033" s="328" t="s">
        <v>599</v>
      </c>
      <c r="O1033">
        <f t="shared" si="175"/>
        <v>2.6500000000000003E-2</v>
      </c>
      <c r="P1033">
        <f t="shared" si="176"/>
        <v>1.575E-2</v>
      </c>
      <c r="Q1033" s="21">
        <f t="shared" si="177"/>
        <v>1.6825396825396828</v>
      </c>
      <c r="R1033">
        <f t="shared" si="178"/>
        <v>1</v>
      </c>
      <c r="S1033" s="11">
        <f t="shared" si="179"/>
        <v>6.7588520408163266E-2</v>
      </c>
      <c r="T1033" s="11">
        <f t="shared" si="180"/>
        <v>4.0170535714285714E-2</v>
      </c>
    </row>
    <row r="1034" spans="2:39" x14ac:dyDescent="0.3">
      <c r="C1034" s="114" t="s">
        <v>603</v>
      </c>
      <c r="D1034" s="14">
        <v>-4.9000000000000002E-2</v>
      </c>
      <c r="E1034" s="14">
        <v>1.7000000000000001E-2</v>
      </c>
      <c r="F1034" s="184" t="s">
        <v>598</v>
      </c>
      <c r="G1034" s="14">
        <v>-5.5E-2</v>
      </c>
      <c r="H1034" s="14">
        <v>1.9E-2</v>
      </c>
      <c r="I1034" s="184" t="s">
        <v>598</v>
      </c>
      <c r="J1034" s="14">
        <v>-6.5000000000000002E-2</v>
      </c>
      <c r="K1034" s="14">
        <v>2.8000000000000001E-2</v>
      </c>
      <c r="L1034" s="184" t="s">
        <v>600</v>
      </c>
      <c r="M1034" s="88" t="s">
        <v>604</v>
      </c>
      <c r="N1034" s="328" t="s">
        <v>604</v>
      </c>
      <c r="O1034">
        <f t="shared" si="175"/>
        <v>-5.8500000000000003E-2</v>
      </c>
      <c r="P1034">
        <f t="shared" si="176"/>
        <v>2.3E-2</v>
      </c>
      <c r="Q1034" s="21">
        <f t="shared" si="177"/>
        <v>2.5434782608695654</v>
      </c>
      <c r="R1034">
        <f t="shared" si="178"/>
        <v>1</v>
      </c>
      <c r="S1034" s="11">
        <f t="shared" si="179"/>
        <v>-0.1492048469387755</v>
      </c>
      <c r="T1034" s="11">
        <f t="shared" si="180"/>
        <v>5.8661734693877546E-2</v>
      </c>
    </row>
    <row r="1035" spans="2:39" x14ac:dyDescent="0.3">
      <c r="C1035" s="114" t="s">
        <v>605</v>
      </c>
      <c r="D1035" s="14">
        <v>0.14699999999999999</v>
      </c>
      <c r="E1035" s="14">
        <v>1.7000000000000001E-2</v>
      </c>
      <c r="F1035" s="184" t="s">
        <v>598</v>
      </c>
      <c r="G1035" s="14">
        <v>0.17299999999999999</v>
      </c>
      <c r="H1035" s="14">
        <v>0.02</v>
      </c>
      <c r="I1035" s="184" t="s">
        <v>598</v>
      </c>
      <c r="J1035" s="14">
        <v>0.22</v>
      </c>
      <c r="K1035" s="14">
        <v>3.1E-2</v>
      </c>
      <c r="L1035" s="184" t="s">
        <v>598</v>
      </c>
      <c r="M1035" s="88" t="s">
        <v>599</v>
      </c>
      <c r="N1035" s="328" t="s">
        <v>599</v>
      </c>
      <c r="O1035">
        <f t="shared" si="175"/>
        <v>0.19</v>
      </c>
      <c r="P1035">
        <f t="shared" si="176"/>
        <v>2.4750000000000001E-2</v>
      </c>
      <c r="Q1035" s="21">
        <f t="shared" si="177"/>
        <v>7.6767676767676765</v>
      </c>
      <c r="R1035">
        <f t="shared" si="178"/>
        <v>1</v>
      </c>
      <c r="S1035" s="11">
        <f t="shared" si="179"/>
        <v>0.48459693877551019</v>
      </c>
      <c r="T1035" s="11">
        <f t="shared" si="180"/>
        <v>6.3125127551020413E-2</v>
      </c>
    </row>
    <row r="1036" spans="2:39" x14ac:dyDescent="0.3">
      <c r="C1036" s="114" t="s">
        <v>193</v>
      </c>
      <c r="D1036" s="14">
        <v>-0.06</v>
      </c>
      <c r="E1036" s="14">
        <v>1.2999999999999999E-2</v>
      </c>
      <c r="F1036" s="184" t="s">
        <v>598</v>
      </c>
      <c r="G1036" s="14">
        <v>-5.8999999999999997E-2</v>
      </c>
      <c r="H1036" s="14">
        <v>1.4E-2</v>
      </c>
      <c r="I1036" s="184" t="s">
        <v>598</v>
      </c>
      <c r="J1036" s="14">
        <v>-3.5999999999999997E-2</v>
      </c>
      <c r="K1036" s="14">
        <v>0.02</v>
      </c>
      <c r="L1036" s="184" t="s">
        <v>606</v>
      </c>
      <c r="M1036" s="88" t="s">
        <v>604</v>
      </c>
      <c r="N1036" s="328" t="s">
        <v>604</v>
      </c>
      <c r="O1036">
        <f t="shared" si="175"/>
        <v>-4.7750000000000001E-2</v>
      </c>
      <c r="P1036">
        <f t="shared" si="176"/>
        <v>1.6750000000000001E-2</v>
      </c>
      <c r="Q1036" s="21">
        <f t="shared" si="177"/>
        <v>2.8507462686567164</v>
      </c>
      <c r="R1036">
        <f t="shared" si="178"/>
        <v>1</v>
      </c>
      <c r="S1036" s="11">
        <f t="shared" si="179"/>
        <v>-0.12178686224489796</v>
      </c>
      <c r="T1036" s="11">
        <f t="shared" si="180"/>
        <v>4.2721045918367354E-2</v>
      </c>
    </row>
    <row r="1037" spans="2:39" x14ac:dyDescent="0.3">
      <c r="C1037" s="114" t="s">
        <v>607</v>
      </c>
      <c r="D1037" s="14">
        <v>1.0999999999999999E-2</v>
      </c>
      <c r="E1037" s="14">
        <v>1.6E-2</v>
      </c>
      <c r="F1037" s="184"/>
      <c r="G1037" s="14">
        <v>1.2999999999999999E-2</v>
      </c>
      <c r="H1037" s="14">
        <v>1.9E-2</v>
      </c>
      <c r="I1037" s="184"/>
      <c r="J1037" s="14">
        <v>-1.4999999999999999E-2</v>
      </c>
      <c r="K1037" s="14">
        <v>2.5000000000000001E-2</v>
      </c>
      <c r="L1037" s="184"/>
      <c r="M1037" s="88"/>
      <c r="N1037" s="328"/>
      <c r="O1037">
        <f t="shared" si="175"/>
        <v>-1.4999999999999996E-3</v>
      </c>
      <c r="P1037">
        <f t="shared" si="176"/>
        <v>2.1250000000000002E-2</v>
      </c>
      <c r="Q1037" s="21">
        <f t="shared" si="177"/>
        <v>7.0588235294117618E-2</v>
      </c>
      <c r="R1037">
        <f t="shared" si="178"/>
        <v>0</v>
      </c>
      <c r="S1037" s="11">
        <f t="shared" si="179"/>
        <v>-3.8257653061224478E-3</v>
      </c>
      <c r="T1037" s="11">
        <f t="shared" si="180"/>
        <v>5.4198341836734693E-2</v>
      </c>
    </row>
    <row r="1038" spans="2:39" x14ac:dyDescent="0.3">
      <c r="C1038" s="114" t="s">
        <v>608</v>
      </c>
      <c r="D1038" s="14">
        <v>0.1</v>
      </c>
      <c r="E1038" s="14">
        <v>2.5999999999999999E-2</v>
      </c>
      <c r="F1038" s="184" t="s">
        <v>598</v>
      </c>
      <c r="G1038" s="14">
        <v>0.10299999999999999</v>
      </c>
      <c r="H1038" s="14">
        <v>2.8000000000000001E-2</v>
      </c>
      <c r="I1038" s="184" t="s">
        <v>598</v>
      </c>
      <c r="J1038" s="14">
        <v>0.11</v>
      </c>
      <c r="K1038" s="14">
        <v>5.8000000000000003E-2</v>
      </c>
      <c r="L1038" s="184" t="s">
        <v>606</v>
      </c>
      <c r="M1038" s="88" t="s">
        <v>599</v>
      </c>
      <c r="N1038" s="328" t="s">
        <v>599</v>
      </c>
      <c r="O1038">
        <f t="shared" si="175"/>
        <v>0.10575000000000001</v>
      </c>
      <c r="P1038">
        <f t="shared" si="176"/>
        <v>4.2500000000000003E-2</v>
      </c>
      <c r="Q1038" s="21">
        <f t="shared" si="177"/>
        <v>2.4882352941176471</v>
      </c>
      <c r="R1038">
        <f t="shared" si="178"/>
        <v>1</v>
      </c>
      <c r="S1038" s="11">
        <f t="shared" si="179"/>
        <v>0.26971645408163269</v>
      </c>
      <c r="T1038" s="11">
        <f t="shared" si="180"/>
        <v>0.1083966836734694</v>
      </c>
    </row>
    <row r="1039" spans="2:39" x14ac:dyDescent="0.3">
      <c r="C1039" s="114" t="s">
        <v>609</v>
      </c>
      <c r="D1039" s="14">
        <v>-0.14299999999999999</v>
      </c>
      <c r="E1039" s="14">
        <v>2.3E-2</v>
      </c>
      <c r="F1039" s="184" t="s">
        <v>598</v>
      </c>
      <c r="G1039" s="14">
        <v>-0.16300000000000001</v>
      </c>
      <c r="H1039" s="14">
        <v>2.5999999999999999E-2</v>
      </c>
      <c r="I1039" s="184" t="s">
        <v>598</v>
      </c>
      <c r="J1039" s="14">
        <v>-0.24099999999999999</v>
      </c>
      <c r="K1039" s="14">
        <v>4.3999999999999997E-2</v>
      </c>
      <c r="L1039" s="184" t="s">
        <v>598</v>
      </c>
      <c r="M1039" s="88" t="s">
        <v>604</v>
      </c>
      <c r="N1039" s="328" t="s">
        <v>604</v>
      </c>
      <c r="O1039">
        <f t="shared" si="175"/>
        <v>-0.19700000000000001</v>
      </c>
      <c r="P1039">
        <f t="shared" si="176"/>
        <v>3.4250000000000003E-2</v>
      </c>
      <c r="Q1039" s="21">
        <f t="shared" si="177"/>
        <v>5.7518248175182478</v>
      </c>
      <c r="R1039">
        <f t="shared" si="178"/>
        <v>1</v>
      </c>
      <c r="S1039" s="11">
        <f t="shared" si="179"/>
        <v>-0.5024505102040816</v>
      </c>
      <c r="T1039" s="11">
        <f t="shared" si="180"/>
        <v>8.7354974489795914E-2</v>
      </c>
    </row>
    <row r="1040" spans="2:39" x14ac:dyDescent="0.3">
      <c r="C1040" s="114" t="s">
        <v>610</v>
      </c>
      <c r="D1040" s="14">
        <v>-3.9E-2</v>
      </c>
      <c r="E1040" s="14">
        <v>1.0999999999999999E-2</v>
      </c>
      <c r="F1040" s="184" t="s">
        <v>598</v>
      </c>
      <c r="G1040" s="14">
        <v>-3.4000000000000002E-2</v>
      </c>
      <c r="H1040" s="14">
        <v>1.2999999999999999E-2</v>
      </c>
      <c r="I1040" s="184" t="s">
        <v>598</v>
      </c>
      <c r="J1040" s="14">
        <v>-2E-3</v>
      </c>
      <c r="K1040" s="14">
        <v>2.1000000000000001E-2</v>
      </c>
      <c r="L1040" s="184"/>
      <c r="M1040" s="88" t="s">
        <v>604</v>
      </c>
      <c r="N1040" s="328" t="s">
        <v>604</v>
      </c>
      <c r="O1040">
        <f t="shared" si="175"/>
        <v>-1.9250000000000003E-2</v>
      </c>
      <c r="P1040">
        <f t="shared" si="176"/>
        <v>1.6500000000000001E-2</v>
      </c>
      <c r="Q1040" s="21">
        <f t="shared" si="177"/>
        <v>1.1666666666666667</v>
      </c>
      <c r="R1040">
        <f t="shared" si="178"/>
        <v>1</v>
      </c>
      <c r="S1040" s="11">
        <f t="shared" si="179"/>
        <v>-4.9097321428571435E-2</v>
      </c>
      <c r="T1040" s="11">
        <f t="shared" si="180"/>
        <v>4.2083418367346942E-2</v>
      </c>
    </row>
    <row r="1041" spans="3:20" x14ac:dyDescent="0.3">
      <c r="C1041" s="114" t="s">
        <v>218</v>
      </c>
      <c r="D1041" s="14">
        <v>-6.2E-2</v>
      </c>
      <c r="E1041" s="14">
        <v>1.2E-2</v>
      </c>
      <c r="F1041" s="184" t="s">
        <v>598</v>
      </c>
      <c r="G1041" s="14">
        <v>-6.8000000000000005E-2</v>
      </c>
      <c r="H1041" s="14">
        <v>1.2999999999999999E-2</v>
      </c>
      <c r="I1041" s="184" t="s">
        <v>598</v>
      </c>
      <c r="J1041" s="14">
        <v>-4.2999999999999997E-2</v>
      </c>
      <c r="K1041" s="14">
        <v>2.1000000000000001E-2</v>
      </c>
      <c r="L1041" s="184" t="s">
        <v>600</v>
      </c>
      <c r="M1041" s="88" t="s">
        <v>604</v>
      </c>
      <c r="N1041" s="328" t="s">
        <v>604</v>
      </c>
      <c r="O1041">
        <f t="shared" si="175"/>
        <v>-5.3999999999999999E-2</v>
      </c>
      <c r="P1041">
        <f t="shared" si="176"/>
        <v>1.6750000000000001E-2</v>
      </c>
      <c r="Q1041" s="21">
        <f t="shared" si="177"/>
        <v>3.2238805970149254</v>
      </c>
      <c r="R1041">
        <f t="shared" si="178"/>
        <v>1</v>
      </c>
      <c r="S1041" s="11">
        <f t="shared" si="179"/>
        <v>-0.13772755102040815</v>
      </c>
      <c r="T1041" s="11">
        <f t="shared" si="180"/>
        <v>4.2721045918367347E-2</v>
      </c>
    </row>
    <row r="1042" spans="3:20" x14ac:dyDescent="0.3">
      <c r="C1042" s="114" t="s">
        <v>219</v>
      </c>
      <c r="D1042" s="14">
        <v>6.9000000000000006E-2</v>
      </c>
      <c r="E1042" s="14">
        <v>1.2999999999999999E-2</v>
      </c>
      <c r="F1042" s="184" t="s">
        <v>598</v>
      </c>
      <c r="G1042" s="14">
        <v>6.8000000000000005E-2</v>
      </c>
      <c r="H1042" s="14">
        <v>1.4E-2</v>
      </c>
      <c r="I1042" s="184" t="s">
        <v>598</v>
      </c>
      <c r="J1042" s="14">
        <v>5.6000000000000001E-2</v>
      </c>
      <c r="K1042" s="14">
        <v>2.4E-2</v>
      </c>
      <c r="L1042" s="184" t="s">
        <v>600</v>
      </c>
      <c r="M1042" s="88" t="s">
        <v>599</v>
      </c>
      <c r="N1042" s="328" t="s">
        <v>599</v>
      </c>
      <c r="O1042">
        <f t="shared" si="175"/>
        <v>6.225E-2</v>
      </c>
      <c r="P1042">
        <f t="shared" si="176"/>
        <v>1.8749999999999999E-2</v>
      </c>
      <c r="Q1042" s="21">
        <f t="shared" si="177"/>
        <v>3.3200000000000003</v>
      </c>
      <c r="R1042">
        <f t="shared" si="178"/>
        <v>1</v>
      </c>
      <c r="S1042" s="11">
        <f t="shared" si="179"/>
        <v>0.15876926020408164</v>
      </c>
      <c r="T1042" s="11">
        <f t="shared" si="180"/>
        <v>4.7822066326530611E-2</v>
      </c>
    </row>
    <row r="1043" spans="3:20" x14ac:dyDescent="0.3">
      <c r="C1043" s="114" t="s">
        <v>611</v>
      </c>
      <c r="D1043" s="14">
        <v>1.7000000000000001E-2</v>
      </c>
      <c r="E1043" s="14">
        <v>2.3E-2</v>
      </c>
      <c r="F1043" s="184"/>
      <c r="G1043" s="14">
        <v>2.7E-2</v>
      </c>
      <c r="H1043" s="14">
        <v>2.5000000000000001E-2</v>
      </c>
      <c r="I1043" s="184"/>
      <c r="J1043" s="14">
        <v>1.2999999999999999E-2</v>
      </c>
      <c r="K1043" s="14">
        <v>3.9E-2</v>
      </c>
      <c r="L1043" s="184"/>
      <c r="M1043" s="88"/>
      <c r="N1043" s="328"/>
      <c r="O1043">
        <f t="shared" si="175"/>
        <v>1.7499999999999998E-2</v>
      </c>
      <c r="P1043">
        <f t="shared" si="176"/>
        <v>3.15E-2</v>
      </c>
      <c r="Q1043" s="21">
        <f t="shared" si="177"/>
        <v>0.55555555555555547</v>
      </c>
      <c r="R1043">
        <f t="shared" si="178"/>
        <v>0</v>
      </c>
      <c r="S1043" s="11">
        <f t="shared" si="179"/>
        <v>4.4633928571428567E-2</v>
      </c>
      <c r="T1043" s="11">
        <f t="shared" si="180"/>
        <v>8.0341071428571428E-2</v>
      </c>
    </row>
    <row r="1044" spans="3:20" x14ac:dyDescent="0.3">
      <c r="C1044" s="114" t="s">
        <v>612</v>
      </c>
      <c r="D1044" s="14">
        <v>6.5000000000000002E-2</v>
      </c>
      <c r="E1044" s="14">
        <v>1.7999999999999999E-2</v>
      </c>
      <c r="F1044" s="184" t="s">
        <v>598</v>
      </c>
      <c r="G1044" s="14">
        <v>7.4999999999999997E-2</v>
      </c>
      <c r="H1044" s="14">
        <v>0.02</v>
      </c>
      <c r="I1044" s="184" t="s">
        <v>598</v>
      </c>
      <c r="J1044" s="14">
        <v>0.08</v>
      </c>
      <c r="K1044" s="14">
        <v>0.03</v>
      </c>
      <c r="L1044" s="184" t="s">
        <v>598</v>
      </c>
      <c r="M1044" s="88" t="s">
        <v>599</v>
      </c>
      <c r="N1044" s="328" t="s">
        <v>599</v>
      </c>
      <c r="O1044">
        <f t="shared" si="175"/>
        <v>7.5000000000000011E-2</v>
      </c>
      <c r="P1044">
        <f t="shared" si="176"/>
        <v>2.4500000000000001E-2</v>
      </c>
      <c r="Q1044" s="21">
        <f t="shared" si="177"/>
        <v>3.0612244897959187</v>
      </c>
      <c r="R1044">
        <f t="shared" si="178"/>
        <v>1</v>
      </c>
      <c r="S1044" s="11">
        <f t="shared" si="179"/>
        <v>0.19128826530612247</v>
      </c>
      <c r="T1044" s="11">
        <f t="shared" si="180"/>
        <v>6.2487499999999994E-2</v>
      </c>
    </row>
    <row r="1045" spans="3:20" x14ac:dyDescent="0.3">
      <c r="C1045" s="114" t="s">
        <v>613</v>
      </c>
      <c r="D1045" s="14">
        <v>7.6999999999999999E-2</v>
      </c>
      <c r="E1045" s="14">
        <v>1.9E-2</v>
      </c>
      <c r="F1045" s="184" t="s">
        <v>598</v>
      </c>
      <c r="G1045" s="14">
        <v>9.5000000000000001E-2</v>
      </c>
      <c r="H1045" s="14">
        <v>2.1000000000000001E-2</v>
      </c>
      <c r="I1045" s="184" t="s">
        <v>598</v>
      </c>
      <c r="J1045" s="14">
        <v>0.105</v>
      </c>
      <c r="K1045" s="14">
        <v>3.2000000000000001E-2</v>
      </c>
      <c r="L1045" s="184" t="s">
        <v>598</v>
      </c>
      <c r="M1045" s="88" t="s">
        <v>599</v>
      </c>
      <c r="N1045" s="328" t="s">
        <v>599</v>
      </c>
      <c r="O1045">
        <f t="shared" si="175"/>
        <v>9.5500000000000002E-2</v>
      </c>
      <c r="P1045">
        <f t="shared" si="176"/>
        <v>2.6000000000000002E-2</v>
      </c>
      <c r="Q1045" s="21">
        <f t="shared" si="177"/>
        <v>3.6730769230769229</v>
      </c>
      <c r="R1045">
        <f t="shared" si="178"/>
        <v>1</v>
      </c>
      <c r="S1045" s="11">
        <f t="shared" si="179"/>
        <v>0.24357372448979592</v>
      </c>
      <c r="T1045" s="11">
        <f t="shared" si="180"/>
        <v>6.6313265306122457E-2</v>
      </c>
    </row>
    <row r="1046" spans="3:20" x14ac:dyDescent="0.3">
      <c r="C1046" s="114" t="s">
        <v>614</v>
      </c>
      <c r="D1046" s="14">
        <v>2.5999999999999999E-2</v>
      </c>
      <c r="E1046" s="14">
        <v>1.6E-2</v>
      </c>
      <c r="F1046" s="184"/>
      <c r="G1046" s="14">
        <v>1.7000000000000001E-2</v>
      </c>
      <c r="H1046" s="14">
        <v>1.9E-2</v>
      </c>
      <c r="I1046" s="184"/>
      <c r="J1046" s="14">
        <v>-6.0000000000000001E-3</v>
      </c>
      <c r="K1046" s="14">
        <v>2.7E-2</v>
      </c>
      <c r="L1046" s="184"/>
      <c r="M1046" s="88"/>
      <c r="N1046" s="328"/>
      <c r="O1046">
        <f t="shared" si="175"/>
        <v>7.7499999999999991E-3</v>
      </c>
      <c r="P1046">
        <f t="shared" si="176"/>
        <v>2.2249999999999999E-2</v>
      </c>
      <c r="Q1046" s="21">
        <f t="shared" si="177"/>
        <v>0.348314606741573</v>
      </c>
      <c r="R1046">
        <f t="shared" si="178"/>
        <v>0</v>
      </c>
      <c r="S1046" s="11">
        <f t="shared" si="179"/>
        <v>1.9766454081632651E-2</v>
      </c>
      <c r="T1046" s="11">
        <f t="shared" si="180"/>
        <v>5.6748852040816325E-2</v>
      </c>
    </row>
    <row r="1047" spans="3:20" x14ac:dyDescent="0.3">
      <c r="C1047" s="114" t="s">
        <v>615</v>
      </c>
      <c r="D1047" s="14">
        <v>-3.0000000000000001E-3</v>
      </c>
      <c r="E1047" s="14">
        <v>1.4E-2</v>
      </c>
      <c r="F1047" s="184"/>
      <c r="G1047" s="14">
        <v>-2E-3</v>
      </c>
      <c r="H1047" s="14">
        <v>1.6E-2</v>
      </c>
      <c r="I1047" s="184"/>
      <c r="J1047" s="14">
        <v>-4.0000000000000001E-3</v>
      </c>
      <c r="K1047" s="14">
        <v>2.1000000000000001E-2</v>
      </c>
      <c r="L1047" s="184"/>
      <c r="M1047" s="88"/>
      <c r="N1047" s="328"/>
      <c r="O1047">
        <f t="shared" si="175"/>
        <v>-3.2500000000000003E-3</v>
      </c>
      <c r="P1047">
        <f t="shared" si="176"/>
        <v>1.8000000000000002E-2</v>
      </c>
      <c r="Q1047" s="21">
        <f t="shared" si="177"/>
        <v>0.18055555555555555</v>
      </c>
      <c r="R1047">
        <f t="shared" si="178"/>
        <v>0</v>
      </c>
      <c r="S1047" s="11">
        <f t="shared" si="179"/>
        <v>-8.2891581632653071E-3</v>
      </c>
      <c r="T1047" s="11">
        <f t="shared" si="180"/>
        <v>4.5909183673469391E-2</v>
      </c>
    </row>
    <row r="1048" spans="3:20" x14ac:dyDescent="0.3">
      <c r="C1048" s="114" t="s">
        <v>616</v>
      </c>
      <c r="D1048" s="14">
        <v>-3.5999999999999997E-2</v>
      </c>
      <c r="E1048" s="14">
        <v>1.2999999999999999E-2</v>
      </c>
      <c r="F1048" s="184" t="s">
        <v>598</v>
      </c>
      <c r="G1048" s="14">
        <v>-3.5000000000000003E-2</v>
      </c>
      <c r="H1048" s="14">
        <v>1.4999999999999999E-2</v>
      </c>
      <c r="I1048" s="184" t="s">
        <v>600</v>
      </c>
      <c r="J1048" s="14">
        <v>-2.3E-2</v>
      </c>
      <c r="K1048" s="14">
        <v>2.3E-2</v>
      </c>
      <c r="L1048" s="184"/>
      <c r="M1048" s="88" t="s">
        <v>604</v>
      </c>
      <c r="N1048" s="328" t="s">
        <v>604</v>
      </c>
      <c r="O1048">
        <f t="shared" si="175"/>
        <v>-2.9250000000000002E-2</v>
      </c>
      <c r="P1048">
        <f t="shared" si="176"/>
        <v>1.8499999999999999E-2</v>
      </c>
      <c r="Q1048" s="21">
        <f t="shared" si="177"/>
        <v>1.5810810810810811</v>
      </c>
      <c r="R1048">
        <f t="shared" si="178"/>
        <v>1</v>
      </c>
      <c r="S1048" s="11">
        <f t="shared" si="179"/>
        <v>-7.4602423469387752E-2</v>
      </c>
      <c r="T1048" s="11">
        <f t="shared" si="180"/>
        <v>4.71844387755102E-2</v>
      </c>
    </row>
    <row r="1049" spans="3:20" x14ac:dyDescent="0.3">
      <c r="C1049" s="114" t="s">
        <v>617</v>
      </c>
      <c r="D1049" s="6">
        <v>0.02</v>
      </c>
      <c r="E1049" s="6">
        <v>1.2E-2</v>
      </c>
      <c r="F1049" s="184"/>
      <c r="G1049" s="6">
        <v>1.4E-2</v>
      </c>
      <c r="H1049" s="6">
        <v>1.2999999999999999E-2</v>
      </c>
      <c r="I1049" s="184"/>
      <c r="J1049" s="6">
        <v>5.2999999999999999E-2</v>
      </c>
      <c r="K1049" s="6">
        <v>1.9E-2</v>
      </c>
      <c r="L1049" s="184" t="s">
        <v>598</v>
      </c>
      <c r="M1049" s="89"/>
      <c r="N1049" s="328"/>
      <c r="O1049">
        <f t="shared" si="175"/>
        <v>3.5000000000000003E-2</v>
      </c>
      <c r="P1049">
        <f t="shared" si="176"/>
        <v>1.575E-2</v>
      </c>
      <c r="Q1049" s="21">
        <f t="shared" si="177"/>
        <v>2.2222222222222223</v>
      </c>
      <c r="R1049">
        <f t="shared" si="178"/>
        <v>0</v>
      </c>
      <c r="S1049" s="11">
        <f t="shared" si="179"/>
        <v>8.9267857142857149E-2</v>
      </c>
      <c r="T1049" s="11">
        <f t="shared" si="180"/>
        <v>4.0170535714285714E-2</v>
      </c>
    </row>
    <row r="1050" spans="3:20" x14ac:dyDescent="0.3">
      <c r="C1050" s="42" t="s">
        <v>618</v>
      </c>
      <c r="D1050" s="7">
        <v>0.17199999999999999</v>
      </c>
      <c r="E1050" s="7">
        <v>2.1999999999999999E-2</v>
      </c>
      <c r="F1050" s="198" t="s">
        <v>598</v>
      </c>
      <c r="G1050" s="7">
        <v>0.17899999999999999</v>
      </c>
      <c r="H1050" s="7">
        <v>2.4E-2</v>
      </c>
      <c r="I1050" s="198" t="s">
        <v>598</v>
      </c>
      <c r="J1050" s="7">
        <v>0.21099999999999999</v>
      </c>
      <c r="K1050" s="7">
        <v>5.6000000000000001E-2</v>
      </c>
      <c r="L1050" s="198" t="s">
        <v>598</v>
      </c>
      <c r="M1050" s="90" t="s">
        <v>599</v>
      </c>
      <c r="N1050" s="329" t="s">
        <v>599</v>
      </c>
      <c r="O1050" s="12">
        <f t="shared" si="175"/>
        <v>0.19324999999999998</v>
      </c>
      <c r="P1050" s="12">
        <f t="shared" si="176"/>
        <v>3.95E-2</v>
      </c>
      <c r="Q1050" s="38">
        <f t="shared" si="177"/>
        <v>4.8924050632911387</v>
      </c>
      <c r="R1050" s="12">
        <f t="shared" si="178"/>
        <v>1</v>
      </c>
      <c r="S1050" s="13">
        <f t="shared" si="179"/>
        <v>0.49288609693877544</v>
      </c>
      <c r="T1050" s="13">
        <f t="shared" si="180"/>
        <v>0.10074515306122449</v>
      </c>
    </row>
    <row r="1051" spans="3:20" x14ac:dyDescent="0.3">
      <c r="C1051" s="3" t="s">
        <v>619</v>
      </c>
    </row>
    <row r="1052" spans="3:20" x14ac:dyDescent="0.3">
      <c r="D1052" s="3" t="s">
        <v>950</v>
      </c>
    </row>
    <row r="1053" spans="3:20" x14ac:dyDescent="0.3">
      <c r="C1053" s="407"/>
      <c r="D1053" s="409" t="s">
        <v>857</v>
      </c>
      <c r="E1053" s="409"/>
      <c r="F1053" s="409"/>
      <c r="G1053" s="409" t="s">
        <v>586</v>
      </c>
      <c r="H1053" s="409"/>
      <c r="I1053" s="409"/>
      <c r="J1053" s="409" t="s">
        <v>587</v>
      </c>
      <c r="K1053" s="409"/>
    </row>
    <row r="1054" spans="3:20" x14ac:dyDescent="0.3">
      <c r="C1054" s="408"/>
      <c r="D1054" s="408" t="s">
        <v>858</v>
      </c>
      <c r="E1054" s="408" t="s">
        <v>956</v>
      </c>
      <c r="F1054" s="408"/>
      <c r="G1054" s="408" t="s">
        <v>858</v>
      </c>
      <c r="H1054" s="408" t="s">
        <v>859</v>
      </c>
      <c r="I1054" s="408"/>
      <c r="J1054" s="408" t="s">
        <v>858</v>
      </c>
      <c r="K1054" s="408" t="s">
        <v>956</v>
      </c>
    </row>
    <row r="1055" spans="3:20" x14ac:dyDescent="0.3">
      <c r="C1055" s="113" t="s">
        <v>597</v>
      </c>
      <c r="D1055" s="11">
        <f t="shared" ref="D1055:D1075" si="181">D1030*$E$1080</f>
        <v>1.020204081632653E-2</v>
      </c>
      <c r="E1055" s="11">
        <f t="shared" ref="E1055:E1075" si="182">E1030/D1030*D1055</f>
        <v>4.8459693877551016E-2</v>
      </c>
      <c r="F1055" s="410"/>
      <c r="G1055" s="11">
        <f t="shared" ref="G1055:G1075" si="183">G1030*$E$1080</f>
        <v>3.3156632653061222E-2</v>
      </c>
      <c r="H1055" s="11">
        <f t="shared" ref="H1055:H1075" si="184">H1030/G1030*G1055</f>
        <v>5.6111224489795913E-2</v>
      </c>
      <c r="I1055" s="410"/>
      <c r="J1055" s="11">
        <f t="shared" ref="J1055:J1075" si="185">J1030*$E$1080</f>
        <v>0.23974795918367345</v>
      </c>
      <c r="K1055" s="11">
        <f t="shared" ref="K1055:K1075" si="186">K1030/J1030*J1055</f>
        <v>7.9065816326530605E-2</v>
      </c>
    </row>
    <row r="1056" spans="3:20" x14ac:dyDescent="0.3">
      <c r="C1056" s="114" t="s">
        <v>226</v>
      </c>
      <c r="D1056" s="11">
        <f t="shared" si="181"/>
        <v>0.14282857142857142</v>
      </c>
      <c r="E1056" s="11">
        <f t="shared" si="182"/>
        <v>5.3560714285714281E-2</v>
      </c>
      <c r="F1056" s="411"/>
      <c r="G1056" s="11">
        <f t="shared" si="183"/>
        <v>0.13517704081632653</v>
      </c>
      <c r="H1056" s="11">
        <f t="shared" si="184"/>
        <v>5.8661734693877553E-2</v>
      </c>
      <c r="I1056" s="411"/>
      <c r="J1056" s="11">
        <f t="shared" si="185"/>
        <v>-2.5505102040816324E-2</v>
      </c>
      <c r="K1056" s="11">
        <f t="shared" si="186"/>
        <v>0.1351770408163265</v>
      </c>
    </row>
    <row r="1057" spans="3:11" x14ac:dyDescent="0.3">
      <c r="C1057" s="114" t="s">
        <v>601</v>
      </c>
      <c r="D1057" s="11">
        <f t="shared" si="181"/>
        <v>2.2954591836734692E-2</v>
      </c>
      <c r="E1057" s="11">
        <f t="shared" si="182"/>
        <v>2.805561224489796E-2</v>
      </c>
      <c r="F1057" s="411"/>
      <c r="G1057" s="11">
        <f t="shared" si="183"/>
        <v>2.2954591836734692E-2</v>
      </c>
      <c r="H1057" s="11">
        <f t="shared" si="184"/>
        <v>3.3156632653061222E-2</v>
      </c>
      <c r="I1057" s="411"/>
      <c r="J1057" s="11">
        <f t="shared" si="185"/>
        <v>-1.020204081632653E-2</v>
      </c>
      <c r="K1057" s="11">
        <f t="shared" si="186"/>
        <v>4.8459693877551016E-2</v>
      </c>
    </row>
    <row r="1058" spans="3:11" x14ac:dyDescent="0.3">
      <c r="C1058" s="114" t="s">
        <v>602</v>
      </c>
      <c r="D1058" s="11">
        <f t="shared" si="181"/>
        <v>0.10712142857142858</v>
      </c>
      <c r="E1058" s="11">
        <f t="shared" si="182"/>
        <v>3.0606122448979593E-2</v>
      </c>
      <c r="F1058" s="411"/>
      <c r="G1058" s="11">
        <f t="shared" si="183"/>
        <v>0.10712142857142858</v>
      </c>
      <c r="H1058" s="11">
        <f t="shared" si="184"/>
        <v>3.3156632653061222E-2</v>
      </c>
      <c r="I1058" s="411"/>
      <c r="J1058" s="11">
        <f t="shared" si="185"/>
        <v>2.8055612244897957E-2</v>
      </c>
      <c r="K1058" s="11">
        <f t="shared" si="186"/>
        <v>4.8459693877551016E-2</v>
      </c>
    </row>
    <row r="1059" spans="3:11" x14ac:dyDescent="0.3">
      <c r="C1059" s="114" t="s">
        <v>603</v>
      </c>
      <c r="D1059" s="11">
        <f t="shared" si="181"/>
        <v>-0.124975</v>
      </c>
      <c r="E1059" s="11">
        <f t="shared" si="182"/>
        <v>4.3358673469387758E-2</v>
      </c>
      <c r="F1059" s="411"/>
      <c r="G1059" s="11">
        <f t="shared" si="183"/>
        <v>-0.1402780612244898</v>
      </c>
      <c r="H1059" s="11">
        <f t="shared" si="184"/>
        <v>4.8459693877551023E-2</v>
      </c>
      <c r="I1059" s="411"/>
      <c r="J1059" s="11">
        <f t="shared" si="185"/>
        <v>-0.16578316326530612</v>
      </c>
      <c r="K1059" s="11">
        <f t="shared" si="186"/>
        <v>7.1414285714285708E-2</v>
      </c>
    </row>
    <row r="1060" spans="3:11" x14ac:dyDescent="0.3">
      <c r="C1060" s="114" t="s">
        <v>605</v>
      </c>
      <c r="D1060" s="11">
        <f t="shared" si="181"/>
        <v>0.37492499999999995</v>
      </c>
      <c r="E1060" s="11">
        <f t="shared" si="182"/>
        <v>4.3358673469387758E-2</v>
      </c>
      <c r="F1060" s="411"/>
      <c r="G1060" s="11">
        <f t="shared" si="183"/>
        <v>0.44123826530612242</v>
      </c>
      <c r="H1060" s="11">
        <f t="shared" si="184"/>
        <v>5.1010204081632655E-2</v>
      </c>
      <c r="I1060" s="411"/>
      <c r="J1060" s="11">
        <f t="shared" si="185"/>
        <v>0.56111224489795919</v>
      </c>
      <c r="K1060" s="11">
        <f t="shared" si="186"/>
        <v>7.9065816326530605E-2</v>
      </c>
    </row>
    <row r="1061" spans="3:11" x14ac:dyDescent="0.3">
      <c r="C1061" s="114" t="s">
        <v>193</v>
      </c>
      <c r="D1061" s="11">
        <f t="shared" si="181"/>
        <v>-0.15303061224489795</v>
      </c>
      <c r="E1061" s="11">
        <f t="shared" si="182"/>
        <v>3.3156632653061222E-2</v>
      </c>
      <c r="F1061" s="411"/>
      <c r="G1061" s="11">
        <f t="shared" si="183"/>
        <v>-0.1504801020408163</v>
      </c>
      <c r="H1061" s="11">
        <f t="shared" si="184"/>
        <v>3.5707142857142854E-2</v>
      </c>
      <c r="I1061" s="411"/>
      <c r="J1061" s="11">
        <f t="shared" si="185"/>
        <v>-9.1818367346938767E-2</v>
      </c>
      <c r="K1061" s="11">
        <f t="shared" si="186"/>
        <v>5.1010204081632649E-2</v>
      </c>
    </row>
    <row r="1062" spans="3:11" x14ac:dyDescent="0.3">
      <c r="C1062" s="114" t="s">
        <v>607</v>
      </c>
      <c r="D1062" s="11">
        <f t="shared" si="181"/>
        <v>2.8055612244897957E-2</v>
      </c>
      <c r="E1062" s="11">
        <f t="shared" si="182"/>
        <v>4.0808163265306119E-2</v>
      </c>
      <c r="F1062" s="411"/>
      <c r="G1062" s="11">
        <f t="shared" si="183"/>
        <v>3.3156632653061222E-2</v>
      </c>
      <c r="H1062" s="11">
        <f t="shared" si="184"/>
        <v>4.8459693877551023E-2</v>
      </c>
      <c r="I1062" s="411"/>
      <c r="J1062" s="11">
        <f t="shared" si="185"/>
        <v>-3.8257653061224486E-2</v>
      </c>
      <c r="K1062" s="11">
        <f t="shared" si="186"/>
        <v>6.3762755102040811E-2</v>
      </c>
    </row>
    <row r="1063" spans="3:11" x14ac:dyDescent="0.3">
      <c r="C1063" s="114" t="s">
        <v>608</v>
      </c>
      <c r="D1063" s="11">
        <f t="shared" si="181"/>
        <v>0.25505102040816324</v>
      </c>
      <c r="E1063" s="11">
        <f t="shared" si="182"/>
        <v>6.6313265306122429E-2</v>
      </c>
      <c r="F1063" s="411"/>
      <c r="G1063" s="11">
        <f t="shared" si="183"/>
        <v>0.26270255102040813</v>
      </c>
      <c r="H1063" s="11">
        <f t="shared" si="184"/>
        <v>7.1414285714285722E-2</v>
      </c>
      <c r="I1063" s="411"/>
      <c r="J1063" s="11">
        <f t="shared" si="185"/>
        <v>0.28055612244897959</v>
      </c>
      <c r="K1063" s="11">
        <f t="shared" si="186"/>
        <v>0.14792959183673471</v>
      </c>
    </row>
    <row r="1064" spans="3:11" x14ac:dyDescent="0.3">
      <c r="C1064" s="114" t="s">
        <v>609</v>
      </c>
      <c r="D1064" s="11">
        <f t="shared" si="181"/>
        <v>-0.36472295918367342</v>
      </c>
      <c r="E1064" s="11">
        <f t="shared" si="182"/>
        <v>5.8661734693877553E-2</v>
      </c>
      <c r="F1064" s="411"/>
      <c r="G1064" s="11">
        <f t="shared" si="183"/>
        <v>-0.41573316326530613</v>
      </c>
      <c r="H1064" s="11">
        <f t="shared" si="184"/>
        <v>6.6313265306122443E-2</v>
      </c>
      <c r="I1064" s="411"/>
      <c r="J1064" s="11">
        <f t="shared" si="185"/>
        <v>-0.61467295918367337</v>
      </c>
      <c r="K1064" s="11">
        <f t="shared" si="186"/>
        <v>0.11222244897959181</v>
      </c>
    </row>
    <row r="1065" spans="3:11" x14ac:dyDescent="0.3">
      <c r="C1065" s="114" t="s">
        <v>610</v>
      </c>
      <c r="D1065" s="11">
        <f t="shared" si="181"/>
        <v>-9.9469897959183665E-2</v>
      </c>
      <c r="E1065" s="11">
        <f t="shared" si="182"/>
        <v>2.8055612244897957E-2</v>
      </c>
      <c r="F1065" s="411"/>
      <c r="G1065" s="11">
        <f t="shared" si="183"/>
        <v>-8.6717346938775516E-2</v>
      </c>
      <c r="H1065" s="11">
        <f t="shared" si="184"/>
        <v>3.3156632653061222E-2</v>
      </c>
      <c r="I1065" s="411"/>
      <c r="J1065" s="11">
        <f t="shared" si="185"/>
        <v>-5.1010204081632649E-3</v>
      </c>
      <c r="K1065" s="11">
        <f t="shared" si="186"/>
        <v>5.3560714285714281E-2</v>
      </c>
    </row>
    <row r="1066" spans="3:11" x14ac:dyDescent="0.3">
      <c r="C1066" s="114" t="s">
        <v>218</v>
      </c>
      <c r="D1066" s="11">
        <f t="shared" si="181"/>
        <v>-0.15813163265306121</v>
      </c>
      <c r="E1066" s="11">
        <f t="shared" si="182"/>
        <v>3.0606122448979589E-2</v>
      </c>
      <c r="F1066" s="411"/>
      <c r="G1066" s="11">
        <f t="shared" si="183"/>
        <v>-0.17343469387755103</v>
      </c>
      <c r="H1066" s="11">
        <f t="shared" si="184"/>
        <v>3.3156632653061222E-2</v>
      </c>
      <c r="I1066" s="411"/>
      <c r="J1066" s="11">
        <f t="shared" si="185"/>
        <v>-0.10967193877551019</v>
      </c>
      <c r="K1066" s="11">
        <f t="shared" si="186"/>
        <v>5.3560714285714288E-2</v>
      </c>
    </row>
    <row r="1067" spans="3:11" x14ac:dyDescent="0.3">
      <c r="C1067" s="114" t="s">
        <v>219</v>
      </c>
      <c r="D1067" s="11">
        <f t="shared" si="181"/>
        <v>0.17598520408163265</v>
      </c>
      <c r="E1067" s="11">
        <f t="shared" si="182"/>
        <v>3.3156632653061222E-2</v>
      </c>
      <c r="F1067" s="411"/>
      <c r="G1067" s="11">
        <f t="shared" si="183"/>
        <v>0.17343469387755103</v>
      </c>
      <c r="H1067" s="11">
        <f t="shared" si="184"/>
        <v>3.5707142857142861E-2</v>
      </c>
      <c r="I1067" s="411"/>
      <c r="J1067" s="11">
        <f t="shared" si="185"/>
        <v>0.14282857142857142</v>
      </c>
      <c r="K1067" s="11">
        <f t="shared" si="186"/>
        <v>6.1212244897959178E-2</v>
      </c>
    </row>
    <row r="1068" spans="3:11" x14ac:dyDescent="0.3">
      <c r="C1068" s="114" t="s">
        <v>611</v>
      </c>
      <c r="D1068" s="11">
        <f t="shared" si="181"/>
        <v>4.3358673469387758E-2</v>
      </c>
      <c r="E1068" s="11">
        <f t="shared" si="182"/>
        <v>5.8661734693877546E-2</v>
      </c>
      <c r="F1068" s="411"/>
      <c r="G1068" s="11">
        <f t="shared" si="183"/>
        <v>6.8863775510204076E-2</v>
      </c>
      <c r="H1068" s="11">
        <f t="shared" si="184"/>
        <v>6.3762755102040825E-2</v>
      </c>
      <c r="I1068" s="411"/>
      <c r="J1068" s="11">
        <f t="shared" si="185"/>
        <v>3.3156632653061222E-2</v>
      </c>
      <c r="K1068" s="11">
        <f t="shared" si="186"/>
        <v>9.9469897959183665E-2</v>
      </c>
    </row>
    <row r="1069" spans="3:11" x14ac:dyDescent="0.3">
      <c r="C1069" s="114" t="s">
        <v>612</v>
      </c>
      <c r="D1069" s="11">
        <f t="shared" si="181"/>
        <v>0.16578316326530612</v>
      </c>
      <c r="E1069" s="11">
        <f t="shared" si="182"/>
        <v>4.5909183673469384E-2</v>
      </c>
      <c r="F1069" s="411"/>
      <c r="G1069" s="11">
        <f t="shared" si="183"/>
        <v>0.19128826530612245</v>
      </c>
      <c r="H1069" s="11">
        <f t="shared" si="184"/>
        <v>5.1010204081632649E-2</v>
      </c>
      <c r="I1069" s="411"/>
      <c r="J1069" s="11">
        <f t="shared" si="185"/>
        <v>0.20404081632653059</v>
      </c>
      <c r="K1069" s="11">
        <f t="shared" si="186"/>
        <v>7.6515306122448973E-2</v>
      </c>
    </row>
    <row r="1070" spans="3:11" x14ac:dyDescent="0.3">
      <c r="C1070" s="114" t="s">
        <v>613</v>
      </c>
      <c r="D1070" s="11">
        <f t="shared" si="181"/>
        <v>0.19638928571428571</v>
      </c>
      <c r="E1070" s="11">
        <f t="shared" si="182"/>
        <v>4.8459693877551016E-2</v>
      </c>
      <c r="F1070" s="411"/>
      <c r="G1070" s="11">
        <f t="shared" si="183"/>
        <v>0.24229846938775509</v>
      </c>
      <c r="H1070" s="11">
        <f t="shared" si="184"/>
        <v>5.3560714285714288E-2</v>
      </c>
      <c r="I1070" s="411"/>
      <c r="J1070" s="11">
        <f t="shared" si="185"/>
        <v>0.26780357142857142</v>
      </c>
      <c r="K1070" s="11">
        <f t="shared" si="186"/>
        <v>8.1616326530612252E-2</v>
      </c>
    </row>
    <row r="1071" spans="3:11" x14ac:dyDescent="0.3">
      <c r="C1071" s="114" t="s">
        <v>614</v>
      </c>
      <c r="D1071" s="11">
        <f t="shared" si="181"/>
        <v>6.6313265306122443E-2</v>
      </c>
      <c r="E1071" s="11">
        <f t="shared" si="182"/>
        <v>4.0808163265306119E-2</v>
      </c>
      <c r="F1071" s="411"/>
      <c r="G1071" s="11">
        <f t="shared" si="183"/>
        <v>4.3358673469387758E-2</v>
      </c>
      <c r="H1071" s="11">
        <f t="shared" si="184"/>
        <v>4.8459693877551016E-2</v>
      </c>
      <c r="I1071" s="411"/>
      <c r="J1071" s="11">
        <f t="shared" si="185"/>
        <v>-1.5303061224489796E-2</v>
      </c>
      <c r="K1071" s="11">
        <f t="shared" si="186"/>
        <v>6.8863775510204089E-2</v>
      </c>
    </row>
    <row r="1072" spans="3:11" x14ac:dyDescent="0.3">
      <c r="C1072" s="114" t="s">
        <v>615</v>
      </c>
      <c r="D1072" s="11">
        <f t="shared" si="181"/>
        <v>-7.6515306122448981E-3</v>
      </c>
      <c r="E1072" s="11">
        <f t="shared" si="182"/>
        <v>3.5707142857142861E-2</v>
      </c>
      <c r="F1072" s="411"/>
      <c r="G1072" s="11">
        <f t="shared" si="183"/>
        <v>-5.1010204081632649E-3</v>
      </c>
      <c r="H1072" s="11">
        <f t="shared" si="184"/>
        <v>4.0808163265306119E-2</v>
      </c>
      <c r="I1072" s="411"/>
      <c r="J1072" s="11">
        <f t="shared" si="185"/>
        <v>-1.020204081632653E-2</v>
      </c>
      <c r="K1072" s="11">
        <f t="shared" si="186"/>
        <v>5.3560714285714281E-2</v>
      </c>
    </row>
    <row r="1073" spans="3:11" x14ac:dyDescent="0.3">
      <c r="C1073" s="114" t="s">
        <v>616</v>
      </c>
      <c r="D1073" s="11">
        <f t="shared" si="181"/>
        <v>-9.1818367346938767E-2</v>
      </c>
      <c r="E1073" s="11">
        <f t="shared" si="182"/>
        <v>3.3156632653061222E-2</v>
      </c>
      <c r="F1073" s="411"/>
      <c r="G1073" s="11">
        <f t="shared" si="183"/>
        <v>-8.9267857142857149E-2</v>
      </c>
      <c r="H1073" s="11">
        <f t="shared" si="184"/>
        <v>3.8257653061224486E-2</v>
      </c>
      <c r="I1073" s="411"/>
      <c r="J1073" s="11">
        <f t="shared" si="185"/>
        <v>-5.8661734693877546E-2</v>
      </c>
      <c r="K1073" s="11">
        <f t="shared" si="186"/>
        <v>5.8661734693877546E-2</v>
      </c>
    </row>
    <row r="1074" spans="3:11" x14ac:dyDescent="0.3">
      <c r="C1074" s="114" t="s">
        <v>617</v>
      </c>
      <c r="D1074" s="11">
        <f t="shared" si="181"/>
        <v>5.1010204081632649E-2</v>
      </c>
      <c r="E1074" s="11">
        <f t="shared" si="182"/>
        <v>3.0606122448979589E-2</v>
      </c>
      <c r="F1074" s="411"/>
      <c r="G1074" s="11">
        <f t="shared" si="183"/>
        <v>3.5707142857142854E-2</v>
      </c>
      <c r="H1074" s="11">
        <f t="shared" si="184"/>
        <v>3.3156632653061222E-2</v>
      </c>
      <c r="I1074" s="411"/>
      <c r="J1074" s="11">
        <f t="shared" si="185"/>
        <v>0.13517704081632653</v>
      </c>
      <c r="K1074" s="11">
        <f t="shared" si="186"/>
        <v>4.8459693877551016E-2</v>
      </c>
    </row>
    <row r="1075" spans="3:11" x14ac:dyDescent="0.3">
      <c r="C1075" s="42" t="s">
        <v>618</v>
      </c>
      <c r="D1075" s="13">
        <f t="shared" si="181"/>
        <v>0.43868775510204078</v>
      </c>
      <c r="E1075" s="13">
        <f t="shared" si="182"/>
        <v>5.6111224489795913E-2</v>
      </c>
      <c r="F1075" s="412"/>
      <c r="G1075" s="13">
        <f t="shared" si="183"/>
        <v>0.45654132653061219</v>
      </c>
      <c r="H1075" s="13">
        <f t="shared" si="184"/>
        <v>6.1212244897959178E-2</v>
      </c>
      <c r="I1075" s="412"/>
      <c r="J1075" s="13">
        <f t="shared" si="185"/>
        <v>0.53815765306122443</v>
      </c>
      <c r="K1075" s="13">
        <f t="shared" si="186"/>
        <v>0.14282857142857142</v>
      </c>
    </row>
    <row r="1077" spans="3:11" x14ac:dyDescent="0.3">
      <c r="C1077" s="5" t="s">
        <v>2</v>
      </c>
      <c r="D1077" s="5" t="s">
        <v>620</v>
      </c>
      <c r="E1077" s="5" t="s">
        <v>621</v>
      </c>
    </row>
    <row r="1078" spans="3:11" outlineLevel="1" x14ac:dyDescent="0.3">
      <c r="C1078" s="6">
        <v>-4.9000000000000002E-2</v>
      </c>
      <c r="D1078" s="17">
        <v>0.125</v>
      </c>
      <c r="E1078" s="11">
        <f>-D1078/C1078</f>
        <v>2.5510204081632653</v>
      </c>
    </row>
    <row r="1079" spans="3:11" outlineLevel="1" x14ac:dyDescent="0.3">
      <c r="C1079" s="6">
        <v>-0.06</v>
      </c>
      <c r="D1079" s="17">
        <v>0.153</v>
      </c>
      <c r="E1079" s="11">
        <f>-D1079/C1079</f>
        <v>2.5500000000000003</v>
      </c>
    </row>
    <row r="1080" spans="3:11" x14ac:dyDescent="0.3">
      <c r="C1080" s="5" t="s">
        <v>622</v>
      </c>
      <c r="D1080" s="5"/>
      <c r="E1080" s="16">
        <f>AVERAGE(E1078:E1079)</f>
        <v>2.5505102040816325</v>
      </c>
    </row>
    <row r="1082" spans="3:11" x14ac:dyDescent="0.3">
      <c r="C1082" s="4" t="s">
        <v>623</v>
      </c>
    </row>
    <row r="1083" spans="3:11" x14ac:dyDescent="0.3">
      <c r="C1083" s="5"/>
      <c r="D1083" s="5" t="s">
        <v>624</v>
      </c>
    </row>
    <row r="1084" spans="3:11" x14ac:dyDescent="0.3">
      <c r="C1084" t="s">
        <v>625</v>
      </c>
      <c r="D1084" s="6">
        <v>0.25</v>
      </c>
    </row>
    <row r="1085" spans="3:11" x14ac:dyDescent="0.3">
      <c r="C1085" t="s">
        <v>626</v>
      </c>
      <c r="D1085" s="6">
        <v>0.25</v>
      </c>
    </row>
    <row r="1086" spans="3:11" x14ac:dyDescent="0.3">
      <c r="C1086" s="12" t="s">
        <v>627</v>
      </c>
      <c r="D1086" s="7">
        <v>0.5</v>
      </c>
    </row>
    <row r="1087" spans="3:11" x14ac:dyDescent="0.3">
      <c r="C1087" s="62" t="s">
        <v>623</v>
      </c>
    </row>
    <row r="1091" spans="2:9" s="8" customFormat="1" ht="19.5" x14ac:dyDescent="0.4">
      <c r="B1091" s="8">
        <v>89</v>
      </c>
      <c r="C1091" s="8" t="s" cm="1">
        <v>628</v>
      </c>
      <c r="D1091" s="8" t="s" cm="1">
        <v>629</v>
      </c>
      <c r="G1091" s="8" t="s">
        <v>241</v>
      </c>
    </row>
    <row r="1093" spans="2:9" x14ac:dyDescent="0.3">
      <c r="C1093" s="350"/>
      <c r="D1093" s="97"/>
      <c r="I1093" s="4" t="s">
        <v>630</v>
      </c>
    </row>
    <row r="1094" spans="2:9" x14ac:dyDescent="0.3">
      <c r="C1094" s="5" t="s">
        <v>631</v>
      </c>
      <c r="D1094" s="37">
        <v>22.2227705572055</v>
      </c>
    </row>
    <row r="1095" spans="2:9" x14ac:dyDescent="0.3">
      <c r="C1095" s="3" t="s">
        <v>906</v>
      </c>
      <c r="D1095" s="97"/>
    </row>
    <row r="1097" spans="2:9" x14ac:dyDescent="0.3">
      <c r="C1097" s="5" t="s">
        <v>630</v>
      </c>
      <c r="D1097" s="5" t="s">
        <v>632</v>
      </c>
      <c r="E1097" s="5" t="s">
        <v>633</v>
      </c>
      <c r="F1097" s="5" t="s">
        <v>634</v>
      </c>
      <c r="G1097" s="5" t="s">
        <v>635</v>
      </c>
      <c r="H1097" s="5" t="s">
        <v>636</v>
      </c>
    </row>
    <row r="1098" spans="2:9" x14ac:dyDescent="0.3">
      <c r="C1098" t="s">
        <v>637</v>
      </c>
      <c r="D1098" s="91">
        <v>-1.37</v>
      </c>
      <c r="E1098" s="21">
        <f t="shared" ref="E1098:E1105" si="187">EXP(D1098)-1</f>
        <v>-0.74589304044719973</v>
      </c>
      <c r="F1098" s="21">
        <f t="shared" ref="F1098:F1105" si="188">E1098/$D$1094</f>
        <v>-3.356435861708304E-2</v>
      </c>
      <c r="G1098" s="218">
        <v>60</v>
      </c>
      <c r="H1098" s="21">
        <f>F1098*G1098</f>
        <v>-2.0138615170249823</v>
      </c>
    </row>
    <row r="1099" spans="2:9" x14ac:dyDescent="0.3">
      <c r="C1099" t="s">
        <v>638</v>
      </c>
      <c r="D1099" s="104">
        <f>D1113</f>
        <v>-1.1534090909090908</v>
      </c>
      <c r="E1099" s="21">
        <f t="shared" si="187"/>
        <v>-0.68444083628143848</v>
      </c>
      <c r="F1099" s="21">
        <f t="shared" si="188"/>
        <v>-3.079907766313664E-2</v>
      </c>
      <c r="G1099" s="218">
        <v>90</v>
      </c>
      <c r="H1099" s="21">
        <f>F1099*G1099</f>
        <v>-2.7719169896822975</v>
      </c>
      <c r="I1099" s="3" t="s">
        <v>639</v>
      </c>
    </row>
    <row r="1100" spans="2:9" x14ac:dyDescent="0.3">
      <c r="C1100" t="s">
        <v>640</v>
      </c>
      <c r="D1100" s="104">
        <f>D1115</f>
        <v>0.30164870590402498</v>
      </c>
      <c r="E1100" s="21">
        <f t="shared" si="187"/>
        <v>0.35208616338445076</v>
      </c>
      <c r="F1100" s="21">
        <f t="shared" si="188"/>
        <v>1.5843486413096703E-2</v>
      </c>
      <c r="G1100" s="218">
        <v>90</v>
      </c>
      <c r="H1100" s="21">
        <f>F1100*G1100</f>
        <v>1.4259137771787034</v>
      </c>
    </row>
    <row r="1101" spans="2:9" x14ac:dyDescent="0.3">
      <c r="C1101" s="5" t="s">
        <v>641</v>
      </c>
      <c r="D1101" s="37">
        <v>-0.98</v>
      </c>
      <c r="E1101" s="103">
        <f t="shared" si="187"/>
        <v>-0.62468890114860043</v>
      </c>
      <c r="F1101" s="103">
        <f t="shared" si="188"/>
        <v>-2.8110306927776458E-2</v>
      </c>
      <c r="G1101" s="103"/>
      <c r="H1101" s="5"/>
    </row>
    <row r="1102" spans="2:9" x14ac:dyDescent="0.3">
      <c r="C1102" t="s">
        <v>642</v>
      </c>
      <c r="D1102" s="104">
        <f>D1143</f>
        <v>-1.2291666666666667</v>
      </c>
      <c r="E1102" s="21">
        <f t="shared" si="187"/>
        <v>-0.70746374365239717</v>
      </c>
      <c r="F1102" s="21">
        <f t="shared" si="188"/>
        <v>-3.1835082931322867E-2</v>
      </c>
      <c r="G1102" s="21"/>
      <c r="H1102"/>
    </row>
    <row r="1103" spans="2:9" x14ac:dyDescent="0.3">
      <c r="C1103" t="s">
        <v>643</v>
      </c>
      <c r="D1103" s="104">
        <f>D1145</f>
        <v>0.25214147554573096</v>
      </c>
      <c r="E1103" s="21">
        <f t="shared" si="187"/>
        <v>0.28677807203778016</v>
      </c>
      <c r="F1103" s="21">
        <f t="shared" si="188"/>
        <v>1.2904694817397347E-2</v>
      </c>
      <c r="G1103" s="21"/>
      <c r="H1103"/>
    </row>
    <row r="1104" spans="2:9" x14ac:dyDescent="0.3">
      <c r="C1104" t="s">
        <v>644</v>
      </c>
      <c r="D1104" s="104">
        <f>D1151</f>
        <v>-1.1723484848484849</v>
      </c>
      <c r="E1104" s="21">
        <f t="shared" si="187"/>
        <v>-0.69036109556719549</v>
      </c>
      <c r="F1104" s="21">
        <f t="shared" si="188"/>
        <v>-3.1065482757430225E-2</v>
      </c>
      <c r="G1104" s="21"/>
      <c r="H1104"/>
    </row>
    <row r="1105" spans="3:8" x14ac:dyDescent="0.3">
      <c r="C1105" t="s">
        <v>643</v>
      </c>
      <c r="D1105" s="104">
        <f>D1153</f>
        <v>0.27862208713272546</v>
      </c>
      <c r="E1105" s="21">
        <f t="shared" si="187"/>
        <v>0.3213079102433738</v>
      </c>
      <c r="F1105" s="21">
        <f t="shared" si="188"/>
        <v>1.4458499196410643E-2</v>
      </c>
      <c r="G1105" s="21"/>
      <c r="H1105"/>
    </row>
    <row r="1106" spans="3:8" x14ac:dyDescent="0.3">
      <c r="C1106" s="392" t="s">
        <v>645</v>
      </c>
      <c r="D1106" s="104"/>
      <c r="E1106" s="21"/>
      <c r="F1106" s="21"/>
      <c r="G1106" s="21"/>
      <c r="H1106"/>
    </row>
    <row r="1107" spans="3:8" x14ac:dyDescent="0.3">
      <c r="C1107" t="s">
        <v>643</v>
      </c>
      <c r="D1107" s="104"/>
      <c r="E1107" s="21"/>
      <c r="F1107" s="21"/>
      <c r="G1107" s="21"/>
      <c r="H1107"/>
    </row>
    <row r="1108" spans="3:8" x14ac:dyDescent="0.3">
      <c r="C1108" s="62" t="s">
        <v>646</v>
      </c>
      <c r="D1108" s="19"/>
      <c r="E1108" s="19"/>
    </row>
    <row r="1109" spans="3:8" x14ac:dyDescent="0.3">
      <c r="D1109" s="19">
        <f>D1099</f>
        <v>-1.1534090909090908</v>
      </c>
      <c r="E1109" s="19">
        <f>D1100</f>
        <v>0.30164870590402498</v>
      </c>
      <c r="G1109" s="28">
        <f>E1127</f>
        <v>-9.2460755649775406E-2</v>
      </c>
      <c r="H1109" s="28">
        <f>F1127</f>
        <v>-5.8379460302434572E-2</v>
      </c>
    </row>
    <row r="1110" spans="3:8" x14ac:dyDescent="0.3">
      <c r="C1110" s="4" t="s">
        <v>647</v>
      </c>
    </row>
    <row r="1111" spans="3:8" x14ac:dyDescent="0.3">
      <c r="C1111" s="5"/>
      <c r="D1111" s="5" t="s">
        <v>648</v>
      </c>
      <c r="E1111" s="5" t="s">
        <v>649</v>
      </c>
    </row>
    <row r="1112" spans="3:8" outlineLevel="1" x14ac:dyDescent="0.3">
      <c r="C1112" t="s">
        <v>650</v>
      </c>
      <c r="D1112">
        <v>-2</v>
      </c>
      <c r="E1112">
        <v>10.56</v>
      </c>
    </row>
    <row r="1113" spans="3:8" outlineLevel="1" x14ac:dyDescent="0.3">
      <c r="C1113" t="s">
        <v>244</v>
      </c>
      <c r="D1113" s="21">
        <f>$D$1112/$E$1112*E1113</f>
        <v>-1.1534090909090908</v>
      </c>
      <c r="E1113">
        <v>6.09</v>
      </c>
    </row>
    <row r="1114" spans="3:8" outlineLevel="1" x14ac:dyDescent="0.3">
      <c r="C1114" t="s">
        <v>651</v>
      </c>
      <c r="D1114" s="21">
        <f>$D$1112/$E$1112*E1114</f>
        <v>-0.65719696969696972</v>
      </c>
      <c r="E1114">
        <v>3.47</v>
      </c>
    </row>
    <row r="1115" spans="3:8" x14ac:dyDescent="0.3">
      <c r="C1115" s="5" t="s">
        <v>15</v>
      </c>
      <c r="D1115" s="103">
        <f>ABS(D1113-D1114)/1.645</f>
        <v>0.30164870590402498</v>
      </c>
      <c r="E1115" s="5"/>
    </row>
    <row r="1116" spans="3:8" x14ac:dyDescent="0.3">
      <c r="C1116" s="3" t="s">
        <v>652</v>
      </c>
    </row>
    <row r="1117" spans="3:8" x14ac:dyDescent="0.3">
      <c r="D1117" s="19"/>
      <c r="E1117" s="26">
        <f>D158</f>
        <v>187771</v>
      </c>
    </row>
    <row r="1118" spans="3:8" x14ac:dyDescent="0.3">
      <c r="C1118" s="5"/>
      <c r="D1118" s="5" t="s">
        <v>635</v>
      </c>
      <c r="E1118" s="5" t="s">
        <v>17</v>
      </c>
      <c r="F1118" s="5" t="s">
        <v>156</v>
      </c>
      <c r="G1118" s="5" t="s">
        <v>434</v>
      </c>
    </row>
    <row r="1119" spans="3:8" x14ac:dyDescent="0.3">
      <c r="C1119" t="s">
        <v>339</v>
      </c>
      <c r="D1119"/>
      <c r="E1119" s="22">
        <f>D$144</f>
        <v>747.78438100000005</v>
      </c>
      <c r="F1119" s="22">
        <f>E$144</f>
        <v>332.915074</v>
      </c>
      <c r="G1119" s="22"/>
    </row>
    <row r="1120" spans="3:8" x14ac:dyDescent="0.3">
      <c r="C1120" s="192" t="s">
        <v>653</v>
      </c>
      <c r="D1120" s="6">
        <v>52</v>
      </c>
      <c r="E1120" s="22"/>
      <c r="F1120" s="22"/>
      <c r="G1120" s="22"/>
    </row>
    <row r="1121" spans="3:13" x14ac:dyDescent="0.3">
      <c r="C1121" s="36" t="s">
        <v>654</v>
      </c>
      <c r="D1121" s="36"/>
      <c r="E1121" s="20">
        <v>57.876460533767251</v>
      </c>
      <c r="F1121" s="20">
        <v>50.44756855550785</v>
      </c>
      <c r="G1121" s="31">
        <f>F143</f>
        <v>44.444444444444443</v>
      </c>
    </row>
    <row r="1122" spans="3:13" x14ac:dyDescent="0.3">
      <c r="C1122" s="36" t="s">
        <v>655</v>
      </c>
      <c r="D1122" s="36"/>
      <c r="E1122" s="31">
        <f>D159</f>
        <v>542530</v>
      </c>
      <c r="F1122" s="31">
        <f>E159</f>
        <v>352001</v>
      </c>
      <c r="G1122"/>
    </row>
    <row r="1123" spans="3:13" x14ac:dyDescent="0.3">
      <c r="C1123" s="36" t="s">
        <v>653</v>
      </c>
      <c r="D1123" s="36"/>
      <c r="E1123" s="119">
        <f>E1122/(E1122 - $F$1099*$D$1120*(E$1121-$G$1121)*E$1119)-1</f>
        <v>-2.8796849205874997E-2</v>
      </c>
      <c r="F1123" s="119">
        <f>F1122/(F1122 - $F$1099*$D$1120*(F$1121-$G$1121)*F$1119)-1</f>
        <v>-9.0110777974473644E-3</v>
      </c>
      <c r="G1123"/>
    </row>
    <row r="1124" spans="3:13" x14ac:dyDescent="0.3">
      <c r="C1124" s="192" t="s">
        <v>656</v>
      </c>
      <c r="D1124" s="6">
        <v>26</v>
      </c>
      <c r="E1124"/>
      <c r="F1124"/>
      <c r="G1124"/>
    </row>
    <row r="1125" spans="3:13" x14ac:dyDescent="0.3">
      <c r="C1125" s="36" t="s">
        <v>657</v>
      </c>
      <c r="D1125" s="36"/>
      <c r="E1125" s="31">
        <f>D143</f>
        <v>76.391666087864692</v>
      </c>
      <c r="F1125" s="31">
        <f>E143</f>
        <v>74.089415216876617</v>
      </c>
      <c r="G1125" s="31">
        <f>F143</f>
        <v>44.444444444444443</v>
      </c>
    </row>
    <row r="1126" spans="3:13" x14ac:dyDescent="0.3">
      <c r="C1126" s="36" t="str">
        <f>"Deaths by "&amp;C158</f>
        <v>Deaths by (89) June 30, 2020</v>
      </c>
      <c r="D1126" s="36"/>
      <c r="E1126" s="31">
        <f>D158</f>
        <v>187771</v>
      </c>
      <c r="F1126" s="31">
        <f>E158</f>
        <v>127471</v>
      </c>
      <c r="G1126"/>
      <c r="H1126" s="26"/>
      <c r="I1126" s="26"/>
      <c r="J1126" s="26"/>
    </row>
    <row r="1127" spans="3:13" x14ac:dyDescent="0.3">
      <c r="C1127" s="217" t="s">
        <v>656</v>
      </c>
      <c r="D1127" s="217"/>
      <c r="E1127" s="139">
        <f>E1126/(E1126 - $F$1099*$D$1124*(E$1125-$G$1125)*E$1119)-1</f>
        <v>-9.2460755649775406E-2</v>
      </c>
      <c r="F1127" s="139">
        <f>F1126/(F1126 - $F$1099*$D$1124*(F$1125-$G$1125)*F$1119)-1</f>
        <v>-5.8379460302434572E-2</v>
      </c>
      <c r="G1127" s="12"/>
      <c r="I1127" s="143"/>
    </row>
    <row r="1128" spans="3:13" x14ac:dyDescent="0.3">
      <c r="C1128" s="192" t="s">
        <v>658</v>
      </c>
      <c r="D1128" s="192">
        <v>26</v>
      </c>
      <c r="E1128" s="119"/>
      <c r="F1128" s="119"/>
      <c r="G1128"/>
    </row>
    <row r="1129" spans="3:13" x14ac:dyDescent="0.3">
      <c r="C1129" s="36" t="s">
        <v>659</v>
      </c>
      <c r="D1129" s="36"/>
      <c r="E1129" s="20">
        <v>72.615130316408013</v>
      </c>
      <c r="F1129" s="20">
        <v>71.864212688268907</v>
      </c>
      <c r="G1129" s="31">
        <f>F143</f>
        <v>44.444444444444443</v>
      </c>
    </row>
    <row r="1130" spans="3:13" x14ac:dyDescent="0.3">
      <c r="C1130" s="36" t="s">
        <v>655</v>
      </c>
      <c r="D1130" s="36"/>
      <c r="E1130" s="31">
        <f>D158</f>
        <v>187771</v>
      </c>
      <c r="F1130" s="31">
        <f>E158</f>
        <v>127471</v>
      </c>
      <c r="G1130" s="31"/>
    </row>
    <row r="1131" spans="3:13" x14ac:dyDescent="0.3">
      <c r="C1131" s="217" t="s">
        <v>660</v>
      </c>
      <c r="D1131" s="217"/>
      <c r="E1131" s="139">
        <f>E1130/(E1130 - $F$1099*$D$1128*(E$1129-$G$1129)*E$1119)-1</f>
        <v>-8.2431786237477822E-2</v>
      </c>
      <c r="F1131" s="139">
        <f>F1130/(F1130 - $F$1099*$D$1128*(F$1129-$G$1129)*F$1119)-1</f>
        <v>-5.4235058966945138E-2</v>
      </c>
      <c r="G1131" s="12"/>
      <c r="I1131" s="3" t="s">
        <v>661</v>
      </c>
      <c r="M1131" s="3" t="s">
        <v>662</v>
      </c>
    </row>
    <row r="1134" spans="3:13" x14ac:dyDescent="0.3">
      <c r="C1134" s="4" t="s">
        <v>663</v>
      </c>
    </row>
    <row r="1135" spans="3:13" x14ac:dyDescent="0.3">
      <c r="C1135" s="95" t="s">
        <v>656</v>
      </c>
      <c r="D1135" s="5" t="s">
        <v>17</v>
      </c>
      <c r="E1135" s="5" t="s">
        <v>156</v>
      </c>
    </row>
    <row r="1136" spans="3:13" x14ac:dyDescent="0.3">
      <c r="C1136" t="s">
        <v>661</v>
      </c>
      <c r="D1136" s="119">
        <f>E1126/(E1126 - $F$1102*$D$1124*(E$1125-$G$1125)*E$1119)-1</f>
        <v>-9.5274589692339817E-2</v>
      </c>
      <c r="E1136" s="119">
        <f>F1126/(F1126 - $F$1102*$D$1124*(F$1125-$G$1125)*F$1119)-1</f>
        <v>-6.0224935641479682E-2</v>
      </c>
    </row>
    <row r="1137" spans="3:5" x14ac:dyDescent="0.3">
      <c r="C1137" t="s">
        <v>662</v>
      </c>
      <c r="D1137" s="119">
        <f>E1126/(E1126 - $F$1104*$D$1124*(E$1125-$G$1125)*E$1119)-1</f>
        <v>-9.31859935175402E-2</v>
      </c>
      <c r="E1137" s="119">
        <f>F1126/(F1126 - $F$1104*$D$1124*(F$1125-$G$1125)*F$1119)-1</f>
        <v>-5.8854709687329421E-2</v>
      </c>
    </row>
    <row r="1138" spans="3:5" x14ac:dyDescent="0.3">
      <c r="C1138" s="12" t="s">
        <v>664</v>
      </c>
      <c r="D1138" s="12"/>
      <c r="E1138" s="12"/>
    </row>
    <row r="1140" spans="3:5" x14ac:dyDescent="0.3">
      <c r="C1140" s="4" t="s">
        <v>665</v>
      </c>
    </row>
    <row r="1141" spans="3:5" x14ac:dyDescent="0.3">
      <c r="C1141" s="5"/>
      <c r="D1141" s="5" t="s">
        <v>648</v>
      </c>
      <c r="E1141" s="5" t="s">
        <v>649</v>
      </c>
    </row>
    <row r="1142" spans="3:5" x14ac:dyDescent="0.3">
      <c r="C1142" t="s">
        <v>650</v>
      </c>
      <c r="D1142">
        <v>-1.5</v>
      </c>
      <c r="E1142">
        <v>8.65</v>
      </c>
    </row>
    <row r="1143" spans="3:5" outlineLevel="1" x14ac:dyDescent="0.3">
      <c r="C1143" t="s">
        <v>244</v>
      </c>
      <c r="D1143" s="21">
        <f>$D$1112/$E$1112*E1143</f>
        <v>-1.2291666666666667</v>
      </c>
      <c r="E1143">
        <v>6.49</v>
      </c>
    </row>
    <row r="1144" spans="3:5" outlineLevel="1" x14ac:dyDescent="0.3">
      <c r="C1144" t="s">
        <v>651</v>
      </c>
      <c r="D1144" s="21">
        <f>$D$1112/$E$1112*E1144</f>
        <v>-0.81439393939393934</v>
      </c>
      <c r="E1144">
        <v>4.3</v>
      </c>
    </row>
    <row r="1145" spans="3:5" x14ac:dyDescent="0.3">
      <c r="C1145" s="5" t="s">
        <v>15</v>
      </c>
      <c r="D1145" s="103">
        <f>ABS(D1143-D1144)/1.645</f>
        <v>0.25214147554573096</v>
      </c>
      <c r="E1145" s="5"/>
    </row>
    <row r="1146" spans="3:5" x14ac:dyDescent="0.3">
      <c r="C1146" s="3" t="s">
        <v>652</v>
      </c>
    </row>
    <row r="1148" spans="3:5" x14ac:dyDescent="0.3">
      <c r="C1148" s="4" t="s">
        <v>666</v>
      </c>
    </row>
    <row r="1149" spans="3:5" x14ac:dyDescent="0.3">
      <c r="C1149" s="5"/>
      <c r="D1149" s="5" t="s">
        <v>648</v>
      </c>
      <c r="E1149" s="5" t="s">
        <v>649</v>
      </c>
    </row>
    <row r="1150" spans="3:5" x14ac:dyDescent="0.3">
      <c r="C1150" t="s">
        <v>650</v>
      </c>
      <c r="D1150">
        <v>-1.5</v>
      </c>
      <c r="E1150">
        <v>8.74</v>
      </c>
    </row>
    <row r="1151" spans="3:5" outlineLevel="1" x14ac:dyDescent="0.3">
      <c r="C1151" t="s">
        <v>244</v>
      </c>
      <c r="D1151" s="21">
        <f>$D$1112/$E$1112*E1151</f>
        <v>-1.1723484848484849</v>
      </c>
      <c r="E1151">
        <v>6.19</v>
      </c>
    </row>
    <row r="1152" spans="3:5" outlineLevel="1" x14ac:dyDescent="0.3">
      <c r="C1152" t="s">
        <v>651</v>
      </c>
      <c r="D1152" s="21">
        <f>$D$1112/$E$1112*E1152</f>
        <v>-0.71401515151515149</v>
      </c>
      <c r="E1152">
        <v>3.77</v>
      </c>
    </row>
    <row r="1153" spans="2:8" x14ac:dyDescent="0.3">
      <c r="C1153" s="5" t="s">
        <v>15</v>
      </c>
      <c r="D1153" s="103">
        <f>ABS(D1151-D1152)/1.645</f>
        <v>0.27862208713272546</v>
      </c>
      <c r="E1153" s="5"/>
    </row>
    <row r="1154" spans="2:8" x14ac:dyDescent="0.3">
      <c r="C1154" s="3" t="s">
        <v>652</v>
      </c>
    </row>
    <row r="1156" spans="2:8" x14ac:dyDescent="0.3">
      <c r="D1156" s="19"/>
      <c r="E1156" s="19"/>
      <c r="G1156" s="28"/>
      <c r="H1156" s="28"/>
    </row>
    <row r="1157" spans="2:8" x14ac:dyDescent="0.3">
      <c r="D1157" s="19"/>
      <c r="E1157" s="19"/>
      <c r="G1157" s="28"/>
      <c r="H1157" s="28"/>
    </row>
    <row r="1158" spans="2:8" x14ac:dyDescent="0.3">
      <c r="D1158" s="19"/>
      <c r="E1158" s="19"/>
      <c r="G1158" s="28"/>
      <c r="H1158" s="28"/>
    </row>
    <row r="1161" spans="2:8" s="8" customFormat="1" ht="19.5" x14ac:dyDescent="0.4">
      <c r="B1161" s="8">
        <v>92</v>
      </c>
      <c r="C1161" s="8" t="s" cm="1">
        <v>667</v>
      </c>
      <c r="D1161" s="8" t="s">
        <v>668</v>
      </c>
      <c r="G1161" s="8" t="s">
        <v>136</v>
      </c>
    </row>
    <row r="1163" spans="2:8" x14ac:dyDescent="0.3">
      <c r="C1163" s="5"/>
      <c r="D1163" s="5" t="s">
        <v>2</v>
      </c>
      <c r="E1163" s="5" t="s">
        <v>15</v>
      </c>
    </row>
    <row r="1164" spans="2:8" x14ac:dyDescent="0.3">
      <c r="C1164" t="s">
        <v>145</v>
      </c>
      <c r="D1164" s="351">
        <v>0</v>
      </c>
      <c r="E1164" s="351" t="s">
        <v>49</v>
      </c>
    </row>
    <row r="1165" spans="2:8" x14ac:dyDescent="0.3">
      <c r="C1165" t="s">
        <v>669</v>
      </c>
      <c r="D1165" s="351">
        <v>0</v>
      </c>
      <c r="E1165" s="351" t="s">
        <v>49</v>
      </c>
    </row>
    <row r="1166" spans="2:8" x14ac:dyDescent="0.3">
      <c r="C1166" t="s">
        <v>670</v>
      </c>
      <c r="D1166" s="351">
        <v>0</v>
      </c>
      <c r="E1166" s="351" t="s">
        <v>49</v>
      </c>
    </row>
    <row r="1167" spans="2:8" x14ac:dyDescent="0.3">
      <c r="C1167" t="s">
        <v>671</v>
      </c>
      <c r="D1167" s="351">
        <v>0</v>
      </c>
      <c r="E1167" s="351" t="s">
        <v>49</v>
      </c>
    </row>
    <row r="1168" spans="2:8" x14ac:dyDescent="0.3">
      <c r="C1168" t="s">
        <v>672</v>
      </c>
      <c r="D1168" s="351">
        <v>0</v>
      </c>
      <c r="E1168" s="351" t="s">
        <v>49</v>
      </c>
    </row>
    <row r="1169" spans="2:10" x14ac:dyDescent="0.3">
      <c r="C1169" s="12" t="s">
        <v>673</v>
      </c>
      <c r="D1169" s="352">
        <v>0</v>
      </c>
      <c r="E1169" s="352" t="s">
        <v>49</v>
      </c>
    </row>
    <row r="1177" spans="2:10" x14ac:dyDescent="0.3">
      <c r="J1177" s="3" t="s">
        <v>674</v>
      </c>
    </row>
    <row r="1181" spans="2:10" s="8" customFormat="1" ht="19.5" x14ac:dyDescent="0.4">
      <c r="B1181" s="8">
        <v>98</v>
      </c>
      <c r="C1181" s="8" t="s">
        <v>675</v>
      </c>
      <c r="D1181" s="8" t="s" cm="1">
        <v>676</v>
      </c>
      <c r="G1181" s="8" t="s">
        <v>136</v>
      </c>
    </row>
    <row r="1184" spans="2:10" x14ac:dyDescent="0.3">
      <c r="C1184" s="4" t="s">
        <v>677</v>
      </c>
    </row>
    <row r="1185" spans="2:13" x14ac:dyDescent="0.3">
      <c r="C1185" s="5"/>
      <c r="D1185" s="5" t="s">
        <v>678</v>
      </c>
      <c r="E1185" s="5" t="s">
        <v>270</v>
      </c>
      <c r="F1185" s="5" t="s">
        <v>271</v>
      </c>
      <c r="G1185" s="5" t="s">
        <v>15</v>
      </c>
      <c r="H1185" s="5" t="s">
        <v>949</v>
      </c>
      <c r="I1185" s="5" t="s">
        <v>956</v>
      </c>
      <c r="J1185" s="5"/>
      <c r="M1185" s="3" t="s">
        <v>2</v>
      </c>
    </row>
    <row r="1186" spans="2:13" x14ac:dyDescent="0.3">
      <c r="C1186" t="s">
        <v>277</v>
      </c>
      <c r="D1186" s="107">
        <v>4.5999999999999999E-2</v>
      </c>
      <c r="E1186" s="107">
        <v>-0.10199999999999999</v>
      </c>
      <c r="F1186" s="107">
        <v>0.19400000000000001</v>
      </c>
      <c r="G1186" s="116">
        <f t="shared" ref="G1186:G1193" si="189">ABS(E1186-AVERAGE(E1186:F1186))</f>
        <v>0.14799999999999999</v>
      </c>
      <c r="H1186" s="353">
        <f t="shared" ref="H1186:H1193" si="190">D1186</f>
        <v>4.5999999999999999E-2</v>
      </c>
      <c r="I1186" s="354">
        <f t="shared" ref="I1186:I1193" si="191">G1186</f>
        <v>0.14799999999999999</v>
      </c>
      <c r="J1186" t="s">
        <v>679</v>
      </c>
      <c r="M1186" s="3">
        <v>7.1999999999999995E-2</v>
      </c>
    </row>
    <row r="1187" spans="2:13" x14ac:dyDescent="0.3">
      <c r="C1187" t="s">
        <v>181</v>
      </c>
      <c r="D1187" s="107">
        <v>-2E-3</v>
      </c>
      <c r="E1187" s="107">
        <v>-0.23599999999999999</v>
      </c>
      <c r="F1187" s="107">
        <v>0.23200000000000001</v>
      </c>
      <c r="G1187" s="116">
        <f t="shared" si="189"/>
        <v>0.23399999999999999</v>
      </c>
      <c r="H1187" s="354">
        <f t="shared" si="190"/>
        <v>-2E-3</v>
      </c>
      <c r="I1187" s="354">
        <f t="shared" si="191"/>
        <v>0.23399999999999999</v>
      </c>
      <c r="J1187" t="s">
        <v>679</v>
      </c>
      <c r="M1187" s="3">
        <v>-6.4000000000000001E-2</v>
      </c>
    </row>
    <row r="1188" spans="2:13" x14ac:dyDescent="0.3">
      <c r="C1188" t="s">
        <v>182</v>
      </c>
      <c r="D1188" s="107">
        <v>0.20399999999999999</v>
      </c>
      <c r="E1188" s="107">
        <v>2.9000000000000001E-2</v>
      </c>
      <c r="F1188" s="107">
        <v>0.379</v>
      </c>
      <c r="G1188" s="116">
        <f t="shared" si="189"/>
        <v>0.17500000000000002</v>
      </c>
      <c r="H1188" s="354">
        <f t="shared" si="190"/>
        <v>0.20399999999999999</v>
      </c>
      <c r="I1188" s="354">
        <f t="shared" si="191"/>
        <v>0.17500000000000002</v>
      </c>
      <c r="J1188" t="s">
        <v>680</v>
      </c>
      <c r="M1188" s="3">
        <v>0.14799999999999999</v>
      </c>
    </row>
    <row r="1189" spans="2:13" x14ac:dyDescent="0.3">
      <c r="C1189" t="s">
        <v>681</v>
      </c>
      <c r="D1189" s="107">
        <v>2.7E-2</v>
      </c>
      <c r="E1189" s="107">
        <v>-0.105</v>
      </c>
      <c r="F1189" s="107">
        <v>0.158</v>
      </c>
      <c r="G1189" s="116">
        <f t="shared" si="189"/>
        <v>0.13150000000000001</v>
      </c>
      <c r="H1189" s="354">
        <f t="shared" si="190"/>
        <v>2.7E-2</v>
      </c>
      <c r="I1189" s="354">
        <f t="shared" si="191"/>
        <v>0.13150000000000001</v>
      </c>
      <c r="J1189" t="s">
        <v>679</v>
      </c>
      <c r="M1189" s="3">
        <v>4.9000000000000002E-2</v>
      </c>
    </row>
    <row r="1190" spans="2:13" x14ac:dyDescent="0.3">
      <c r="C1190" t="s">
        <v>682</v>
      </c>
      <c r="D1190" s="107">
        <v>8.6999999999999994E-2</v>
      </c>
      <c r="E1190" s="107">
        <v>-4.2999999999999997E-2</v>
      </c>
      <c r="F1190" s="107">
        <v>0.218</v>
      </c>
      <c r="G1190" s="116">
        <f t="shared" si="189"/>
        <v>0.1305</v>
      </c>
      <c r="H1190" s="354">
        <f t="shared" si="190"/>
        <v>8.6999999999999994E-2</v>
      </c>
      <c r="I1190" s="354">
        <f t="shared" si="191"/>
        <v>0.1305</v>
      </c>
      <c r="J1190" t="s">
        <v>679</v>
      </c>
      <c r="M1190" s="3">
        <v>0.14299999999999999</v>
      </c>
    </row>
    <row r="1191" spans="2:13" x14ac:dyDescent="0.3">
      <c r="C1191" t="s">
        <v>683</v>
      </c>
      <c r="D1191" s="107">
        <v>-5.5E-2</v>
      </c>
      <c r="E1191" s="107">
        <v>-0.22900000000000001</v>
      </c>
      <c r="F1191" s="107">
        <v>0.11899999999999999</v>
      </c>
      <c r="G1191" s="116">
        <f t="shared" si="189"/>
        <v>0.17399999999999999</v>
      </c>
      <c r="H1191" s="354">
        <f t="shared" si="190"/>
        <v>-5.5E-2</v>
      </c>
      <c r="I1191" s="354">
        <f t="shared" si="191"/>
        <v>0.17399999999999999</v>
      </c>
      <c r="J1191" t="s">
        <v>679</v>
      </c>
      <c r="M1191" s="3">
        <v>1.7000000000000001E-2</v>
      </c>
    </row>
    <row r="1192" spans="2:13" x14ac:dyDescent="0.3">
      <c r="C1192" t="s">
        <v>684</v>
      </c>
      <c r="D1192" s="107">
        <v>4.7E-2</v>
      </c>
      <c r="E1192" s="107">
        <v>-8.8999999999999996E-2</v>
      </c>
      <c r="F1192" s="107">
        <v>0.183</v>
      </c>
      <c r="G1192" s="116">
        <f t="shared" si="189"/>
        <v>0.13600000000000001</v>
      </c>
      <c r="H1192" s="354">
        <f t="shared" si="190"/>
        <v>4.7E-2</v>
      </c>
      <c r="I1192" s="354">
        <f t="shared" si="191"/>
        <v>0.13600000000000001</v>
      </c>
      <c r="J1192" t="s">
        <v>679</v>
      </c>
      <c r="M1192" s="3">
        <v>0</v>
      </c>
    </row>
    <row r="1193" spans="2:13" x14ac:dyDescent="0.3">
      <c r="C1193" s="12" t="s">
        <v>685</v>
      </c>
      <c r="D1193" s="108">
        <v>0.36299999999999999</v>
      </c>
      <c r="E1193" s="108">
        <v>0.193</v>
      </c>
      <c r="F1193" s="108">
        <v>0.53200000000000003</v>
      </c>
      <c r="G1193" s="133">
        <f t="shared" si="189"/>
        <v>0.16950000000000004</v>
      </c>
      <c r="H1193" s="355">
        <f t="shared" si="190"/>
        <v>0.36299999999999999</v>
      </c>
      <c r="I1193" s="355">
        <f t="shared" si="191"/>
        <v>0.16950000000000004</v>
      </c>
      <c r="J1193" s="12" t="s">
        <v>680</v>
      </c>
      <c r="M1193" s="3">
        <v>0.14799999999999999</v>
      </c>
    </row>
    <row r="1194" spans="2:13" x14ac:dyDescent="0.3">
      <c r="C1194" s="109" t="s">
        <v>686</v>
      </c>
      <c r="F1194" s="208"/>
    </row>
    <row r="1195" spans="2:13" x14ac:dyDescent="0.3">
      <c r="C1195" s="109"/>
      <c r="D1195" s="109"/>
      <c r="E1195" s="109"/>
    </row>
    <row r="1198" spans="2:13" s="8" customFormat="1" ht="19.5" x14ac:dyDescent="0.4">
      <c r="B1198" s="8">
        <v>99</v>
      </c>
      <c r="C1198" s="8" t="s" cm="1">
        <v>687</v>
      </c>
      <c r="D1198" s="8" t="s" cm="1">
        <v>688</v>
      </c>
      <c r="G1198" s="8" t="s">
        <v>241</v>
      </c>
    </row>
    <row r="1201" spans="2:29" x14ac:dyDescent="0.3">
      <c r="C1201" s="5"/>
      <c r="D1201" s="5" t="s">
        <v>689</v>
      </c>
      <c r="E1201" s="5" t="s">
        <v>16</v>
      </c>
      <c r="F1201" s="5" t="s">
        <v>270</v>
      </c>
      <c r="G1201" s="5" t="s">
        <v>271</v>
      </c>
      <c r="H1201" s="5" t="s">
        <v>15</v>
      </c>
    </row>
    <row r="1202" spans="2:29" outlineLevel="2" x14ac:dyDescent="0.3">
      <c r="C1202" s="5" t="s">
        <v>316</v>
      </c>
      <c r="D1202" s="37">
        <v>-0.54585152838427953</v>
      </c>
      <c r="E1202" s="12" t="s">
        <v>690</v>
      </c>
      <c r="F1202" s="7">
        <v>-0.82</v>
      </c>
      <c r="G1202" s="7">
        <v>-0.27</v>
      </c>
      <c r="H1202" s="12">
        <f>ABS(F1202-AVERAGE(F1202:G1202))/1.96</f>
        <v>0.14030612244897961</v>
      </c>
    </row>
    <row r="1203" spans="2:29" outlineLevel="2" x14ac:dyDescent="0.3">
      <c r="C1203" s="3" t="s">
        <v>691</v>
      </c>
      <c r="Y1203" s="97"/>
      <c r="Z1203" s="97"/>
      <c r="AA1203" s="97"/>
      <c r="AB1203" s="97"/>
      <c r="AC1203" s="97"/>
    </row>
    <row r="1204" spans="2:29" outlineLevel="2" x14ac:dyDescent="0.3">
      <c r="Y1204" s="26"/>
      <c r="Z1204" s="26"/>
      <c r="AA1204" s="26"/>
      <c r="AB1204" s="26"/>
      <c r="AC1204" s="26"/>
    </row>
    <row r="1205" spans="2:29" outlineLevel="2" x14ac:dyDescent="0.3">
      <c r="C1205" s="5"/>
      <c r="D1205" s="5" t="s">
        <v>17</v>
      </c>
      <c r="E1205" s="5" t="s">
        <v>156</v>
      </c>
      <c r="F1205" s="5" t="s">
        <v>692</v>
      </c>
      <c r="Y1205" s="26"/>
      <c r="Z1205" s="26"/>
      <c r="AA1205" s="26"/>
      <c r="AB1205" s="26"/>
      <c r="AC1205" s="26"/>
    </row>
    <row r="1206" spans="2:29" outlineLevel="2" x14ac:dyDescent="0.3">
      <c r="C1206" t="s">
        <v>241</v>
      </c>
      <c r="D1206" s="31">
        <f>D143</f>
        <v>76.391666087864692</v>
      </c>
      <c r="E1206" s="31">
        <f>E143</f>
        <v>74.089415216876617</v>
      </c>
      <c r="F1206" s="31">
        <f>F143</f>
        <v>44.444444444444443</v>
      </c>
      <c r="Y1206" s="26"/>
      <c r="Z1206" s="26"/>
      <c r="AA1206" s="26"/>
      <c r="AB1206" s="26"/>
      <c r="AC1206" s="26"/>
    </row>
    <row r="1207" spans="2:29" outlineLevel="2" x14ac:dyDescent="0.3">
      <c r="C1207" t="s">
        <v>339</v>
      </c>
      <c r="D1207" s="31">
        <f>D144</f>
        <v>747.78438100000005</v>
      </c>
      <c r="E1207" s="31">
        <f>E144</f>
        <v>332.915074</v>
      </c>
      <c r="F1207"/>
      <c r="H1207" s="26"/>
      <c r="Y1207" s="26"/>
      <c r="Z1207" s="26"/>
      <c r="AA1207" s="26"/>
      <c r="AB1207" s="26"/>
      <c r="AC1207" s="26"/>
    </row>
    <row r="1208" spans="2:29" outlineLevel="1" x14ac:dyDescent="0.3">
      <c r="C1208" t="s">
        <v>693</v>
      </c>
      <c r="D1208" s="22">
        <f>(D1206-$F$1206)*$D$1202*10*D1207</f>
        <v>-130401.92882802848</v>
      </c>
      <c r="E1208" s="22">
        <f>(E1206-$F$1206)*$D$1202*10*E1207</f>
        <v>-53871.49365956385</v>
      </c>
      <c r="F1208"/>
      <c r="H1208" s="19"/>
      <c r="Y1208" s="26"/>
      <c r="Z1208" s="26"/>
      <c r="AA1208" s="26"/>
      <c r="AB1208" s="26"/>
      <c r="AC1208" s="26"/>
    </row>
    <row r="1209" spans="2:29" outlineLevel="1" x14ac:dyDescent="0.3">
      <c r="C1209" t="s">
        <v>694</v>
      </c>
      <c r="D1209" s="31">
        <f>D160</f>
        <v>187771</v>
      </c>
      <c r="E1209" s="31">
        <f>E160</f>
        <v>127471</v>
      </c>
      <c r="F1209"/>
      <c r="H1209" s="26"/>
      <c r="Y1209" s="26"/>
      <c r="Z1209" s="26"/>
      <c r="AA1209" s="26"/>
      <c r="AB1209" s="26"/>
      <c r="AC1209" s="26"/>
    </row>
    <row r="1210" spans="2:29" x14ac:dyDescent="0.3">
      <c r="C1210" s="12" t="s">
        <v>293</v>
      </c>
      <c r="D1210" s="13">
        <f>D1208/(D1209-D1208)</f>
        <v>-0.40984608372672188</v>
      </c>
      <c r="E1210" s="13">
        <f>E1208/(E1209-E1208)</f>
        <v>-0.29707043601538513</v>
      </c>
      <c r="F1210" s="12"/>
      <c r="H1210" s="26"/>
      <c r="Y1210" s="26"/>
      <c r="Z1210" s="26"/>
      <c r="AA1210" s="26"/>
      <c r="AB1210" s="26"/>
      <c r="AC1210" s="26"/>
    </row>
    <row r="1211" spans="2:29" x14ac:dyDescent="0.3">
      <c r="Y1211" s="26"/>
      <c r="Z1211" s="26"/>
      <c r="AA1211" s="26"/>
      <c r="AB1211" s="26"/>
      <c r="AC1211" s="26"/>
    </row>
    <row r="1212" spans="2:29" s="8" customFormat="1" ht="19.5" x14ac:dyDescent="0.4">
      <c r="B1212" s="8">
        <v>102</v>
      </c>
      <c r="C1212" s="8" t="s" cm="1">
        <v>695</v>
      </c>
      <c r="D1212" s="8" t="s" cm="1">
        <v>696</v>
      </c>
      <c r="G1212" s="8" t="s">
        <v>241</v>
      </c>
    </row>
    <row r="1214" spans="2:29" x14ac:dyDescent="0.3">
      <c r="Y1214" s="97"/>
      <c r="Z1214" s="97"/>
      <c r="AA1214" s="97"/>
      <c r="AB1214" s="97"/>
      <c r="AC1214" s="97"/>
    </row>
    <row r="1215" spans="2:29" x14ac:dyDescent="0.3">
      <c r="C1215" s="4" t="s">
        <v>2</v>
      </c>
      <c r="Y1215" s="26"/>
      <c r="Z1215" s="26"/>
      <c r="AA1215" s="26"/>
      <c r="AB1215" s="26"/>
      <c r="AC1215" s="26"/>
    </row>
    <row r="1216" spans="2:29" x14ac:dyDescent="0.3">
      <c r="C1216" s="9" t="s">
        <v>2</v>
      </c>
      <c r="D1216" s="9" t="s">
        <v>16</v>
      </c>
      <c r="E1216" s="9" t="s">
        <v>234</v>
      </c>
      <c r="F1216" s="9" t="s">
        <v>15</v>
      </c>
      <c r="I1216" s="208"/>
      <c r="Y1216" s="26"/>
      <c r="Z1216" s="26"/>
      <c r="AA1216" s="26"/>
      <c r="AB1216" s="26"/>
      <c r="AC1216" s="26"/>
    </row>
    <row r="1217" spans="2:29" x14ac:dyDescent="0.3">
      <c r="C1217" s="87">
        <f>AVERAGE(C1218:C1219)</f>
        <v>-0.19950000000000001</v>
      </c>
      <c r="D1217" s="5" t="s">
        <v>697</v>
      </c>
      <c r="E1217" s="39" t="s">
        <v>698</v>
      </c>
      <c r="F1217" s="5">
        <f>SQRT(SUMSQ(F1218:F1219)/COUNT(F1218:F1219))</f>
        <v>4.596324673040407E-2</v>
      </c>
      <c r="Y1217" s="26"/>
      <c r="Z1217" s="26"/>
      <c r="AA1217" s="26"/>
      <c r="AB1217" s="26"/>
      <c r="AC1217" s="26"/>
    </row>
    <row r="1218" spans="2:29" x14ac:dyDescent="0.3">
      <c r="C1218" s="6">
        <v>-7.2999999999999995E-2</v>
      </c>
      <c r="D1218" t="s">
        <v>699</v>
      </c>
      <c r="E1218" s="86" t="s">
        <v>626</v>
      </c>
      <c r="F1218" s="6">
        <v>6.5000000000000002E-2</v>
      </c>
      <c r="J1218" s="10"/>
    </row>
    <row r="1219" spans="2:29" x14ac:dyDescent="0.3">
      <c r="C1219" s="7">
        <v>-0.32600000000000001</v>
      </c>
      <c r="D1219" s="12" t="s">
        <v>700</v>
      </c>
      <c r="E1219" s="12" t="s">
        <v>307</v>
      </c>
      <c r="F1219" s="120">
        <v>4.8999999999999998E-4</v>
      </c>
    </row>
    <row r="1220" spans="2:29" x14ac:dyDescent="0.3">
      <c r="C1220" s="3" t="s">
        <v>701</v>
      </c>
    </row>
    <row r="1222" spans="2:29" x14ac:dyDescent="0.3">
      <c r="C1222" s="5"/>
      <c r="D1222" s="5" t="s">
        <v>17</v>
      </c>
      <c r="E1222" s="5" t="s">
        <v>156</v>
      </c>
      <c r="F1222" s="5" t="s">
        <v>692</v>
      </c>
    </row>
    <row r="1223" spans="2:29" x14ac:dyDescent="0.3">
      <c r="C1223" t="s">
        <v>241</v>
      </c>
      <c r="D1223" s="31">
        <f>D143</f>
        <v>76.391666087864692</v>
      </c>
      <c r="E1223" s="31">
        <f>E143</f>
        <v>74.089415216876617</v>
      </c>
      <c r="F1223" s="31">
        <f>F143</f>
        <v>44.444444444444443</v>
      </c>
      <c r="G1223" s="99"/>
      <c r="H1223" s="331"/>
    </row>
    <row r="1224" spans="2:29" x14ac:dyDescent="0.3">
      <c r="C1224" t="s">
        <v>339</v>
      </c>
      <c r="D1224" s="31">
        <f>D144</f>
        <v>747.78438100000005</v>
      </c>
      <c r="E1224" s="31">
        <f>E144</f>
        <v>332.915074</v>
      </c>
      <c r="F1224" s="29"/>
    </row>
    <row r="1225" spans="2:29" outlineLevel="1" x14ac:dyDescent="0.3">
      <c r="C1225" t="s">
        <v>693</v>
      </c>
      <c r="D1225" s="22">
        <f>(D1206-$F$1206)*$C$1217*D1207</f>
        <v>-4765.9818555783158</v>
      </c>
      <c r="E1225" s="22">
        <f>(E1206-$F$1206)*$C$1217*E1207</f>
        <v>-1968.9168988672031</v>
      </c>
      <c r="F1225"/>
      <c r="G1225" s="99"/>
    </row>
    <row r="1226" spans="2:29" outlineLevel="1" x14ac:dyDescent="0.3">
      <c r="C1226" t="s">
        <v>694</v>
      </c>
      <c r="D1226" s="31">
        <f>D161</f>
        <v>164600</v>
      </c>
      <c r="E1226" s="31">
        <f>E161</f>
        <v>97081</v>
      </c>
      <c r="F1226"/>
      <c r="G1226" s="26"/>
    </row>
    <row r="1227" spans="2:29" x14ac:dyDescent="0.3">
      <c r="C1227" s="12" t="s">
        <v>293</v>
      </c>
      <c r="D1227" s="139">
        <f>D1225/(D1226-D1225)</f>
        <v>-2.8140136545498032E-2</v>
      </c>
      <c r="E1227" s="139">
        <f>E1225/(E1226-E1225)</f>
        <v>-1.9878026761774303E-2</v>
      </c>
      <c r="F1227" s="12"/>
    </row>
    <row r="1228" spans="2:29" x14ac:dyDescent="0.3">
      <c r="C1228" s="3" t="s">
        <v>626</v>
      </c>
      <c r="D1228" s="28">
        <f>((D$1206-$F$1206)*$C1218*D$1207)/(D$1226-((D$1206-$F$1206)*$C1218*D$1207))</f>
        <v>-1.0483959929378759E-2</v>
      </c>
      <c r="E1228" s="28">
        <f>((E$1206-$F$1206)*$C1218*E$1207)/(E$1226-((E$1206-$F$1206)*$C1218*E$1207))</f>
        <v>-7.3665141449716174E-3</v>
      </c>
    </row>
    <row r="1229" spans="2:29" x14ac:dyDescent="0.3">
      <c r="C1229" s="3" t="s">
        <v>307</v>
      </c>
      <c r="D1229" s="28">
        <f>((D$1206-$F$1206)*$C1219*D$1207)/(D$1226-((D$1206-$F$1206)*$C1219*D$1207))</f>
        <v>-4.5177271914182741E-2</v>
      </c>
      <c r="E1229" s="28">
        <f>((E$1206-$F$1206)*$C1219*E$1207)/(E$1226-((E$1206-$F$1206)*$C1219*E$1207))</f>
        <v>-3.2078066012647878E-2</v>
      </c>
    </row>
    <row r="1231" spans="2:29" s="8" customFormat="1" ht="19.5" x14ac:dyDescent="0.4">
      <c r="B1231" s="8">
        <v>111</v>
      </c>
      <c r="C1231" s="8" t="s" cm="1">
        <v>702</v>
      </c>
      <c r="D1231" s="8" t="s" cm="1">
        <v>703</v>
      </c>
      <c r="G1231" s="8" t="s">
        <v>136</v>
      </c>
    </row>
    <row r="1233" spans="3:9" x14ac:dyDescent="0.3">
      <c r="C1233" s="3" t="s">
        <v>864</v>
      </c>
    </row>
    <row r="1234" spans="3:9" x14ac:dyDescent="0.3">
      <c r="C1234" s="113"/>
      <c r="D1234" s="92" t="s">
        <v>704</v>
      </c>
      <c r="E1234" s="115"/>
      <c r="F1234" s="92" t="s">
        <v>705</v>
      </c>
      <c r="G1234" s="115"/>
      <c r="H1234" s="92" t="s">
        <v>706</v>
      </c>
      <c r="I1234" s="92"/>
    </row>
    <row r="1235" spans="3:9" x14ac:dyDescent="0.3">
      <c r="C1235" s="42" t="s">
        <v>707</v>
      </c>
      <c r="D1235" s="12" t="s">
        <v>594</v>
      </c>
      <c r="E1235" s="42" t="s">
        <v>15</v>
      </c>
      <c r="F1235" s="12" t="s">
        <v>594</v>
      </c>
      <c r="G1235" s="42" t="s">
        <v>15</v>
      </c>
      <c r="H1235" s="12" t="s">
        <v>594</v>
      </c>
      <c r="I1235" s="12" t="s">
        <v>15</v>
      </c>
    </row>
    <row r="1236" spans="3:9" x14ac:dyDescent="0.3">
      <c r="C1236" s="114" t="s">
        <v>708</v>
      </c>
      <c r="D1236" s="91">
        <v>-25.608000000000001</v>
      </c>
      <c r="E1236" s="184">
        <v>55.351999999999997</v>
      </c>
      <c r="F1236" s="6">
        <v>-29.084</v>
      </c>
      <c r="G1236" s="184">
        <v>16.047000000000001</v>
      </c>
      <c r="H1236" s="21">
        <f t="shared" ref="H1236:H1241" si="192">AVERAGE(D1236,F1236)</f>
        <v>-27.346</v>
      </c>
      <c r="I1236" s="21">
        <f t="shared" ref="I1236:I1241" si="193">SQRT(SUMSQ(E1236,G1236)/COUNT(E1236,G1236))</f>
        <v>40.75138103794766</v>
      </c>
    </row>
    <row r="1237" spans="3:9" x14ac:dyDescent="0.3">
      <c r="C1237" s="114" t="s">
        <v>709</v>
      </c>
      <c r="D1237" s="6">
        <v>15.624000000000001</v>
      </c>
      <c r="E1237" s="184">
        <v>15.193</v>
      </c>
      <c r="F1237" s="6">
        <v>52.890999999999998</v>
      </c>
      <c r="G1237" s="184">
        <v>30.189</v>
      </c>
      <c r="H1237" s="21">
        <f t="shared" si="192"/>
        <v>34.2575</v>
      </c>
      <c r="I1237" s="21">
        <f t="shared" si="193"/>
        <v>23.8977297038861</v>
      </c>
    </row>
    <row r="1238" spans="3:9" x14ac:dyDescent="0.3">
      <c r="C1238" s="114" t="s">
        <v>710</v>
      </c>
      <c r="D1238" s="6">
        <v>36.435000000000002</v>
      </c>
      <c r="E1238" s="184">
        <v>11.183</v>
      </c>
      <c r="F1238" s="6">
        <v>50.703000000000003</v>
      </c>
      <c r="G1238" s="184">
        <v>32.548999999999999</v>
      </c>
      <c r="H1238" s="21">
        <f t="shared" si="192"/>
        <v>43.569000000000003</v>
      </c>
      <c r="I1238" s="21">
        <f t="shared" si="193"/>
        <v>24.336155098946914</v>
      </c>
    </row>
    <row r="1239" spans="3:9" x14ac:dyDescent="0.3">
      <c r="C1239" s="114" t="s">
        <v>711</v>
      </c>
      <c r="D1239" s="6">
        <v>3.2280000000000002</v>
      </c>
      <c r="E1239" s="184">
        <v>23.888000000000002</v>
      </c>
      <c r="F1239" s="6">
        <v>45.945</v>
      </c>
      <c r="G1239" s="184">
        <v>45.713999999999999</v>
      </c>
      <c r="H1239" s="21">
        <f t="shared" si="192"/>
        <v>24.586500000000001</v>
      </c>
      <c r="I1239" s="21">
        <f t="shared" si="193"/>
        <v>36.471950455110019</v>
      </c>
    </row>
    <row r="1240" spans="3:9" x14ac:dyDescent="0.3">
      <c r="C1240" s="114" t="s">
        <v>147</v>
      </c>
      <c r="D1240" s="6">
        <v>8.6069999999999993</v>
      </c>
      <c r="E1240" s="184">
        <v>23.239000000000001</v>
      </c>
      <c r="F1240" s="6">
        <v>14.428000000000001</v>
      </c>
      <c r="G1240" s="184">
        <v>21.898</v>
      </c>
      <c r="H1240" s="21">
        <f t="shared" si="192"/>
        <v>11.5175</v>
      </c>
      <c r="I1240" s="21">
        <f t="shared" si="193"/>
        <v>22.578457930071309</v>
      </c>
    </row>
    <row r="1241" spans="3:9" x14ac:dyDescent="0.3">
      <c r="C1241" s="114" t="s">
        <v>712</v>
      </c>
      <c r="D1241" s="6">
        <v>-25.231999999999999</v>
      </c>
      <c r="E1241" s="184">
        <v>19.338000000000001</v>
      </c>
      <c r="F1241" s="6">
        <v>-11.958</v>
      </c>
      <c r="G1241" s="184">
        <v>58.92</v>
      </c>
      <c r="H1241" s="21">
        <f t="shared" si="192"/>
        <v>-18.594999999999999</v>
      </c>
      <c r="I1241" s="21">
        <f t="shared" si="193"/>
        <v>43.849313814471486</v>
      </c>
    </row>
    <row r="1242" spans="3:9" x14ac:dyDescent="0.3">
      <c r="C1242" s="42"/>
      <c r="D1242" s="12"/>
      <c r="E1242" s="42"/>
      <c r="F1242" s="12"/>
      <c r="G1242" s="42"/>
      <c r="H1242" s="12"/>
      <c r="I1242" s="12"/>
    </row>
    <row r="1243" spans="3:9" x14ac:dyDescent="0.3">
      <c r="C1243" s="3" t="s">
        <v>713</v>
      </c>
    </row>
    <row r="1244" spans="3:9" x14ac:dyDescent="0.3">
      <c r="C1244" s="62" t="s">
        <v>714</v>
      </c>
    </row>
    <row r="1245" spans="3:9" x14ac:dyDescent="0.3">
      <c r="C1245" s="3" t="s">
        <v>715</v>
      </c>
    </row>
    <row r="1247" spans="3:9" x14ac:dyDescent="0.3">
      <c r="C1247" s="3" t="s">
        <v>863</v>
      </c>
    </row>
    <row r="1248" spans="3:9" x14ac:dyDescent="0.3">
      <c r="C1248" s="113"/>
      <c r="D1248" s="92" t="s">
        <v>704</v>
      </c>
      <c r="E1248" s="115"/>
      <c r="F1248" s="92" t="s">
        <v>705</v>
      </c>
      <c r="G1248" s="115"/>
      <c r="H1248" s="92" t="s">
        <v>706</v>
      </c>
      <c r="I1248" s="92"/>
    </row>
    <row r="1249" spans="3:9" x14ac:dyDescent="0.3">
      <c r="C1249" s="42" t="s">
        <v>707</v>
      </c>
      <c r="D1249" s="12" t="s">
        <v>594</v>
      </c>
      <c r="E1249" s="42" t="s">
        <v>15</v>
      </c>
      <c r="F1249" s="12" t="s">
        <v>594</v>
      </c>
      <c r="G1249" s="42" t="s">
        <v>15</v>
      </c>
      <c r="H1249" s="12" t="s">
        <v>594</v>
      </c>
      <c r="I1249" s="12" t="s">
        <v>15</v>
      </c>
    </row>
    <row r="1250" spans="3:9" x14ac:dyDescent="0.3">
      <c r="C1250" s="114" t="s">
        <v>708</v>
      </c>
      <c r="D1250" s="91">
        <v>-24.533999999999999</v>
      </c>
      <c r="E1250" s="184">
        <v>51.610999999999997</v>
      </c>
      <c r="F1250" s="6">
        <v>-28.945</v>
      </c>
      <c r="G1250" s="184">
        <v>16.042999999999999</v>
      </c>
      <c r="H1250" s="21">
        <f t="shared" ref="H1250:H1255" si="194">AVERAGE(D1250,F1250)</f>
        <v>-26.7395</v>
      </c>
      <c r="I1250" s="21">
        <f t="shared" ref="I1250:I1255" si="195">SQRT(SUMSQ(E1250,G1250)/COUNT(E1250,G1250))</f>
        <v>38.216967239696032</v>
      </c>
    </row>
    <row r="1251" spans="3:9" x14ac:dyDescent="0.3">
      <c r="C1251" s="114" t="s">
        <v>709</v>
      </c>
      <c r="D1251" s="6">
        <v>14.72</v>
      </c>
      <c r="E1251" s="184">
        <v>14.506</v>
      </c>
      <c r="F1251" s="6">
        <v>52.881</v>
      </c>
      <c r="G1251" s="184">
        <v>30.172000000000001</v>
      </c>
      <c r="H1251" s="21">
        <f t="shared" si="194"/>
        <v>33.8005</v>
      </c>
      <c r="I1251" s="21">
        <f t="shared" si="195"/>
        <v>23.672490574504408</v>
      </c>
    </row>
    <row r="1252" spans="3:9" x14ac:dyDescent="0.3">
      <c r="C1252" s="114" t="s">
        <v>710</v>
      </c>
      <c r="D1252" s="6">
        <v>35.92</v>
      </c>
      <c r="E1252" s="184">
        <v>10.82</v>
      </c>
      <c r="F1252" s="6">
        <v>50.783999999999999</v>
      </c>
      <c r="G1252" s="184">
        <v>32.597000000000001</v>
      </c>
      <c r="H1252" s="21">
        <f t="shared" si="194"/>
        <v>43.352000000000004</v>
      </c>
      <c r="I1252" s="21">
        <f t="shared" si="195"/>
        <v>24.286177231091763</v>
      </c>
    </row>
    <row r="1253" spans="3:9" x14ac:dyDescent="0.3">
      <c r="C1253" s="114" t="s">
        <v>711</v>
      </c>
      <c r="D1253" s="6">
        <v>3.3929999999999998</v>
      </c>
      <c r="E1253" s="184">
        <v>23.105</v>
      </c>
      <c r="F1253" s="6">
        <v>45.939</v>
      </c>
      <c r="G1253" s="184">
        <v>45.655000000000001</v>
      </c>
      <c r="H1253" s="21">
        <f t="shared" si="194"/>
        <v>24.666</v>
      </c>
      <c r="I1253" s="21">
        <f t="shared" si="195"/>
        <v>36.181625516275524</v>
      </c>
    </row>
    <row r="1254" spans="3:9" x14ac:dyDescent="0.3">
      <c r="C1254" s="114" t="s">
        <v>147</v>
      </c>
      <c r="D1254" s="6">
        <v>8.2289999999999992</v>
      </c>
      <c r="E1254" s="184">
        <v>22.577999999999999</v>
      </c>
      <c r="F1254" s="6">
        <v>14.446999999999999</v>
      </c>
      <c r="G1254" s="184">
        <v>21.831</v>
      </c>
      <c r="H1254" s="21">
        <f t="shared" si="194"/>
        <v>11.337999999999999</v>
      </c>
      <c r="I1254" s="21">
        <f t="shared" si="195"/>
        <v>22.207641083645061</v>
      </c>
    </row>
    <row r="1255" spans="3:9" x14ac:dyDescent="0.3">
      <c r="C1255" s="114" t="s">
        <v>712</v>
      </c>
      <c r="D1255" s="6">
        <v>-24.501999999999999</v>
      </c>
      <c r="E1255" s="184">
        <v>18.847000000000001</v>
      </c>
      <c r="F1255" s="6">
        <v>11.978</v>
      </c>
      <c r="G1255" s="184">
        <v>58.875999999999998</v>
      </c>
      <c r="H1255" s="21">
        <f t="shared" si="194"/>
        <v>-6.2619999999999996</v>
      </c>
      <c r="I1255" s="21">
        <f t="shared" si="195"/>
        <v>43.712657120106527</v>
      </c>
    </row>
    <row r="1256" spans="3:9" x14ac:dyDescent="0.3">
      <c r="C1256" s="42"/>
      <c r="D1256" s="12"/>
      <c r="E1256" s="42"/>
      <c r="F1256" s="12"/>
      <c r="G1256" s="42"/>
      <c r="H1256" s="12"/>
      <c r="I1256" s="12"/>
    </row>
    <row r="1259" spans="3:9" x14ac:dyDescent="0.3">
      <c r="C1259" s="5"/>
      <c r="D1259" s="5" t="s">
        <v>17</v>
      </c>
      <c r="E1259" s="5" t="s">
        <v>245</v>
      </c>
      <c r="F1259" s="26"/>
      <c r="G1259" s="26"/>
    </row>
    <row r="1260" spans="3:9" x14ac:dyDescent="0.3">
      <c r="C1260" s="12" t="s">
        <v>716</v>
      </c>
      <c r="D1260" s="103">
        <f>D162/D144</f>
        <v>258.38063071285251</v>
      </c>
      <c r="E1260" s="103">
        <f>E162/E144</f>
        <v>414.00047869265302</v>
      </c>
    </row>
    <row r="1261" spans="3:9" x14ac:dyDescent="0.3">
      <c r="C1261" s="3" t="s">
        <v>521</v>
      </c>
    </row>
    <row r="1263" spans="3:9" x14ac:dyDescent="0.3">
      <c r="C1263" s="4" t="s">
        <v>717</v>
      </c>
    </row>
    <row r="1264" spans="3:9" x14ac:dyDescent="0.3">
      <c r="C1264" s="5" t="s">
        <v>718</v>
      </c>
      <c r="D1264" s="16" t="s">
        <v>719</v>
      </c>
      <c r="E1264" s="16" t="s">
        <v>720</v>
      </c>
      <c r="F1264" s="16" t="s">
        <v>721</v>
      </c>
      <c r="G1264" s="10"/>
      <c r="H1264" s="356" t="s">
        <v>722</v>
      </c>
      <c r="I1264" s="26"/>
    </row>
    <row r="1265" spans="3:12" x14ac:dyDescent="0.3">
      <c r="C1265" t="s">
        <v>723</v>
      </c>
      <c r="D1265" s="24">
        <v>9.6174175954709201E-2</v>
      </c>
      <c r="E1265" s="22">
        <f t="shared" ref="E1265:F1270" si="196">D$1260-$D1265*$H1236</f>
        <v>261.01060972850996</v>
      </c>
      <c r="F1265" s="22">
        <f t="shared" si="196"/>
        <v>416.63045770831047</v>
      </c>
      <c r="G1265" s="10"/>
      <c r="H1265" s="335" t="s">
        <v>723</v>
      </c>
      <c r="I1265" s="357">
        <f>(D353*$D$144+E353*$E$144)/($D$144+$E$144)</f>
        <v>0.10364852066870849</v>
      </c>
    </row>
    <row r="1266" spans="3:12" x14ac:dyDescent="0.3">
      <c r="C1266" t="s">
        <v>550</v>
      </c>
      <c r="D1266" s="24">
        <v>0.9655635578641687</v>
      </c>
      <c r="E1266" s="22">
        <f t="shared" si="196"/>
        <v>225.30283712932075</v>
      </c>
      <c r="F1266" s="22">
        <f t="shared" si="196"/>
        <v>380.92268510912129</v>
      </c>
      <c r="G1266" s="10"/>
      <c r="H1266" s="3" t="s">
        <v>550</v>
      </c>
      <c r="I1266" s="10">
        <f>(D352*$D$144+E352*$E$144)/($D$144+$E$144)</f>
        <v>0.93312190340548862</v>
      </c>
    </row>
    <row r="1267" spans="3:12" x14ac:dyDescent="0.3">
      <c r="C1267" t="s">
        <v>724</v>
      </c>
      <c r="D1267" s="24">
        <v>0.84703173007126309</v>
      </c>
      <c r="E1267" s="22">
        <f t="shared" si="196"/>
        <v>221.47630526537765</v>
      </c>
      <c r="F1267" s="22">
        <f t="shared" si="196"/>
        <v>377.09615324517813</v>
      </c>
      <c r="G1267" s="10"/>
      <c r="H1267" s="3" t="s">
        <v>724</v>
      </c>
      <c r="I1267" s="10">
        <f>(D348*$D$144+E348*$E$144)/($D$144+$E$144)</f>
        <v>0.70467970028110472</v>
      </c>
    </row>
    <row r="1268" spans="3:12" x14ac:dyDescent="0.3">
      <c r="C1268" t="s">
        <v>725</v>
      </c>
      <c r="D1268" s="24">
        <v>0.96312864618890703</v>
      </c>
      <c r="E1268" s="22">
        <f t="shared" si="196"/>
        <v>234.70066825332896</v>
      </c>
      <c r="F1268" s="22">
        <f t="shared" si="196"/>
        <v>390.32051623312947</v>
      </c>
      <c r="G1268" s="10"/>
      <c r="H1268" s="3" t="s">
        <v>725</v>
      </c>
      <c r="I1268" s="10">
        <f>(D351*$D$144+E351*$E$144)/($D$144+$E$144)</f>
        <v>0.94862329548496949</v>
      </c>
    </row>
    <row r="1269" spans="3:12" x14ac:dyDescent="0.3">
      <c r="C1269" t="s">
        <v>530</v>
      </c>
      <c r="D1269" s="24">
        <v>0.98599632887948219</v>
      </c>
      <c r="E1269" s="22">
        <f t="shared" si="196"/>
        <v>247.02441799498308</v>
      </c>
      <c r="F1269" s="22">
        <f t="shared" si="196"/>
        <v>402.64426597478359</v>
      </c>
      <c r="G1269" s="10"/>
      <c r="H1269" s="3" t="s">
        <v>530</v>
      </c>
      <c r="I1269" s="10">
        <f>(D350*$D$144+E350*$E$144)/($D$144+$E$144)</f>
        <v>0.97007949848934194</v>
      </c>
    </row>
    <row r="1270" spans="3:12" x14ac:dyDescent="0.3">
      <c r="C1270" s="12" t="s">
        <v>177</v>
      </c>
      <c r="D1270" s="25">
        <v>0.89664323500962595</v>
      </c>
      <c r="E1270" s="27">
        <f t="shared" si="196"/>
        <v>275.05371166785648</v>
      </c>
      <c r="F1270" s="27">
        <f t="shared" si="196"/>
        <v>430.67355964765699</v>
      </c>
      <c r="G1270" s="10"/>
      <c r="H1270" s="212" t="s">
        <v>177</v>
      </c>
      <c r="I1270" s="215">
        <f>(D349*$D$144+E349*$E$144)/($D$144+$E$144)</f>
        <v>0.92340350109084901</v>
      </c>
    </row>
    <row r="1271" spans="3:12" x14ac:dyDescent="0.3">
      <c r="C1271" s="3" t="s">
        <v>726</v>
      </c>
      <c r="D1271" s="10"/>
      <c r="E1271" s="10"/>
      <c r="F1271" s="10"/>
      <c r="G1271" s="10"/>
      <c r="H1271" s="10"/>
      <c r="I1271" s="10"/>
    </row>
    <row r="1272" spans="3:12" x14ac:dyDescent="0.3">
      <c r="C1272" s="3" t="s">
        <v>727</v>
      </c>
      <c r="D1272" s="10"/>
      <c r="E1272" s="10"/>
      <c r="F1272" s="10"/>
      <c r="G1272" s="10"/>
      <c r="H1272" s="10"/>
      <c r="I1272" s="10"/>
    </row>
    <row r="1274" spans="3:12" x14ac:dyDescent="0.3">
      <c r="C1274" s="4" t="s">
        <v>949</v>
      </c>
    </row>
    <row r="1275" spans="3:12" x14ac:dyDescent="0.3">
      <c r="C1275" s="113"/>
      <c r="D1275" s="92" t="str">
        <f>D1234</f>
        <v>Within 14 days</v>
      </c>
      <c r="E1275" s="92"/>
      <c r="F1275" s="115"/>
      <c r="G1275" s="92" t="str">
        <f>F1234</f>
        <v>After 14 days</v>
      </c>
      <c r="H1275" s="92"/>
      <c r="I1275" s="115"/>
      <c r="J1275" s="92" t="s">
        <v>282</v>
      </c>
      <c r="K1275" s="92"/>
      <c r="L1275" s="92"/>
    </row>
    <row r="1276" spans="3:12" x14ac:dyDescent="0.3">
      <c r="C1276" s="42"/>
      <c r="D1276" s="43" t="s">
        <v>17</v>
      </c>
      <c r="E1276" s="43" t="s">
        <v>245</v>
      </c>
      <c r="F1276" s="222" t="s">
        <v>949</v>
      </c>
      <c r="G1276" s="43" t="s">
        <v>17</v>
      </c>
      <c r="H1276" s="43" t="s">
        <v>245</v>
      </c>
      <c r="I1276" s="222" t="s">
        <v>949</v>
      </c>
      <c r="J1276" s="43" t="s">
        <v>17</v>
      </c>
      <c r="K1276" s="43" t="s">
        <v>245</v>
      </c>
      <c r="L1276" s="43" t="s">
        <v>949</v>
      </c>
    </row>
    <row r="1277" spans="3:12" x14ac:dyDescent="0.3">
      <c r="C1277" s="114" t="s">
        <v>708</v>
      </c>
      <c r="D1277" s="223">
        <f t="shared" ref="D1277:D1282" si="197">$D1236/E1265</f>
        <v>-9.8110954288931573E-2</v>
      </c>
      <c r="E1277" s="223">
        <f t="shared" ref="E1277:E1282" si="198">$D1236/F1265</f>
        <v>-6.1464541360844442E-2</v>
      </c>
      <c r="F1277" s="224">
        <f t="shared" ref="F1277:F1282" si="199">AVERAGE(D1277:E1277)</f>
        <v>-7.9787747824888011E-2</v>
      </c>
      <c r="G1277" s="223">
        <f t="shared" ref="G1277:H1282" si="200">$F1236/E1265</f>
        <v>-0.11142842059275562</v>
      </c>
      <c r="H1277" s="223">
        <f t="shared" si="200"/>
        <v>-6.98076663909247E-2</v>
      </c>
      <c r="I1277" s="224">
        <f t="shared" ref="I1277:I1282" si="201">AVERAGE(G1277:H1277)</f>
        <v>-9.0618043491840161E-2</v>
      </c>
      <c r="J1277" s="223">
        <f t="shared" ref="J1277:K1282" si="202">$H1236/E1265</f>
        <v>-0.1047696874408436</v>
      </c>
      <c r="K1277" s="223">
        <f t="shared" si="202"/>
        <v>-6.5636103875884574E-2</v>
      </c>
      <c r="L1277" s="223">
        <f t="shared" ref="L1277:L1282" si="203">AVERAGE(J1277:K1277)</f>
        <v>-8.5202895658364086E-2</v>
      </c>
    </row>
    <row r="1278" spans="3:12" x14ac:dyDescent="0.3">
      <c r="C1278" s="114" t="s">
        <v>709</v>
      </c>
      <c r="D1278" s="223">
        <f t="shared" si="197"/>
        <v>6.9346663357958679E-2</v>
      </c>
      <c r="E1278" s="223">
        <f t="shared" si="198"/>
        <v>4.1016197277734354E-2</v>
      </c>
      <c r="F1278" s="224">
        <f t="shared" si="199"/>
        <v>5.5181430317846517E-2</v>
      </c>
      <c r="G1278" s="223">
        <f t="shared" si="200"/>
        <v>0.23475514411583415</v>
      </c>
      <c r="H1278" s="223">
        <f t="shared" si="200"/>
        <v>0.13884969855457294</v>
      </c>
      <c r="I1278" s="224">
        <f t="shared" si="201"/>
        <v>0.18680242133520353</v>
      </c>
      <c r="J1278" s="223">
        <f t="shared" si="202"/>
        <v>0.15205090373689642</v>
      </c>
      <c r="K1278" s="223">
        <f t="shared" si="202"/>
        <v>8.9932947916153638E-2</v>
      </c>
      <c r="L1278" s="223">
        <f t="shared" si="203"/>
        <v>0.12099192582652503</v>
      </c>
    </row>
    <row r="1279" spans="3:12" x14ac:dyDescent="0.3">
      <c r="C1279" s="114" t="s">
        <v>710</v>
      </c>
      <c r="D1279" s="223">
        <f t="shared" si="197"/>
        <v>0.16450969757845113</v>
      </c>
      <c r="E1279" s="223">
        <f t="shared" si="198"/>
        <v>9.6619919578736488E-2</v>
      </c>
      <c r="F1279" s="224">
        <f t="shared" si="199"/>
        <v>0.13056480857859382</v>
      </c>
      <c r="G1279" s="223">
        <f t="shared" si="200"/>
        <v>0.22893193896857988</v>
      </c>
      <c r="H1279" s="223">
        <f t="shared" si="200"/>
        <v>0.13445642328532115</v>
      </c>
      <c r="I1279" s="224">
        <f t="shared" si="201"/>
        <v>0.18169418112695052</v>
      </c>
      <c r="J1279" s="223">
        <f t="shared" si="202"/>
        <v>0.19672081827351551</v>
      </c>
      <c r="K1279" s="223">
        <f t="shared" si="202"/>
        <v>0.11553817143202882</v>
      </c>
      <c r="L1279" s="223">
        <f t="shared" si="203"/>
        <v>0.15612949485277217</v>
      </c>
    </row>
    <row r="1280" spans="3:12" x14ac:dyDescent="0.3">
      <c r="C1280" s="114" t="s">
        <v>711</v>
      </c>
      <c r="D1280" s="223">
        <f t="shared" si="197"/>
        <v>1.3753689003202124E-2</v>
      </c>
      <c r="E1280" s="223">
        <f t="shared" si="198"/>
        <v>8.2701263852397403E-3</v>
      </c>
      <c r="F1280" s="224">
        <f t="shared" si="199"/>
        <v>1.1011907694220932E-2</v>
      </c>
      <c r="G1280" s="223">
        <f t="shared" si="200"/>
        <v>0.19575998799632019</v>
      </c>
      <c r="H1280" s="223">
        <f t="shared" si="200"/>
        <v>0.117710953150508</v>
      </c>
      <c r="I1280" s="224">
        <f t="shared" si="201"/>
        <v>0.15673547057341408</v>
      </c>
      <c r="J1280" s="223">
        <f t="shared" si="202"/>
        <v>0.10475683849976115</v>
      </c>
      <c r="K1280" s="223">
        <f t="shared" si="202"/>
        <v>6.2990539767873874E-2</v>
      </c>
      <c r="L1280" s="223">
        <f t="shared" si="203"/>
        <v>8.3873689133817514E-2</v>
      </c>
    </row>
    <row r="1281" spans="3:12" x14ac:dyDescent="0.3">
      <c r="C1281" s="114" t="s">
        <v>147</v>
      </c>
      <c r="D1281" s="223">
        <f t="shared" si="197"/>
        <v>3.484270935586134E-2</v>
      </c>
      <c r="E1281" s="223">
        <f t="shared" si="198"/>
        <v>2.1376189175730198E-2</v>
      </c>
      <c r="F1281" s="224">
        <f t="shared" si="199"/>
        <v>2.8109449265795769E-2</v>
      </c>
      <c r="G1281" s="223">
        <f t="shared" si="200"/>
        <v>5.8407181432132853E-2</v>
      </c>
      <c r="H1281" s="223">
        <f t="shared" si="200"/>
        <v>3.583311925495937E-2</v>
      </c>
      <c r="I1281" s="224">
        <f t="shared" si="201"/>
        <v>4.7120150343546108E-2</v>
      </c>
      <c r="J1281" s="223">
        <f t="shared" si="202"/>
        <v>4.66249453939971E-2</v>
      </c>
      <c r="K1281" s="223">
        <f t="shared" si="202"/>
        <v>2.8604654215344784E-2</v>
      </c>
      <c r="L1281" s="223">
        <f t="shared" si="203"/>
        <v>3.7614799804670945E-2</v>
      </c>
    </row>
    <row r="1282" spans="3:12" x14ac:dyDescent="0.3">
      <c r="C1282" s="42" t="s">
        <v>712</v>
      </c>
      <c r="D1282" s="70">
        <f t="shared" si="197"/>
        <v>-9.1734810074001555E-2</v>
      </c>
      <c r="E1282" s="70">
        <f t="shared" si="198"/>
        <v>-5.8587297582518939E-2</v>
      </c>
      <c r="F1282" s="225">
        <f t="shared" si="199"/>
        <v>-7.5161053828260244E-2</v>
      </c>
      <c r="G1282" s="70">
        <f t="shared" si="200"/>
        <v>-4.347514500891371E-2</v>
      </c>
      <c r="H1282" s="70">
        <f t="shared" si="200"/>
        <v>-2.776580946780919E-2</v>
      </c>
      <c r="I1282" s="225">
        <f t="shared" si="201"/>
        <v>-3.5620477238361453E-2</v>
      </c>
      <c r="J1282" s="70">
        <f t="shared" si="202"/>
        <v>-6.7604977541457625E-2</v>
      </c>
      <c r="K1282" s="70">
        <f t="shared" si="202"/>
        <v>-4.3176553525164064E-2</v>
      </c>
      <c r="L1282" s="70">
        <f t="shared" si="203"/>
        <v>-5.5390765533310848E-2</v>
      </c>
    </row>
    <row r="1284" spans="3:12" x14ac:dyDescent="0.3">
      <c r="C1284" s="113"/>
      <c r="D1284" s="92" t="s">
        <v>949</v>
      </c>
      <c r="E1284" s="92"/>
      <c r="F1284" s="115"/>
      <c r="G1284" s="92" t="s">
        <v>956</v>
      </c>
      <c r="H1284" s="92"/>
      <c r="I1284" s="92"/>
    </row>
    <row r="1285" spans="3:12" x14ac:dyDescent="0.3">
      <c r="C1285" s="42"/>
      <c r="D1285" s="43" t="s">
        <v>282</v>
      </c>
      <c r="E1285" s="43" t="s">
        <v>704</v>
      </c>
      <c r="F1285" s="222" t="s">
        <v>705</v>
      </c>
      <c r="G1285" s="43" t="s">
        <v>282</v>
      </c>
      <c r="H1285" s="43" t="s">
        <v>704</v>
      </c>
      <c r="I1285" s="43" t="s">
        <v>705</v>
      </c>
    </row>
    <row r="1286" spans="3:12" x14ac:dyDescent="0.3">
      <c r="C1286" s="114" t="str">
        <f t="shared" ref="C1286:C1291" si="204">C1277</f>
        <v>Mask mandates</v>
      </c>
      <c r="D1286" s="223">
        <f t="shared" ref="D1286:D1291" si="205">L1277</f>
        <v>-8.5202895658364086E-2</v>
      </c>
      <c r="E1286" s="223">
        <f t="shared" ref="E1286:E1291" si="206">F1277</f>
        <v>-7.9787747824888011E-2</v>
      </c>
      <c r="F1286" s="224">
        <f t="shared" ref="F1286:F1291" si="207">I1277</f>
        <v>-9.0618043491840161E-2</v>
      </c>
      <c r="G1286" s="223">
        <f t="shared" ref="G1286:G1291" si="208">D1286/H1236*I1236</f>
        <v>0.12697051365868833</v>
      </c>
      <c r="H1286" s="223">
        <f t="shared" ref="H1286:H1291" si="209">E1286/D1236*E1236</f>
        <v>0.17246217656994692</v>
      </c>
      <c r="I1286" s="223">
        <f t="shared" ref="I1286:I1291" si="210">F1286/F1236*G1236</f>
        <v>4.9998203270305297E-2</v>
      </c>
      <c r="J1286" s="10"/>
      <c r="K1286" s="10"/>
    </row>
    <row r="1287" spans="3:12" x14ac:dyDescent="0.3">
      <c r="C1287" s="114" t="str">
        <f t="shared" si="204"/>
        <v>International travel bans</v>
      </c>
      <c r="D1287" s="223">
        <f t="shared" si="205"/>
        <v>0.12099192582652503</v>
      </c>
      <c r="E1287" s="223">
        <f t="shared" si="206"/>
        <v>5.5181430317846517E-2</v>
      </c>
      <c r="F1287" s="224">
        <f t="shared" si="207"/>
        <v>0.18680242133520353</v>
      </c>
      <c r="G1287" s="223">
        <f t="shared" si="208"/>
        <v>8.4402899795809117E-2</v>
      </c>
      <c r="H1287" s="223">
        <f t="shared" si="209"/>
        <v>5.3659208321751285E-2</v>
      </c>
      <c r="I1287" s="223">
        <f t="shared" si="210"/>
        <v>0.10662264464064698</v>
      </c>
      <c r="J1287" s="10"/>
      <c r="K1287" s="10"/>
    </row>
    <row r="1288" spans="3:12" x14ac:dyDescent="0.3">
      <c r="C1288" s="114" t="str">
        <f t="shared" si="204"/>
        <v>Domestic lockdowns (SIPO)</v>
      </c>
      <c r="D1288" s="223">
        <f t="shared" si="205"/>
        <v>0.15612949485277217</v>
      </c>
      <c r="E1288" s="223">
        <f t="shared" si="206"/>
        <v>0.13056480857859382</v>
      </c>
      <c r="F1288" s="224">
        <f t="shared" si="207"/>
        <v>0.18169418112695052</v>
      </c>
      <c r="G1288" s="223">
        <f t="shared" si="208"/>
        <v>8.7208602498503457E-2</v>
      </c>
      <c r="H1288" s="223">
        <f t="shared" si="209"/>
        <v>4.0074276227100719E-2</v>
      </c>
      <c r="I1288" s="223">
        <f t="shared" si="210"/>
        <v>0.11663932906339096</v>
      </c>
      <c r="J1288" s="10"/>
      <c r="K1288" s="10"/>
    </row>
    <row r="1289" spans="3:12" x14ac:dyDescent="0.3">
      <c r="C1289" s="114" t="str">
        <f t="shared" si="204"/>
        <v>Mass gathering bans</v>
      </c>
      <c r="D1289" s="223">
        <f t="shared" si="205"/>
        <v>8.3873689133817514E-2</v>
      </c>
      <c r="E1289" s="223">
        <f t="shared" si="206"/>
        <v>1.1011907694220932E-2</v>
      </c>
      <c r="F1289" s="224">
        <f t="shared" si="207"/>
        <v>0.15673547057341408</v>
      </c>
      <c r="G1289" s="223">
        <f t="shared" si="208"/>
        <v>0.12441937789339239</v>
      </c>
      <c r="H1289" s="223">
        <f t="shared" si="209"/>
        <v>8.1490846034556891E-2</v>
      </c>
      <c r="I1289" s="223">
        <f t="shared" si="210"/>
        <v>0.15594744372169009</v>
      </c>
      <c r="J1289" s="10"/>
      <c r="K1289" s="10"/>
    </row>
    <row r="1290" spans="3:12" x14ac:dyDescent="0.3">
      <c r="C1290" s="114" t="str">
        <f t="shared" si="204"/>
        <v>School closures</v>
      </c>
      <c r="D1290" s="223">
        <f t="shared" si="205"/>
        <v>3.7614799804670945E-2</v>
      </c>
      <c r="E1290" s="223">
        <f t="shared" si="206"/>
        <v>2.8109449265795769E-2</v>
      </c>
      <c r="F1290" s="224">
        <f t="shared" si="207"/>
        <v>4.7120150343546108E-2</v>
      </c>
      <c r="G1290" s="223">
        <f t="shared" si="208"/>
        <v>7.3738586927529187E-2</v>
      </c>
      <c r="H1290" s="223">
        <f t="shared" si="209"/>
        <v>7.5895839605882184E-2</v>
      </c>
      <c r="I1290" s="223">
        <f t="shared" si="210"/>
        <v>7.1516291393330503E-2</v>
      </c>
      <c r="J1290" s="10"/>
      <c r="K1290" s="10"/>
    </row>
    <row r="1291" spans="3:12" x14ac:dyDescent="0.3">
      <c r="C1291" s="42" t="str">
        <f t="shared" si="204"/>
        <v>Restaurant closures</v>
      </c>
      <c r="D1291" s="70">
        <f t="shared" si="205"/>
        <v>-5.5390765533310848E-2</v>
      </c>
      <c r="E1291" s="70">
        <f t="shared" si="206"/>
        <v>-7.5161053828260244E-2</v>
      </c>
      <c r="F1291" s="225">
        <f t="shared" si="207"/>
        <v>-3.5620477238361453E-2</v>
      </c>
      <c r="G1291" s="70">
        <f t="shared" si="208"/>
        <v>0.13061828772755896</v>
      </c>
      <c r="H1291" s="70">
        <f t="shared" si="209"/>
        <v>5.7604013115523808E-2</v>
      </c>
      <c r="I1291" s="70">
        <f t="shared" si="210"/>
        <v>0.17551083114937754</v>
      </c>
      <c r="J1291" s="10"/>
      <c r="K1291" s="10"/>
    </row>
    <row r="1293" spans="3:12" x14ac:dyDescent="0.3">
      <c r="C1293" s="3" t="s">
        <v>865</v>
      </c>
    </row>
    <row r="1294" spans="3:12" x14ac:dyDescent="0.3">
      <c r="C1294" s="4" t="s">
        <v>717</v>
      </c>
    </row>
    <row r="1295" spans="3:12" x14ac:dyDescent="0.3">
      <c r="C1295" s="5" t="s">
        <v>718</v>
      </c>
      <c r="D1295" s="16" t="s">
        <v>719</v>
      </c>
      <c r="E1295" s="16" t="s">
        <v>720</v>
      </c>
      <c r="F1295" s="16" t="s">
        <v>721</v>
      </c>
      <c r="G1295" s="10"/>
      <c r="H1295" s="26"/>
      <c r="I1295" s="26"/>
    </row>
    <row r="1296" spans="3:12" x14ac:dyDescent="0.3">
      <c r="C1296" t="s">
        <v>723</v>
      </c>
      <c r="D1296" s="24">
        <v>9.6174175954709201E-2</v>
      </c>
      <c r="E1296" s="22">
        <f>D$1260-$D1265*$H1250</f>
        <v>260.95228009079347</v>
      </c>
      <c r="F1296" s="22">
        <f>E$1260-$D1265*$H1250</f>
        <v>416.57212807059398</v>
      </c>
      <c r="G1296" s="10"/>
      <c r="I1296" s="10"/>
    </row>
    <row r="1297" spans="3:12" x14ac:dyDescent="0.3">
      <c r="C1297" t="s">
        <v>550</v>
      </c>
      <c r="D1297" s="24">
        <v>0.9655635578641687</v>
      </c>
      <c r="E1297" s="195">
        <f t="shared" ref="E1297:F1301" si="211">D$1260-$D1266*$H1237</f>
        <v>225.30283712932075</v>
      </c>
      <c r="F1297" s="195">
        <f t="shared" si="211"/>
        <v>380.92268510912129</v>
      </c>
      <c r="G1297" s="10"/>
      <c r="I1297" s="10"/>
    </row>
    <row r="1298" spans="3:12" x14ac:dyDescent="0.3">
      <c r="C1298" t="s">
        <v>724</v>
      </c>
      <c r="D1298" s="24">
        <v>0.84703173007126309</v>
      </c>
      <c r="E1298" s="195">
        <f t="shared" si="211"/>
        <v>221.47630526537765</v>
      </c>
      <c r="F1298" s="195">
        <f t="shared" si="211"/>
        <v>377.09615324517813</v>
      </c>
      <c r="G1298" s="10"/>
      <c r="I1298" s="10"/>
    </row>
    <row r="1299" spans="3:12" x14ac:dyDescent="0.3">
      <c r="C1299" t="s">
        <v>725</v>
      </c>
      <c r="D1299" s="24">
        <v>0.96312864618890703</v>
      </c>
      <c r="E1299" s="195">
        <f t="shared" si="211"/>
        <v>234.70066825332896</v>
      </c>
      <c r="F1299" s="195">
        <f t="shared" si="211"/>
        <v>390.32051623312947</v>
      </c>
      <c r="G1299" s="10"/>
      <c r="I1299" s="10"/>
    </row>
    <row r="1300" spans="3:12" x14ac:dyDescent="0.3">
      <c r="C1300" t="s">
        <v>530</v>
      </c>
      <c r="D1300" s="24">
        <v>0.98599632887948219</v>
      </c>
      <c r="E1300" s="195">
        <f t="shared" si="211"/>
        <v>247.02441799498308</v>
      </c>
      <c r="F1300" s="195">
        <f t="shared" si="211"/>
        <v>402.64426597478359</v>
      </c>
      <c r="G1300" s="10"/>
      <c r="I1300" s="10"/>
    </row>
    <row r="1301" spans="3:12" x14ac:dyDescent="0.3">
      <c r="C1301" s="12" t="s">
        <v>177</v>
      </c>
      <c r="D1301" s="25">
        <v>0.89664323500962595</v>
      </c>
      <c r="E1301" s="194">
        <f t="shared" si="211"/>
        <v>275.05371166785648</v>
      </c>
      <c r="F1301" s="194">
        <f t="shared" si="211"/>
        <v>430.67355964765699</v>
      </c>
      <c r="G1301" s="10"/>
      <c r="I1301" s="10"/>
    </row>
    <row r="1302" spans="3:12" x14ac:dyDescent="0.3">
      <c r="C1302" s="3" t="s">
        <v>726</v>
      </c>
      <c r="D1302" s="10"/>
      <c r="E1302" s="10"/>
      <c r="F1302" s="10"/>
      <c r="G1302" s="10"/>
      <c r="H1302" s="10"/>
      <c r="I1302" s="10"/>
    </row>
    <row r="1303" spans="3:12" x14ac:dyDescent="0.3">
      <c r="C1303" s="3" t="s">
        <v>727</v>
      </c>
      <c r="D1303" s="10"/>
      <c r="E1303" s="10"/>
      <c r="F1303" s="10"/>
      <c r="G1303" s="10"/>
      <c r="H1303" s="10"/>
      <c r="I1303" s="10"/>
    </row>
    <row r="1305" spans="3:12" x14ac:dyDescent="0.3">
      <c r="C1305" s="4" t="s">
        <v>949</v>
      </c>
    </row>
    <row r="1306" spans="3:12" x14ac:dyDescent="0.3">
      <c r="C1306" s="113"/>
      <c r="D1306" s="92" t="str">
        <f>D1234</f>
        <v>Within 14 days</v>
      </c>
      <c r="E1306" s="92"/>
      <c r="F1306" s="115"/>
      <c r="G1306" s="92" t="str">
        <f>F1234</f>
        <v>After 14 days</v>
      </c>
      <c r="H1306" s="92"/>
      <c r="I1306" s="115"/>
      <c r="J1306" s="92" t="s">
        <v>282</v>
      </c>
      <c r="K1306" s="92"/>
      <c r="L1306" s="92"/>
    </row>
    <row r="1307" spans="3:12" x14ac:dyDescent="0.3">
      <c r="C1307" s="42"/>
      <c r="D1307" s="43" t="s">
        <v>17</v>
      </c>
      <c r="E1307" s="43" t="s">
        <v>245</v>
      </c>
      <c r="F1307" s="222" t="s">
        <v>949</v>
      </c>
      <c r="G1307" s="43" t="s">
        <v>17</v>
      </c>
      <c r="H1307" s="43" t="s">
        <v>245</v>
      </c>
      <c r="I1307" s="222" t="s">
        <v>949</v>
      </c>
      <c r="J1307" s="43" t="s">
        <v>17</v>
      </c>
      <c r="K1307" s="43" t="s">
        <v>245</v>
      </c>
      <c r="L1307" s="43" t="s">
        <v>949</v>
      </c>
    </row>
    <row r="1308" spans="3:12" x14ac:dyDescent="0.3">
      <c r="C1308" s="114" t="s">
        <v>708</v>
      </c>
      <c r="D1308" s="223">
        <f t="shared" ref="D1308:D1313" si="212">$D1250/E1296</f>
        <v>-9.4017189623573527E-2</v>
      </c>
      <c r="E1308" s="223">
        <f t="shared" ref="E1308:E1313" si="213">$D1250/F1296</f>
        <v>-5.8894962833044774E-2</v>
      </c>
      <c r="F1308" s="224">
        <f t="shared" ref="F1308:F1313" si="214">AVERAGE(D1308:E1308)</f>
        <v>-7.6456076228309147E-2</v>
      </c>
      <c r="G1308" s="223">
        <f t="shared" ref="G1308:H1313" si="215">$F1250/E1296</f>
        <v>-0.11092066331027699</v>
      </c>
      <c r="H1308" s="223">
        <f t="shared" si="215"/>
        <v>-6.9483765354303451E-2</v>
      </c>
      <c r="I1308" s="413">
        <f t="shared" ref="I1308:I1313" si="216">AVERAGE(G1308:H1308)</f>
        <v>-9.0202214332290226E-2</v>
      </c>
      <c r="J1308" s="223">
        <f t="shared" ref="J1308:K1313" si="217">$H1250/E1296</f>
        <v>-0.10246892646692526</v>
      </c>
      <c r="K1308" s="223">
        <f t="shared" si="217"/>
        <v>-6.4189364093674109E-2</v>
      </c>
      <c r="L1308" s="223">
        <f t="shared" ref="L1308:L1313" si="218">AVERAGE(J1308:K1308)</f>
        <v>-8.3329145280299693E-2</v>
      </c>
    </row>
    <row r="1309" spans="3:12" x14ac:dyDescent="0.3">
      <c r="C1309" s="114" t="s">
        <v>709</v>
      </c>
      <c r="D1309" s="223">
        <f t="shared" si="212"/>
        <v>6.5334286010570397E-2</v>
      </c>
      <c r="E1309" s="223">
        <f t="shared" si="213"/>
        <v>3.8643012284194166E-2</v>
      </c>
      <c r="F1309" s="224">
        <f t="shared" si="214"/>
        <v>5.1988649147382285E-2</v>
      </c>
      <c r="G1309" s="223">
        <f t="shared" si="215"/>
        <v>0.23471075941066391</v>
      </c>
      <c r="H1309" s="223">
        <f t="shared" si="215"/>
        <v>0.13882344650818421</v>
      </c>
      <c r="I1309" s="224">
        <f t="shared" si="216"/>
        <v>0.18676710295942406</v>
      </c>
      <c r="J1309" s="223">
        <f t="shared" si="217"/>
        <v>0.15002252271061714</v>
      </c>
      <c r="K1309" s="223">
        <f t="shared" si="217"/>
        <v>8.8733229396189189E-2</v>
      </c>
      <c r="L1309" s="223">
        <f t="shared" si="218"/>
        <v>0.11937787605340316</v>
      </c>
    </row>
    <row r="1310" spans="3:12" x14ac:dyDescent="0.3">
      <c r="C1310" s="114" t="s">
        <v>710</v>
      </c>
      <c r="D1310" s="223">
        <f t="shared" si="212"/>
        <v>0.16218439239791313</v>
      </c>
      <c r="E1310" s="223">
        <f t="shared" si="213"/>
        <v>9.5254220152825989E-2</v>
      </c>
      <c r="F1310" s="224">
        <f t="shared" si="214"/>
        <v>0.12871930627536957</v>
      </c>
      <c r="G1310" s="223">
        <f t="shared" si="215"/>
        <v>0.22929766657949943</v>
      </c>
      <c r="H1310" s="223">
        <f t="shared" si="215"/>
        <v>0.13467122261250319</v>
      </c>
      <c r="I1310" s="224">
        <f t="shared" si="216"/>
        <v>0.18198444459600133</v>
      </c>
      <c r="J1310" s="223">
        <f t="shared" si="217"/>
        <v>0.19574102948870631</v>
      </c>
      <c r="K1310" s="223">
        <f t="shared" si="217"/>
        <v>0.1149627213826646</v>
      </c>
      <c r="L1310" s="223">
        <f t="shared" si="218"/>
        <v>0.15535187543568546</v>
      </c>
    </row>
    <row r="1311" spans="3:12" x14ac:dyDescent="0.3">
      <c r="C1311" s="114" t="s">
        <v>711</v>
      </c>
      <c r="D1311" s="223">
        <f t="shared" si="212"/>
        <v>1.4456712139982899E-2</v>
      </c>
      <c r="E1311" s="223">
        <f t="shared" si="213"/>
        <v>8.6928558937789443E-3</v>
      </c>
      <c r="F1311" s="224">
        <f t="shared" si="214"/>
        <v>1.1574784016880921E-2</v>
      </c>
      <c r="G1311" s="223">
        <f t="shared" si="215"/>
        <v>0.19573442351861906</v>
      </c>
      <c r="H1311" s="223">
        <f t="shared" si="215"/>
        <v>0.1176955811683793</v>
      </c>
      <c r="I1311" s="224">
        <f t="shared" si="216"/>
        <v>0.15671500234349917</v>
      </c>
      <c r="J1311" s="223">
        <f t="shared" si="217"/>
        <v>0.10509556782930098</v>
      </c>
      <c r="K1311" s="223">
        <f t="shared" si="217"/>
        <v>6.3194218531079122E-2</v>
      </c>
      <c r="L1311" s="223">
        <f t="shared" si="218"/>
        <v>8.4144893180190056E-2</v>
      </c>
    </row>
    <row r="1312" spans="3:12" x14ac:dyDescent="0.3">
      <c r="C1312" s="114" t="s">
        <v>147</v>
      </c>
      <c r="D1312" s="223">
        <f t="shared" si="212"/>
        <v>3.3312496257625536E-2</v>
      </c>
      <c r="E1312" s="223">
        <f t="shared" si="213"/>
        <v>2.0437395227963725E-2</v>
      </c>
      <c r="F1312" s="224">
        <f t="shared" si="214"/>
        <v>2.6874945742794629E-2</v>
      </c>
      <c r="G1312" s="223">
        <f t="shared" si="215"/>
        <v>5.8484096905324592E-2</v>
      </c>
      <c r="H1312" s="223">
        <f t="shared" si="215"/>
        <v>3.5880307310534931E-2</v>
      </c>
      <c r="I1312" s="224">
        <f t="shared" si="216"/>
        <v>4.7182202107929762E-2</v>
      </c>
      <c r="J1312" s="223">
        <f t="shared" si="217"/>
        <v>4.5898296581475061E-2</v>
      </c>
      <c r="K1312" s="223">
        <f t="shared" si="217"/>
        <v>2.815885126924933E-2</v>
      </c>
      <c r="L1312" s="223">
        <f t="shared" si="218"/>
        <v>3.7028573925362199E-2</v>
      </c>
    </row>
    <row r="1313" spans="2:12" x14ac:dyDescent="0.3">
      <c r="C1313" s="42" t="s">
        <v>712</v>
      </c>
      <c r="D1313" s="223">
        <f t="shared" si="212"/>
        <v>-8.9080782991169394E-2</v>
      </c>
      <c r="E1313" s="223">
        <f t="shared" si="213"/>
        <v>-5.6892278272308139E-2</v>
      </c>
      <c r="F1313" s="224">
        <f t="shared" si="214"/>
        <v>-7.2986530631738766E-2</v>
      </c>
      <c r="G1313" s="223">
        <f t="shared" si="215"/>
        <v>4.3547858079676233E-2</v>
      </c>
      <c r="H1313" s="223">
        <f t="shared" si="215"/>
        <v>2.7812248353020444E-2</v>
      </c>
      <c r="I1313" s="224">
        <f t="shared" si="216"/>
        <v>3.5680053216348338E-2</v>
      </c>
      <c r="J1313" s="223">
        <f t="shared" si="217"/>
        <v>-2.2766462455746581E-2</v>
      </c>
      <c r="K1313" s="223">
        <f t="shared" si="217"/>
        <v>-1.4540014959643847E-2</v>
      </c>
      <c r="L1313" s="223">
        <f t="shared" si="218"/>
        <v>-1.8653238707695214E-2</v>
      </c>
    </row>
    <row r="1315" spans="2:12" x14ac:dyDescent="0.3">
      <c r="C1315" s="113"/>
      <c r="D1315" s="92" t="s">
        <v>949</v>
      </c>
      <c r="E1315" s="92"/>
      <c r="F1315" s="115"/>
      <c r="G1315" s="92" t="s">
        <v>956</v>
      </c>
      <c r="H1315" s="92"/>
      <c r="I1315" s="92"/>
    </row>
    <row r="1316" spans="2:12" x14ac:dyDescent="0.3">
      <c r="C1316" s="42"/>
      <c r="D1316" s="43" t="s">
        <v>282</v>
      </c>
      <c r="E1316" s="43" t="s">
        <v>704</v>
      </c>
      <c r="F1316" s="222" t="s">
        <v>705</v>
      </c>
      <c r="G1316" s="43" t="s">
        <v>282</v>
      </c>
      <c r="H1316" s="43" t="s">
        <v>704</v>
      </c>
      <c r="I1316" s="43" t="s">
        <v>705</v>
      </c>
    </row>
    <row r="1317" spans="2:12" x14ac:dyDescent="0.3">
      <c r="C1317" s="114" t="str">
        <f t="shared" ref="C1317:C1322" si="219">C1277</f>
        <v>Mask mandates</v>
      </c>
      <c r="D1317" s="223">
        <f t="shared" ref="D1317:D1322" si="220">L1308</f>
        <v>-8.3329145280299693E-2</v>
      </c>
      <c r="E1317" s="223">
        <f t="shared" ref="E1317:E1322" si="221">F1308</f>
        <v>-7.6456076228309147E-2</v>
      </c>
      <c r="F1317" s="224">
        <f t="shared" ref="F1317:F1322" si="222">I1308</f>
        <v>-9.0202214332290226E-2</v>
      </c>
      <c r="G1317" s="223">
        <f t="shared" ref="G1317:G1322" si="223">D1317/H1250*I1250</f>
        <v>0.1190967376087468</v>
      </c>
      <c r="H1317" s="223">
        <f t="shared" ref="H1317:H1322" si="224">E1317/D1250*E1250</f>
        <v>0.16083698337895425</v>
      </c>
      <c r="I1317" s="223">
        <f t="shared" ref="I1317:I1322" si="225">F1317/F1250*G1250</f>
        <v>4.9995305736152428E-2</v>
      </c>
      <c r="J1317" s="10"/>
      <c r="K1317" s="10"/>
    </row>
    <row r="1318" spans="2:12" x14ac:dyDescent="0.3">
      <c r="C1318" s="114" t="str">
        <f t="shared" si="219"/>
        <v>International travel bans</v>
      </c>
      <c r="D1318" s="223">
        <f t="shared" si="220"/>
        <v>0.11937787605340316</v>
      </c>
      <c r="E1318" s="223">
        <f t="shared" si="221"/>
        <v>5.1988649147382285E-2</v>
      </c>
      <c r="F1318" s="224">
        <f t="shared" si="222"/>
        <v>0.18676710295942406</v>
      </c>
      <c r="G1318" s="223">
        <f t="shared" si="223"/>
        <v>8.3607391774634748E-2</v>
      </c>
      <c r="H1318" s="223">
        <f t="shared" si="224"/>
        <v>5.1232835905701588E-2</v>
      </c>
      <c r="I1318" s="223">
        <f t="shared" si="225"/>
        <v>0.10656260340182187</v>
      </c>
      <c r="J1318" s="10"/>
      <c r="K1318" s="10"/>
    </row>
    <row r="1319" spans="2:12" x14ac:dyDescent="0.3">
      <c r="C1319" s="114" t="str">
        <f t="shared" si="219"/>
        <v>Domestic lockdowns (SIPO)</v>
      </c>
      <c r="D1319" s="223">
        <f t="shared" si="220"/>
        <v>0.15535187543568546</v>
      </c>
      <c r="E1319" s="223">
        <f t="shared" si="221"/>
        <v>0.12871930627536957</v>
      </c>
      <c r="F1319" s="224">
        <f t="shared" si="222"/>
        <v>0.18198444459600133</v>
      </c>
      <c r="G1319" s="223">
        <f t="shared" si="223"/>
        <v>8.7029506828140507E-2</v>
      </c>
      <c r="H1319" s="223">
        <f t="shared" si="224"/>
        <v>3.877346586579896E-2</v>
      </c>
      <c r="I1319" s="223">
        <f t="shared" si="225"/>
        <v>0.11681133704505071</v>
      </c>
      <c r="J1319" s="10"/>
      <c r="K1319" s="10"/>
    </row>
    <row r="1320" spans="2:12" x14ac:dyDescent="0.3">
      <c r="C1320" s="114" t="str">
        <f t="shared" si="219"/>
        <v>Mass gathering bans</v>
      </c>
      <c r="D1320" s="223">
        <f t="shared" si="220"/>
        <v>8.4144893180190056E-2</v>
      </c>
      <c r="E1320" s="223">
        <f t="shared" si="221"/>
        <v>1.1574784016880921E-2</v>
      </c>
      <c r="F1320" s="224">
        <f t="shared" si="222"/>
        <v>0.15671500234349917</v>
      </c>
      <c r="G1320" s="223">
        <f t="shared" si="223"/>
        <v>0.12342897162704301</v>
      </c>
      <c r="H1320" s="223">
        <f t="shared" si="224"/>
        <v>7.8819742030661277E-2</v>
      </c>
      <c r="I1320" s="223">
        <f t="shared" si="225"/>
        <v>0.15574617279419348</v>
      </c>
      <c r="J1320" s="10"/>
      <c r="K1320" s="10"/>
    </row>
    <row r="1321" spans="2:12" x14ac:dyDescent="0.3">
      <c r="C1321" s="114" t="str">
        <f t="shared" si="219"/>
        <v>School closures</v>
      </c>
      <c r="D1321" s="223">
        <f t="shared" si="220"/>
        <v>3.7028573925362199E-2</v>
      </c>
      <c r="E1321" s="223">
        <f t="shared" si="221"/>
        <v>2.6874945742794629E-2</v>
      </c>
      <c r="F1321" s="224">
        <f t="shared" si="222"/>
        <v>4.7182202107929762E-2</v>
      </c>
      <c r="G1321" s="223">
        <f t="shared" si="223"/>
        <v>7.2527542738901205E-2</v>
      </c>
      <c r="H1321" s="223">
        <f t="shared" si="224"/>
        <v>7.3737091381798181E-2</v>
      </c>
      <c r="I1321" s="223">
        <f t="shared" si="225"/>
        <v>7.1297477276819732E-2</v>
      </c>
      <c r="J1321" s="10"/>
      <c r="K1321" s="10"/>
    </row>
    <row r="1322" spans="2:12" x14ac:dyDescent="0.3">
      <c r="C1322" s="12" t="str">
        <f t="shared" si="219"/>
        <v>Restaurant closures</v>
      </c>
      <c r="D1322" s="414">
        <f t="shared" si="220"/>
        <v>-1.8653238707695214E-2</v>
      </c>
      <c r="E1322" s="223">
        <f t="shared" si="221"/>
        <v>-7.2986530631738766E-2</v>
      </c>
      <c r="F1322" s="224">
        <f t="shared" si="222"/>
        <v>3.5680053216348338E-2</v>
      </c>
      <c r="G1322" s="223">
        <f t="shared" si="223"/>
        <v>0.13021121491679655</v>
      </c>
      <c r="H1322" s="223">
        <f t="shared" si="224"/>
        <v>5.6141422855945665E-2</v>
      </c>
      <c r="I1322" s="223">
        <f t="shared" si="225"/>
        <v>0.17537976399780639</v>
      </c>
      <c r="J1322" s="10"/>
      <c r="K1322" s="10"/>
    </row>
    <row r="1323" spans="2:12" x14ac:dyDescent="0.3">
      <c r="D1323" s="10"/>
      <c r="E1323" s="10"/>
      <c r="F1323" s="10"/>
      <c r="G1323" s="10"/>
      <c r="H1323" s="10"/>
      <c r="I1323" s="10"/>
      <c r="J1323" s="10"/>
      <c r="K1323" s="10"/>
    </row>
    <row r="1324" spans="2:12" x14ac:dyDescent="0.3">
      <c r="D1324" s="10"/>
      <c r="E1324" s="10"/>
      <c r="F1324" s="10"/>
      <c r="G1324" s="10"/>
      <c r="H1324" s="10"/>
      <c r="I1324" s="10"/>
      <c r="J1324" s="10"/>
      <c r="K1324" s="10"/>
    </row>
    <row r="1325" spans="2:12" s="8" customFormat="1" ht="19.5" x14ac:dyDescent="0.4">
      <c r="B1325" s="8">
        <v>115</v>
      </c>
      <c r="C1325" s="8" t="s">
        <v>728</v>
      </c>
      <c r="D1325" s="8" t="s">
        <v>729</v>
      </c>
      <c r="G1325" s="8" t="s">
        <v>145</v>
      </c>
    </row>
    <row r="1327" spans="2:12" x14ac:dyDescent="0.3">
      <c r="C1327" s="3" t="s">
        <v>730</v>
      </c>
      <c r="G1327" s="3" t="s">
        <v>731</v>
      </c>
    </row>
    <row r="1328" spans="2:12" x14ac:dyDescent="0.3">
      <c r="C1328" s="5"/>
      <c r="D1328" s="5" t="s">
        <v>732</v>
      </c>
      <c r="E1328" s="5" t="s">
        <v>733</v>
      </c>
      <c r="G1328" s="5"/>
      <c r="H1328" s="5" t="s">
        <v>732</v>
      </c>
      <c r="I1328" s="5" t="s">
        <v>733</v>
      </c>
      <c r="K1328" s="5" t="s">
        <v>734</v>
      </c>
      <c r="L1328" s="5" t="s">
        <v>735</v>
      </c>
    </row>
    <row r="1329" spans="2:13" x14ac:dyDescent="0.3">
      <c r="C1329" s="11">
        <v>0.01</v>
      </c>
      <c r="D1329">
        <f>D1330/10</f>
        <v>1.6E-2</v>
      </c>
      <c r="E1329"/>
      <c r="G1329" s="11">
        <v>0.01</v>
      </c>
      <c r="H1329">
        <f>H1330/10</f>
        <v>1.7999999999999999E-2</v>
      </c>
      <c r="I1329"/>
      <c r="K1329" t="s">
        <v>736</v>
      </c>
      <c r="L1329" s="110">
        <f>AVERAGE(E1331,I1331)</f>
        <v>-6.0069444444444453E-2</v>
      </c>
    </row>
    <row r="1330" spans="2:13" x14ac:dyDescent="0.3">
      <c r="C1330" s="11">
        <v>-0.1</v>
      </c>
      <c r="D1330" s="6">
        <v>0.16</v>
      </c>
      <c r="E1330"/>
      <c r="G1330" s="11">
        <v>-0.1</v>
      </c>
      <c r="H1330" s="14">
        <v>0.18</v>
      </c>
      <c r="I1330"/>
      <c r="K1330" s="12" t="s">
        <v>956</v>
      </c>
      <c r="L1330" s="13">
        <f>SQRT(SUMSQ(I1332,E1332)/COUNT(I1332,E1332))</f>
        <v>0.24514577421869618</v>
      </c>
    </row>
    <row r="1331" spans="2:13" x14ac:dyDescent="0.3">
      <c r="C1331" t="s">
        <v>737</v>
      </c>
      <c r="D1331" s="6">
        <v>0.13</v>
      </c>
      <c r="E1331" s="110">
        <f>D1331/D1330*C1330</f>
        <v>-8.1250000000000003E-2</v>
      </c>
      <c r="G1331" t="s">
        <v>737</v>
      </c>
      <c r="H1331" s="14">
        <v>7.0000000000000007E-2</v>
      </c>
      <c r="I1331" s="110">
        <f>H1331/H1330*G1330</f>
        <v>-3.8888888888888896E-2</v>
      </c>
      <c r="M1331" s="10"/>
    </row>
    <row r="1332" spans="2:13" x14ac:dyDescent="0.3">
      <c r="C1332" s="12" t="s">
        <v>738</v>
      </c>
      <c r="D1332" s="7">
        <v>0.44</v>
      </c>
      <c r="E1332" s="13">
        <f>(D1332)/D1329/100</f>
        <v>0.27500000000000002</v>
      </c>
      <c r="G1332" s="12" t="s">
        <v>738</v>
      </c>
      <c r="H1332" s="7">
        <v>0.38</v>
      </c>
      <c r="I1332" s="13">
        <f>H1332/H1329/100</f>
        <v>0.21111111111111114</v>
      </c>
      <c r="M1332" s="152"/>
    </row>
    <row r="1337" spans="2:13" s="8" customFormat="1" ht="19.5" x14ac:dyDescent="0.4">
      <c r="B1337" s="8">
        <v>136</v>
      </c>
      <c r="C1337" s="8" t="s" cm="1">
        <v>739</v>
      </c>
      <c r="D1337" s="8" t="s" cm="1">
        <v>740</v>
      </c>
      <c r="G1337" s="8" t="s">
        <v>136</v>
      </c>
    </row>
    <row r="1341" spans="2:13" x14ac:dyDescent="0.3">
      <c r="C1341" s="52" t="s">
        <v>741</v>
      </c>
      <c r="D1341" s="52" t="s">
        <v>742</v>
      </c>
      <c r="E1341" s="52"/>
      <c r="F1341" s="52" t="s">
        <v>743</v>
      </c>
      <c r="G1341" s="52"/>
      <c r="H1341" s="52" t="s">
        <v>744</v>
      </c>
      <c r="I1341" s="52"/>
      <c r="J1341" s="52" t="s">
        <v>745</v>
      </c>
      <c r="K1341" s="5"/>
    </row>
    <row r="1342" spans="2:13" outlineLevel="1" x14ac:dyDescent="0.3">
      <c r="C1342" s="191" t="s">
        <v>746</v>
      </c>
      <c r="D1342" s="6">
        <v>4.53</v>
      </c>
      <c r="E1342" s="200"/>
      <c r="F1342" s="201">
        <v>4.08</v>
      </c>
      <c r="G1342" s="200"/>
      <c r="H1342" s="201">
        <v>4.5</v>
      </c>
      <c r="I1342" s="200"/>
      <c r="J1342" s="6">
        <v>4.5199999999999996</v>
      </c>
      <c r="K1342" s="6"/>
    </row>
    <row r="1343" spans="2:13" outlineLevel="1" x14ac:dyDescent="0.3">
      <c r="C1343" s="114"/>
      <c r="D1343" s="192" t="s">
        <v>747</v>
      </c>
      <c r="E1343" s="202" t="s">
        <v>748</v>
      </c>
      <c r="F1343" s="203" t="s">
        <v>747</v>
      </c>
      <c r="G1343" s="202" t="s">
        <v>748</v>
      </c>
      <c r="H1343" s="203" t="s">
        <v>747</v>
      </c>
      <c r="I1343" s="202" t="s">
        <v>748</v>
      </c>
      <c r="J1343" s="192" t="s">
        <v>747</v>
      </c>
      <c r="K1343" s="192" t="s">
        <v>748</v>
      </c>
    </row>
    <row r="1344" spans="2:13" outlineLevel="1" x14ac:dyDescent="0.3">
      <c r="C1344" s="114">
        <v>0</v>
      </c>
      <c r="D1344" s="6">
        <v>0</v>
      </c>
      <c r="E1344" s="184">
        <v>0.3</v>
      </c>
      <c r="F1344" s="197">
        <v>-0.22</v>
      </c>
      <c r="G1344" s="184">
        <v>0.23</v>
      </c>
      <c r="H1344" s="197">
        <v>0.21</v>
      </c>
      <c r="I1344" s="184">
        <v>0.77</v>
      </c>
      <c r="J1344" s="6">
        <v>0.02</v>
      </c>
      <c r="K1344" s="6">
        <v>0.3</v>
      </c>
    </row>
    <row r="1345" spans="3:11" outlineLevel="1" x14ac:dyDescent="0.3">
      <c r="C1345" s="114">
        <v>1</v>
      </c>
      <c r="D1345" s="6">
        <v>0.04</v>
      </c>
      <c r="E1345" s="184">
        <v>0.42</v>
      </c>
      <c r="F1345" s="197">
        <v>-0.21</v>
      </c>
      <c r="G1345" s="184">
        <v>0.23</v>
      </c>
      <c r="H1345" s="197">
        <v>-0.04</v>
      </c>
      <c r="I1345" s="184">
        <v>0.3</v>
      </c>
      <c r="J1345" s="6">
        <v>0</v>
      </c>
      <c r="K1345" s="6">
        <v>0.32</v>
      </c>
    </row>
    <row r="1346" spans="3:11" outlineLevel="1" x14ac:dyDescent="0.3">
      <c r="C1346" s="114">
        <v>2</v>
      </c>
      <c r="D1346" s="6">
        <v>0.06</v>
      </c>
      <c r="E1346" s="184">
        <v>0.42</v>
      </c>
      <c r="F1346" s="197">
        <v>-0.23</v>
      </c>
      <c r="G1346" s="184">
        <v>0.23</v>
      </c>
      <c r="H1346" s="197">
        <v>-0.03</v>
      </c>
      <c r="I1346" s="184">
        <v>0.37</v>
      </c>
      <c r="J1346" s="6">
        <v>0.13</v>
      </c>
      <c r="K1346" s="6">
        <v>0.41</v>
      </c>
    </row>
    <row r="1347" spans="3:11" outlineLevel="1" x14ac:dyDescent="0.3">
      <c r="C1347" s="114">
        <v>3</v>
      </c>
      <c r="D1347" s="6">
        <v>-0.04</v>
      </c>
      <c r="E1347" s="184">
        <v>0.26</v>
      </c>
      <c r="F1347" s="197">
        <v>-0.21</v>
      </c>
      <c r="G1347" s="184">
        <v>0.31</v>
      </c>
      <c r="H1347" s="197">
        <v>-0.04</v>
      </c>
      <c r="I1347" s="184">
        <v>0.33</v>
      </c>
      <c r="J1347" s="6">
        <v>0.12</v>
      </c>
      <c r="K1347" s="6">
        <v>0.38</v>
      </c>
    </row>
    <row r="1348" spans="3:11" outlineLevel="1" x14ac:dyDescent="0.3">
      <c r="C1348" s="114">
        <v>4</v>
      </c>
      <c r="D1348" s="6">
        <v>0.02</v>
      </c>
      <c r="E1348" s="184">
        <v>0.42</v>
      </c>
      <c r="F1348" s="197">
        <v>0.22</v>
      </c>
      <c r="G1348" s="184">
        <v>0.95</v>
      </c>
      <c r="H1348" s="197">
        <v>0.08</v>
      </c>
      <c r="I1348" s="184">
        <v>0.43</v>
      </c>
      <c r="J1348" s="6">
        <v>7.0000000000000007E-2</v>
      </c>
      <c r="K1348" s="6">
        <v>0.34</v>
      </c>
    </row>
    <row r="1349" spans="3:11" outlineLevel="1" x14ac:dyDescent="0.3">
      <c r="C1349" s="114">
        <v>5</v>
      </c>
      <c r="D1349" s="6">
        <v>0.18</v>
      </c>
      <c r="E1349" s="184">
        <v>0.66</v>
      </c>
      <c r="F1349" s="197">
        <v>-7.0000000000000007E-2</v>
      </c>
      <c r="G1349" s="184">
        <v>0.49</v>
      </c>
      <c r="H1349" s="197">
        <v>0.04</v>
      </c>
      <c r="I1349" s="184">
        <v>0.42</v>
      </c>
      <c r="J1349" s="6">
        <v>0.13</v>
      </c>
      <c r="K1349" s="6">
        <v>0.37</v>
      </c>
    </row>
    <row r="1350" spans="3:11" outlineLevel="1" x14ac:dyDescent="0.3">
      <c r="C1350" s="114">
        <v>6</v>
      </c>
      <c r="D1350" s="6">
        <v>0.14000000000000001</v>
      </c>
      <c r="E1350" s="184">
        <v>0.56999999999999995</v>
      </c>
      <c r="F1350" s="197">
        <v>-0.08</v>
      </c>
      <c r="G1350" s="184">
        <v>0.46</v>
      </c>
      <c r="H1350" s="197">
        <v>-0.03</v>
      </c>
      <c r="I1350" s="184">
        <v>0.28999999999999998</v>
      </c>
      <c r="J1350" s="6">
        <v>0.09</v>
      </c>
      <c r="K1350" s="6">
        <v>0.37</v>
      </c>
    </row>
    <row r="1351" spans="3:11" outlineLevel="1" x14ac:dyDescent="0.3">
      <c r="C1351" s="114">
        <v>7</v>
      </c>
      <c r="D1351" s="6">
        <v>0.24</v>
      </c>
      <c r="E1351" s="184">
        <v>0.74</v>
      </c>
      <c r="F1351" s="197">
        <v>-0.18</v>
      </c>
      <c r="G1351" s="184">
        <v>0.3</v>
      </c>
      <c r="H1351" s="197">
        <v>0.06</v>
      </c>
      <c r="I1351" s="184">
        <v>0.42</v>
      </c>
      <c r="J1351" s="6">
        <v>0.12</v>
      </c>
      <c r="K1351" s="6">
        <v>0.38</v>
      </c>
    </row>
    <row r="1352" spans="3:11" outlineLevel="1" x14ac:dyDescent="0.3">
      <c r="C1352" s="114">
        <v>8</v>
      </c>
      <c r="D1352" s="6">
        <v>0.28000000000000003</v>
      </c>
      <c r="E1352" s="184">
        <v>0.85</v>
      </c>
      <c r="F1352" s="197">
        <v>-0.02</v>
      </c>
      <c r="G1352" s="184">
        <v>0.55000000000000004</v>
      </c>
      <c r="H1352" s="197">
        <v>0.04</v>
      </c>
      <c r="I1352" s="184">
        <v>0.4</v>
      </c>
      <c r="J1352" s="6">
        <v>0.21</v>
      </c>
      <c r="K1352" s="6">
        <v>0.46</v>
      </c>
    </row>
    <row r="1353" spans="3:11" outlineLevel="1" x14ac:dyDescent="0.3">
      <c r="C1353" s="114">
        <v>9</v>
      </c>
      <c r="D1353" s="6">
        <v>0.28000000000000003</v>
      </c>
      <c r="E1353" s="6">
        <v>0.88</v>
      </c>
      <c r="F1353" s="197">
        <v>0.04</v>
      </c>
      <c r="G1353" s="184">
        <v>0.62</v>
      </c>
      <c r="H1353" s="197">
        <v>0.14000000000000001</v>
      </c>
      <c r="I1353" s="184">
        <v>0.47</v>
      </c>
      <c r="J1353" s="6">
        <v>0.24</v>
      </c>
      <c r="K1353" s="6">
        <v>0.47</v>
      </c>
    </row>
    <row r="1354" spans="3:11" outlineLevel="1" x14ac:dyDescent="0.3">
      <c r="C1354" s="114">
        <v>10</v>
      </c>
      <c r="D1354" s="6">
        <v>0.38</v>
      </c>
      <c r="E1354" s="184">
        <v>1.25</v>
      </c>
      <c r="F1354" s="197">
        <v>-0.15</v>
      </c>
      <c r="G1354" s="184">
        <v>0.37</v>
      </c>
      <c r="H1354" s="197">
        <v>0.16</v>
      </c>
      <c r="I1354" s="184">
        <v>0.47</v>
      </c>
      <c r="J1354" s="6">
        <v>0.37</v>
      </c>
      <c r="K1354" s="6">
        <v>0.72</v>
      </c>
    </row>
    <row r="1355" spans="3:11" outlineLevel="1" x14ac:dyDescent="0.3">
      <c r="C1355" s="114">
        <v>11</v>
      </c>
      <c r="D1355" s="6">
        <v>-7.0000000000000007E-2</v>
      </c>
      <c r="E1355" s="184">
        <v>0.21</v>
      </c>
      <c r="F1355" s="197">
        <v>-0.17</v>
      </c>
      <c r="G1355" s="184">
        <v>0.38</v>
      </c>
      <c r="H1355" s="197">
        <v>0.1</v>
      </c>
      <c r="I1355" s="184">
        <v>0.44</v>
      </c>
      <c r="J1355" s="6">
        <v>0.4</v>
      </c>
      <c r="K1355" s="6">
        <v>0.77</v>
      </c>
    </row>
    <row r="1356" spans="3:11" outlineLevel="1" x14ac:dyDescent="0.3">
      <c r="C1356" s="42">
        <v>12</v>
      </c>
      <c r="D1356" s="7"/>
      <c r="E1356" s="198"/>
      <c r="F1356" s="199">
        <v>-7.0000000000000007E-2</v>
      </c>
      <c r="G1356" s="198">
        <v>0.56999999999999995</v>
      </c>
      <c r="H1356" s="199">
        <v>0.2</v>
      </c>
      <c r="I1356" s="198">
        <v>0.66</v>
      </c>
      <c r="J1356" s="7">
        <v>1.06</v>
      </c>
      <c r="K1356" s="7">
        <v>1.52</v>
      </c>
    </row>
    <row r="1357" spans="3:11" outlineLevel="1" x14ac:dyDescent="0.3">
      <c r="C1357" s="3" t="s">
        <v>749</v>
      </c>
    </row>
    <row r="1358" spans="3:11" outlineLevel="1" x14ac:dyDescent="0.3"/>
    <row r="1359" spans="3:11" outlineLevel="1" x14ac:dyDescent="0.3">
      <c r="C1359" s="4" t="s">
        <v>750</v>
      </c>
    </row>
    <row r="1360" spans="3:11" outlineLevel="1" x14ac:dyDescent="0.3">
      <c r="C1360" s="323" t="s">
        <v>751</v>
      </c>
      <c r="D1360" s="324" t="s">
        <v>742</v>
      </c>
      <c r="E1360" s="325"/>
      <c r="F1360" s="324" t="s">
        <v>743</v>
      </c>
      <c r="G1360" s="325"/>
      <c r="H1360" s="324" t="s">
        <v>744</v>
      </c>
      <c r="I1360" s="325"/>
      <c r="J1360" s="324" t="s">
        <v>745</v>
      </c>
      <c r="K1360" s="324"/>
    </row>
    <row r="1361" spans="3:11" outlineLevel="1" x14ac:dyDescent="0.3">
      <c r="C1361" s="136" t="s">
        <v>635</v>
      </c>
      <c r="D1361" s="5" t="s">
        <v>747</v>
      </c>
      <c r="E1361" s="136" t="s">
        <v>15</v>
      </c>
      <c r="F1361" s="5" t="s">
        <v>747</v>
      </c>
      <c r="G1361" s="136" t="s">
        <v>748</v>
      </c>
      <c r="H1361" s="5" t="s">
        <v>747</v>
      </c>
      <c r="I1361" s="136" t="s">
        <v>748</v>
      </c>
      <c r="J1361" s="5" t="s">
        <v>747</v>
      </c>
      <c r="K1361" s="5" t="s">
        <v>748</v>
      </c>
    </row>
    <row r="1362" spans="3:11" outlineLevel="1" x14ac:dyDescent="0.3">
      <c r="C1362" s="114">
        <v>0</v>
      </c>
      <c r="D1362" s="156">
        <f t="shared" ref="D1362:D1373" si="226">D1344/($D$1342/4)</f>
        <v>0</v>
      </c>
      <c r="E1362" s="204">
        <f t="shared" ref="E1362:E1373" si="227">(E1344/($D$1342/4))/3.92</f>
        <v>6.7576699553993771E-2</v>
      </c>
      <c r="F1362" s="156">
        <f t="shared" ref="F1362:F1374" si="228">F1344/($F$1342/4)</f>
        <v>-0.21568627450980393</v>
      </c>
      <c r="G1362" s="204">
        <f t="shared" ref="G1362:G1374" si="229">(G1344/($F$1342/4))/3.92</f>
        <v>5.7523009203681474E-2</v>
      </c>
      <c r="H1362" s="156">
        <f t="shared" ref="H1362:H1374" si="230">H1344/($H$1342/4)</f>
        <v>0.18666666666666665</v>
      </c>
      <c r="I1362" s="204">
        <f t="shared" ref="I1362:I1374" si="231">(I1344/($H$1342/4))/3.92</f>
        <v>0.17460317460317459</v>
      </c>
      <c r="J1362" s="156">
        <f t="shared" ref="J1362:J1374" si="232">J1344/($J$1342/4)</f>
        <v>1.7699115044247791E-2</v>
      </c>
      <c r="K1362" s="156">
        <f t="shared" ref="K1362:K1374" si="233">(K1344/($J$1342/4))/3.92</f>
        <v>6.7726205526458375E-2</v>
      </c>
    </row>
    <row r="1363" spans="3:11" outlineLevel="1" x14ac:dyDescent="0.3">
      <c r="C1363" s="114">
        <v>1</v>
      </c>
      <c r="D1363" s="156">
        <f t="shared" si="226"/>
        <v>3.5320088300220751E-2</v>
      </c>
      <c r="E1363" s="204">
        <f t="shared" si="227"/>
        <v>9.4607379375591286E-2</v>
      </c>
      <c r="F1363" s="156">
        <f t="shared" si="228"/>
        <v>-0.20588235294117646</v>
      </c>
      <c r="G1363" s="204">
        <f t="shared" si="229"/>
        <v>5.7523009203681474E-2</v>
      </c>
      <c r="H1363" s="156">
        <f t="shared" si="230"/>
        <v>-3.5555555555555556E-2</v>
      </c>
      <c r="I1363" s="204">
        <f t="shared" si="231"/>
        <v>6.8027210884353748E-2</v>
      </c>
      <c r="J1363" s="156">
        <f t="shared" si="232"/>
        <v>0</v>
      </c>
      <c r="K1363" s="156">
        <f t="shared" si="233"/>
        <v>7.2241285894888943E-2</v>
      </c>
    </row>
    <row r="1364" spans="3:11" outlineLevel="1" x14ac:dyDescent="0.3">
      <c r="C1364" s="114">
        <v>2</v>
      </c>
      <c r="D1364" s="156">
        <f t="shared" si="226"/>
        <v>5.2980132450331119E-2</v>
      </c>
      <c r="E1364" s="204">
        <f t="shared" si="227"/>
        <v>9.4607379375591286E-2</v>
      </c>
      <c r="F1364" s="156">
        <f t="shared" si="228"/>
        <v>-0.22549019607843138</v>
      </c>
      <c r="G1364" s="204">
        <f t="shared" si="229"/>
        <v>5.7523009203681474E-2</v>
      </c>
      <c r="H1364" s="156">
        <f t="shared" si="230"/>
        <v>-2.6666666666666665E-2</v>
      </c>
      <c r="I1364" s="204">
        <f t="shared" si="231"/>
        <v>8.390022675736962E-2</v>
      </c>
      <c r="J1364" s="156">
        <f t="shared" si="232"/>
        <v>0.11504424778761063</v>
      </c>
      <c r="K1364" s="156">
        <f t="shared" si="233"/>
        <v>9.2559147552826446E-2</v>
      </c>
    </row>
    <row r="1365" spans="3:11" outlineLevel="1" x14ac:dyDescent="0.3">
      <c r="C1365" s="114">
        <v>3</v>
      </c>
      <c r="D1365" s="156">
        <f t="shared" si="226"/>
        <v>-3.5320088300220751E-2</v>
      </c>
      <c r="E1365" s="204">
        <f t="shared" si="227"/>
        <v>5.8566472946794616E-2</v>
      </c>
      <c r="F1365" s="156">
        <f t="shared" si="228"/>
        <v>-0.20588235294117646</v>
      </c>
      <c r="G1365" s="204">
        <f t="shared" si="229"/>
        <v>7.7531012404961977E-2</v>
      </c>
      <c r="H1365" s="156">
        <f t="shared" si="230"/>
        <v>-3.5555555555555556E-2</v>
      </c>
      <c r="I1365" s="204">
        <f t="shared" si="231"/>
        <v>7.4829931972789115E-2</v>
      </c>
      <c r="J1365" s="156">
        <f t="shared" si="232"/>
        <v>0.10619469026548674</v>
      </c>
      <c r="K1365" s="156">
        <f t="shared" si="233"/>
        <v>8.5786527000180607E-2</v>
      </c>
    </row>
    <row r="1366" spans="3:11" outlineLevel="1" x14ac:dyDescent="0.3">
      <c r="C1366" s="114">
        <v>4</v>
      </c>
      <c r="D1366" s="156">
        <f t="shared" si="226"/>
        <v>1.7660044150110375E-2</v>
      </c>
      <c r="E1366" s="204">
        <f t="shared" si="227"/>
        <v>9.4607379375591286E-2</v>
      </c>
      <c r="F1366" s="156">
        <f t="shared" si="228"/>
        <v>0.21568627450980393</v>
      </c>
      <c r="G1366" s="204">
        <f t="shared" si="229"/>
        <v>0.23759503801520607</v>
      </c>
      <c r="H1366" s="156">
        <f t="shared" si="230"/>
        <v>7.1111111111111111E-2</v>
      </c>
      <c r="I1366" s="204">
        <f t="shared" si="231"/>
        <v>9.7505668934240369E-2</v>
      </c>
      <c r="J1366" s="156">
        <f t="shared" si="232"/>
        <v>6.194690265486727E-2</v>
      </c>
      <c r="K1366" s="156">
        <f t="shared" si="233"/>
        <v>7.6756366263319498E-2</v>
      </c>
    </row>
    <row r="1367" spans="3:11" outlineLevel="1" x14ac:dyDescent="0.3">
      <c r="C1367" s="114">
        <v>5</v>
      </c>
      <c r="D1367" s="156">
        <f t="shared" si="226"/>
        <v>0.15894039735099336</v>
      </c>
      <c r="E1367" s="204">
        <f t="shared" si="227"/>
        <v>0.14866873901878633</v>
      </c>
      <c r="F1367" s="156">
        <f t="shared" si="228"/>
        <v>-6.8627450980392163E-2</v>
      </c>
      <c r="G1367" s="204">
        <f t="shared" si="229"/>
        <v>0.12254901960784313</v>
      </c>
      <c r="H1367" s="156">
        <f t="shared" si="230"/>
        <v>3.5555555555555556E-2</v>
      </c>
      <c r="I1367" s="204">
        <f t="shared" si="231"/>
        <v>9.5238095238095233E-2</v>
      </c>
      <c r="J1367" s="156">
        <f t="shared" si="232"/>
        <v>0.11504424778761063</v>
      </c>
      <c r="K1367" s="156">
        <f t="shared" si="233"/>
        <v>8.3528986815965323E-2</v>
      </c>
    </row>
    <row r="1368" spans="3:11" outlineLevel="1" x14ac:dyDescent="0.3">
      <c r="C1368" s="114">
        <v>6</v>
      </c>
      <c r="D1368" s="156">
        <f t="shared" si="226"/>
        <v>0.12362030905077263</v>
      </c>
      <c r="E1368" s="204">
        <f t="shared" si="227"/>
        <v>0.12839572915258818</v>
      </c>
      <c r="F1368" s="156">
        <f t="shared" si="228"/>
        <v>-7.8431372549019607E-2</v>
      </c>
      <c r="G1368" s="204">
        <f t="shared" si="229"/>
        <v>0.11504601840736295</v>
      </c>
      <c r="H1368" s="156">
        <f t="shared" si="230"/>
        <v>-2.6666666666666665E-2</v>
      </c>
      <c r="I1368" s="204">
        <f t="shared" si="231"/>
        <v>6.5759637188208611E-2</v>
      </c>
      <c r="J1368" s="156">
        <f t="shared" si="232"/>
        <v>7.9646017699115043E-2</v>
      </c>
      <c r="K1368" s="156">
        <f t="shared" si="233"/>
        <v>8.3528986815965323E-2</v>
      </c>
    </row>
    <row r="1369" spans="3:11" outlineLevel="1" x14ac:dyDescent="0.3">
      <c r="C1369" s="114">
        <v>7</v>
      </c>
      <c r="D1369" s="156">
        <f t="shared" si="226"/>
        <v>0.21192052980132448</v>
      </c>
      <c r="E1369" s="204">
        <f t="shared" si="227"/>
        <v>0.16668919223318468</v>
      </c>
      <c r="F1369" s="156">
        <f t="shared" si="228"/>
        <v>-0.1764705882352941</v>
      </c>
      <c r="G1369" s="204">
        <f t="shared" si="229"/>
        <v>7.503001200480193E-2</v>
      </c>
      <c r="H1369" s="156">
        <f t="shared" si="230"/>
        <v>5.333333333333333E-2</v>
      </c>
      <c r="I1369" s="204">
        <f t="shared" si="231"/>
        <v>9.5238095238095233E-2</v>
      </c>
      <c r="J1369" s="156">
        <f t="shared" si="232"/>
        <v>0.10619469026548674</v>
      </c>
      <c r="K1369" s="156">
        <f t="shared" si="233"/>
        <v>8.5786527000180607E-2</v>
      </c>
    </row>
    <row r="1370" spans="3:11" outlineLevel="1" x14ac:dyDescent="0.3">
      <c r="C1370" s="114">
        <v>8</v>
      </c>
      <c r="D1370" s="156">
        <f t="shared" si="226"/>
        <v>0.24724061810154527</v>
      </c>
      <c r="E1370" s="204">
        <f t="shared" si="227"/>
        <v>0.19146731540298237</v>
      </c>
      <c r="F1370" s="156">
        <f t="shared" si="228"/>
        <v>-1.9607843137254902E-2</v>
      </c>
      <c r="G1370" s="204">
        <f t="shared" si="229"/>
        <v>0.13755502200880354</v>
      </c>
      <c r="H1370" s="156">
        <f t="shared" si="230"/>
        <v>3.5555555555555556E-2</v>
      </c>
      <c r="I1370" s="204">
        <f t="shared" si="231"/>
        <v>9.0702947845804988E-2</v>
      </c>
      <c r="J1370" s="156">
        <f t="shared" si="232"/>
        <v>0.18584070796460178</v>
      </c>
      <c r="K1370" s="156">
        <f t="shared" si="233"/>
        <v>0.10384684847390285</v>
      </c>
    </row>
    <row r="1371" spans="3:11" outlineLevel="1" x14ac:dyDescent="0.3">
      <c r="C1371" s="114">
        <v>9</v>
      </c>
      <c r="D1371" s="156">
        <f t="shared" si="226"/>
        <v>0.24724061810154527</v>
      </c>
      <c r="E1371" s="204">
        <f t="shared" si="227"/>
        <v>0.19822498535838176</v>
      </c>
      <c r="F1371" s="156">
        <f t="shared" si="228"/>
        <v>3.9215686274509803E-2</v>
      </c>
      <c r="G1371" s="204">
        <f t="shared" si="229"/>
        <v>0.15506202480992395</v>
      </c>
      <c r="H1371" s="156">
        <f t="shared" si="230"/>
        <v>0.12444444444444445</v>
      </c>
      <c r="I1371" s="204">
        <f t="shared" si="231"/>
        <v>0.10657596371882086</v>
      </c>
      <c r="J1371" s="156">
        <f t="shared" si="232"/>
        <v>0.21238938053097348</v>
      </c>
      <c r="K1371" s="156">
        <f t="shared" si="233"/>
        <v>0.10610438865811812</v>
      </c>
    </row>
    <row r="1372" spans="3:11" outlineLevel="1" x14ac:dyDescent="0.3">
      <c r="C1372" s="114">
        <v>10</v>
      </c>
      <c r="D1372" s="156">
        <f t="shared" si="226"/>
        <v>0.33554083885209712</v>
      </c>
      <c r="E1372" s="204">
        <f t="shared" si="227"/>
        <v>0.28156958147497407</v>
      </c>
      <c r="F1372" s="156">
        <f t="shared" si="228"/>
        <v>-0.14705882352941177</v>
      </c>
      <c r="G1372" s="204">
        <f t="shared" si="229"/>
        <v>9.2537014805922371E-2</v>
      </c>
      <c r="H1372" s="156">
        <f t="shared" si="230"/>
        <v>0.14222222222222222</v>
      </c>
      <c r="I1372" s="204">
        <f t="shared" si="231"/>
        <v>0.10657596371882086</v>
      </c>
      <c r="J1372" s="156">
        <f t="shared" si="232"/>
        <v>0.32743362831858408</v>
      </c>
      <c r="K1372" s="156">
        <f t="shared" si="233"/>
        <v>0.1625428932635001</v>
      </c>
    </row>
    <row r="1373" spans="3:11" outlineLevel="1" x14ac:dyDescent="0.3">
      <c r="C1373" s="114">
        <v>11</v>
      </c>
      <c r="D1373" s="156">
        <f t="shared" si="226"/>
        <v>-6.1810154525386317E-2</v>
      </c>
      <c r="E1373" s="204">
        <f t="shared" si="227"/>
        <v>4.7303689687795643E-2</v>
      </c>
      <c r="F1373" s="156">
        <f t="shared" si="228"/>
        <v>-0.16666666666666669</v>
      </c>
      <c r="G1373" s="204">
        <f t="shared" si="229"/>
        <v>9.5038015206082432E-2</v>
      </c>
      <c r="H1373" s="156">
        <f t="shared" si="230"/>
        <v>8.8888888888888892E-2</v>
      </c>
      <c r="I1373" s="204">
        <f t="shared" si="231"/>
        <v>9.9773242630385492E-2</v>
      </c>
      <c r="J1373" s="156">
        <f t="shared" si="232"/>
        <v>0.3539823008849558</v>
      </c>
      <c r="K1373" s="156">
        <f t="shared" si="233"/>
        <v>0.1738305941845765</v>
      </c>
    </row>
    <row r="1374" spans="3:11" outlineLevel="1" x14ac:dyDescent="0.3">
      <c r="C1374" s="42">
        <v>12</v>
      </c>
      <c r="D1374" s="157"/>
      <c r="E1374" s="205"/>
      <c r="F1374" s="157">
        <f t="shared" si="228"/>
        <v>-6.8627450980392163E-2</v>
      </c>
      <c r="G1374" s="205">
        <f t="shared" si="229"/>
        <v>0.14255702280912363</v>
      </c>
      <c r="H1374" s="157">
        <f t="shared" si="230"/>
        <v>0.17777777777777778</v>
      </c>
      <c r="I1374" s="205">
        <f t="shared" si="231"/>
        <v>0.14965986394557823</v>
      </c>
      <c r="J1374" s="157">
        <f t="shared" si="232"/>
        <v>0.93805309734513287</v>
      </c>
      <c r="K1374" s="205">
        <f t="shared" si="233"/>
        <v>0.34314610800072243</v>
      </c>
    </row>
    <row r="1375" spans="3:11" x14ac:dyDescent="0.3">
      <c r="C1375" s="136" t="s">
        <v>752</v>
      </c>
      <c r="D1375" s="157">
        <f>SUM(D1362:D1373)</f>
        <v>1.3333333333333333</v>
      </c>
      <c r="E1375" s="136">
        <f>SQRT(SUMSQ(E1362:E1373))</f>
        <v>0.50861911167830598</v>
      </c>
      <c r="F1375" s="157">
        <f>SUM(F1362:F1374)</f>
        <v>-1.3235294117647061</v>
      </c>
      <c r="G1375" s="136">
        <f>SQRT(SUMSQ(G1362:G1374))</f>
        <v>0.43261523876407493</v>
      </c>
      <c r="H1375" s="157">
        <f t="shared" ref="H1375" si="234">SUM(H1362:H1374)</f>
        <v>0.79111111111111121</v>
      </c>
      <c r="I1375" s="136">
        <f t="shared" ref="I1375" si="235">SQRT(SUMSQ(I1362:I1374))</f>
        <v>0.37818207698422357</v>
      </c>
      <c r="J1375" s="157">
        <f t="shared" ref="J1375" si="236">SUM(J1362:J1374)</f>
        <v>2.6194690265486731</v>
      </c>
      <c r="K1375" s="12">
        <f t="shared" ref="K1375" si="237">SQRT(SUMSQ(K1362:K1374))</f>
        <v>0.4993656434502412</v>
      </c>
    </row>
    <row r="1377" spans="3:10" x14ac:dyDescent="0.3">
      <c r="C1377" s="5" t="s">
        <v>753</v>
      </c>
      <c r="D1377" s="103">
        <f>AVERAGE(D1375,F1375,H1375,J1375)*10</f>
        <v>8.5509601480710291</v>
      </c>
      <c r="E1377" s="3" t="s">
        <v>754</v>
      </c>
    </row>
    <row r="1378" spans="3:10" x14ac:dyDescent="0.3">
      <c r="C1378" s="12" t="s">
        <v>15</v>
      </c>
      <c r="D1378" s="38">
        <f>AVERAGE(E1375,G1375,I1375,K1375)*10</f>
        <v>4.546955177192114</v>
      </c>
      <c r="E1378" s="3" t="s">
        <v>754</v>
      </c>
    </row>
    <row r="1379" spans="3:10" x14ac:dyDescent="0.3">
      <c r="C1379" s="3" t="s">
        <v>755</v>
      </c>
      <c r="D1379" s="19">
        <f>SQRT((E1375^2+G1375^2+I1375^2+K1375^2)/4)*10</f>
        <v>4.5777643964764643</v>
      </c>
    </row>
    <row r="1381" spans="3:10" x14ac:dyDescent="0.3">
      <c r="C1381" s="5"/>
      <c r="D1381" s="5" t="s">
        <v>756</v>
      </c>
      <c r="E1381" s="5" t="s">
        <v>757</v>
      </c>
      <c r="F1381" s="5" t="s">
        <v>758</v>
      </c>
      <c r="G1381" s="5" t="s">
        <v>759</v>
      </c>
      <c r="H1381" s="5" t="s">
        <v>760</v>
      </c>
      <c r="I1381" s="5" t="s">
        <v>761</v>
      </c>
      <c r="J1381" s="5" t="s">
        <v>762</v>
      </c>
    </row>
    <row r="1382" spans="3:10" x14ac:dyDescent="0.3">
      <c r="C1382" t="s">
        <v>763</v>
      </c>
      <c r="D1382" s="188">
        <v>44048</v>
      </c>
      <c r="E1382" s="6">
        <v>476.48</v>
      </c>
      <c r="F1382" s="188">
        <v>44132</v>
      </c>
      <c r="G1382" s="6">
        <v>686.41</v>
      </c>
      <c r="H1382">
        <f>G1382-E1382</f>
        <v>209.92999999999995</v>
      </c>
      <c r="I1382" s="21">
        <f>H1382+$D$1377</f>
        <v>218.48096014807098</v>
      </c>
      <c r="J1382" s="311">
        <f>(H1382/I1382)-1</f>
        <v>-3.9138239516504303E-2</v>
      </c>
    </row>
    <row r="1383" spans="3:10" x14ac:dyDescent="0.3">
      <c r="C1383" t="s">
        <v>282</v>
      </c>
      <c r="D1383" s="188">
        <v>44070.991111111114</v>
      </c>
      <c r="E1383" s="6">
        <v>542.23</v>
      </c>
      <c r="F1383" s="188">
        <v>44154.991111111114</v>
      </c>
      <c r="G1383" s="6">
        <v>763.08</v>
      </c>
      <c r="H1383">
        <f>G1383-E1383</f>
        <v>220.85000000000002</v>
      </c>
      <c r="I1383" s="21">
        <f>H1383+$D$1377</f>
        <v>229.40096014807105</v>
      </c>
      <c r="J1383" s="311">
        <f t="shared" ref="J1383:J1384" si="238">(H1383/I1383)-1</f>
        <v>-3.7275171570998022E-2</v>
      </c>
    </row>
    <row r="1384" spans="3:10" x14ac:dyDescent="0.3">
      <c r="C1384" s="12" t="s">
        <v>764</v>
      </c>
      <c r="D1384" s="189">
        <v>44097</v>
      </c>
      <c r="E1384" s="7">
        <v>606.13</v>
      </c>
      <c r="F1384" s="189">
        <v>44181</v>
      </c>
      <c r="G1384" s="7">
        <v>936.68</v>
      </c>
      <c r="H1384" s="12">
        <f>G1384-E1384</f>
        <v>330.54999999999995</v>
      </c>
      <c r="I1384" s="38">
        <f>H1384+$D$1377</f>
        <v>339.10096014807101</v>
      </c>
      <c r="J1384" s="312">
        <f t="shared" si="238"/>
        <v>-2.5216561298845086E-2</v>
      </c>
    </row>
    <row r="1386" spans="3:10" x14ac:dyDescent="0.3">
      <c r="C1386" s="5" t="s">
        <v>951</v>
      </c>
      <c r="D1386" s="145">
        <f>J1383</f>
        <v>-3.7275171570998022E-2</v>
      </c>
      <c r="E1386" s="326"/>
    </row>
    <row r="1387" spans="3:10" x14ac:dyDescent="0.3">
      <c r="C1387" s="12" t="s">
        <v>956</v>
      </c>
      <c r="D1387" s="23">
        <f>ABS(D1378/D1377*D1386)</f>
        <v>1.9820994534012402E-2</v>
      </c>
    </row>
    <row r="1388" spans="3:10" x14ac:dyDescent="0.3">
      <c r="D1388" s="26"/>
    </row>
    <row r="1395" spans="2:15" s="8" customFormat="1" ht="19.5" x14ac:dyDescent="0.4">
      <c r="B1395" s="8">
        <v>137</v>
      </c>
      <c r="C1395" s="8" t="s" cm="1">
        <v>765</v>
      </c>
      <c r="D1395" s="8" t="s" cm="1">
        <v>766</v>
      </c>
      <c r="G1395" s="8" t="s">
        <v>241</v>
      </c>
    </row>
    <row r="1397" spans="2:15" x14ac:dyDescent="0.3">
      <c r="C1397" s="4" t="s">
        <v>316</v>
      </c>
      <c r="K1397" s="3" t="s">
        <v>968</v>
      </c>
    </row>
    <row r="1398" spans="2:15" x14ac:dyDescent="0.3">
      <c r="C1398" s="5" t="s">
        <v>767</v>
      </c>
      <c r="D1398" s="5" t="s">
        <v>244</v>
      </c>
      <c r="E1398" s="5" t="s">
        <v>306</v>
      </c>
      <c r="F1398" s="5" t="s">
        <v>15</v>
      </c>
      <c r="G1398" s="5" t="s">
        <v>413</v>
      </c>
      <c r="H1398" s="5" t="s">
        <v>964</v>
      </c>
      <c r="I1398" s="5" t="s">
        <v>965</v>
      </c>
      <c r="K1398" s="5" t="s">
        <v>966</v>
      </c>
      <c r="L1398" s="5" t="s">
        <v>967</v>
      </c>
      <c r="M1398" s="5" t="s">
        <v>964</v>
      </c>
      <c r="N1398" s="5" t="s">
        <v>965</v>
      </c>
    </row>
    <row r="1399" spans="2:15" x14ac:dyDescent="0.3">
      <c r="C1399" s="5" t="s">
        <v>957</v>
      </c>
      <c r="D1399" s="98">
        <v>-1.7999999999999999E-2</v>
      </c>
      <c r="E1399" s="98">
        <v>-3.61</v>
      </c>
      <c r="F1399" s="196">
        <f>1/E1399*D1399</f>
        <v>4.9861495844875344E-3</v>
      </c>
      <c r="G1399" s="5" t="s">
        <v>768</v>
      </c>
      <c r="H1399" s="517">
        <f>J1412</f>
        <v>-0.19681305004557051</v>
      </c>
      <c r="I1399" s="517">
        <f>K1412</f>
        <v>-0.12976717159726825</v>
      </c>
      <c r="K1399" s="22">
        <f t="shared" ref="K1399:L1402" si="239">$D1399*(D$143-$F$143)*$L$1415*D$144</f>
        <v>-46011.433853853807</v>
      </c>
      <c r="L1399" s="22">
        <f t="shared" si="239"/>
        <v>-19008.190211620215</v>
      </c>
      <c r="M1399" s="11">
        <f t="shared" ref="M1399:N1402" si="240">K1399/(J$1411-K1399)</f>
        <v>-0.19681305004557051</v>
      </c>
      <c r="N1399" s="11">
        <f t="shared" si="240"/>
        <v>-0.12976717159726825</v>
      </c>
      <c r="O1399" s="3" t="b" cm="1">
        <f t="array" ref="O1399">AND(M1399:N1399=J1412:K1412)</f>
        <v>1</v>
      </c>
    </row>
    <row r="1400" spans="2:15" x14ac:dyDescent="0.3">
      <c r="C1400" t="s">
        <v>959</v>
      </c>
      <c r="D1400" s="107">
        <v>0.02</v>
      </c>
      <c r="E1400" s="6">
        <v>4.03</v>
      </c>
      <c r="F1400" s="121">
        <f t="shared" ref="F1400:F1402" si="241">1/E1400*D1400</f>
        <v>4.9627791563275434E-3</v>
      </c>
      <c r="G1400" t="s">
        <v>961</v>
      </c>
      <c r="H1400" s="518">
        <f>M1400</f>
        <v>0.37413003085477364</v>
      </c>
      <c r="I1400" s="518">
        <f t="shared" ref="I1400:I1402" si="242">N1400</f>
        <v>0.19859007736186551</v>
      </c>
      <c r="K1400" s="22">
        <f t="shared" si="239"/>
        <v>51123.815393170909</v>
      </c>
      <c r="L1400" s="22">
        <f t="shared" si="239"/>
        <v>21120.21134624468</v>
      </c>
      <c r="M1400" s="11">
        <f t="shared" si="240"/>
        <v>0.37413003085477364</v>
      </c>
      <c r="N1400" s="11">
        <f t="shared" si="240"/>
        <v>0.19859007736186551</v>
      </c>
    </row>
    <row r="1401" spans="2:15" x14ac:dyDescent="0.3">
      <c r="C1401" t="s">
        <v>958</v>
      </c>
      <c r="D1401" s="6">
        <v>3.1E-2</v>
      </c>
      <c r="E1401" s="6">
        <v>6.05</v>
      </c>
      <c r="F1401" s="121">
        <f t="shared" si="241"/>
        <v>5.1239669421487607E-3</v>
      </c>
      <c r="G1401" t="s">
        <v>962</v>
      </c>
      <c r="H1401" s="518">
        <f t="shared" ref="H1401:H1402" si="243">M1401</f>
        <v>0.73014448639848939</v>
      </c>
      <c r="I1401" s="518">
        <f t="shared" si="242"/>
        <v>0.34555803860125206</v>
      </c>
      <c r="K1401" s="22">
        <f t="shared" si="239"/>
        <v>79241.913859414912</v>
      </c>
      <c r="L1401" s="22">
        <f t="shared" si="239"/>
        <v>32736.327586679257</v>
      </c>
      <c r="M1401" s="11">
        <f t="shared" si="240"/>
        <v>0.73014448639848939</v>
      </c>
      <c r="N1401" s="11">
        <f t="shared" si="240"/>
        <v>0.34555803860125206</v>
      </c>
    </row>
    <row r="1402" spans="2:15" x14ac:dyDescent="0.3">
      <c r="C1402" s="12" t="s">
        <v>960</v>
      </c>
      <c r="D1402" s="7">
        <v>1.9E-2</v>
      </c>
      <c r="E1402" s="7">
        <v>3.84</v>
      </c>
      <c r="F1402" s="362">
        <f t="shared" si="241"/>
        <v>4.9479166666666673E-3</v>
      </c>
      <c r="G1402" s="12" t="s">
        <v>963</v>
      </c>
      <c r="H1402" s="517">
        <f t="shared" si="243"/>
        <v>0.34889688911750161</v>
      </c>
      <c r="I1402" s="517">
        <f t="shared" si="242"/>
        <v>0.18680568571488454</v>
      </c>
      <c r="K1402" s="27">
        <f t="shared" si="239"/>
        <v>48567.624623512362</v>
      </c>
      <c r="L1402" s="27">
        <f t="shared" si="239"/>
        <v>20064.200778932449</v>
      </c>
      <c r="M1402" s="13">
        <f t="shared" si="240"/>
        <v>0.34889688911750161</v>
      </c>
      <c r="N1402" s="13">
        <f t="shared" si="240"/>
        <v>0.18680568571488454</v>
      </c>
    </row>
    <row r="1403" spans="2:15" x14ac:dyDescent="0.3">
      <c r="C1403" s="3" t="s">
        <v>955</v>
      </c>
    </row>
    <row r="1405" spans="2:15" x14ac:dyDescent="0.3">
      <c r="C1405" s="4" t="s">
        <v>769</v>
      </c>
      <c r="I1405" s="3" t="s">
        <v>770</v>
      </c>
    </row>
    <row r="1406" spans="2:15" x14ac:dyDescent="0.3">
      <c r="C1406" s="5"/>
      <c r="D1406" s="5" t="s">
        <v>17</v>
      </c>
      <c r="E1406" s="5" t="s">
        <v>156</v>
      </c>
      <c r="F1406" s="5" t="s">
        <v>282</v>
      </c>
      <c r="G1406" s="5" t="s">
        <v>771</v>
      </c>
      <c r="I1406" s="5"/>
      <c r="J1406" s="5" t="s">
        <v>17</v>
      </c>
      <c r="K1406" s="5" t="s">
        <v>156</v>
      </c>
      <c r="L1406" s="5" t="s">
        <v>282</v>
      </c>
      <c r="M1406" s="5" t="s">
        <v>771</v>
      </c>
    </row>
    <row r="1407" spans="2:15" x14ac:dyDescent="0.3">
      <c r="C1407" s="22" t="s">
        <v>772</v>
      </c>
      <c r="D1407" s="20">
        <v>56.598314402791722</v>
      </c>
      <c r="E1407" s="20">
        <v>50.971269689022932</v>
      </c>
      <c r="F1407" s="22">
        <f>AVERAGE(D1407:E1407)</f>
        <v>53.784792045907324</v>
      </c>
      <c r="G1407" s="31">
        <f>F143</f>
        <v>44.444444444444443</v>
      </c>
      <c r="I1407" s="22" t="s">
        <v>772</v>
      </c>
      <c r="J1407" s="31">
        <f>D$143</f>
        <v>76.391666087864692</v>
      </c>
      <c r="K1407" s="31">
        <f>E143</f>
        <v>74.089415216876617</v>
      </c>
      <c r="L1407" s="22">
        <f>AVERAGE(J1407:K1407)</f>
        <v>75.240540652370655</v>
      </c>
      <c r="M1407" s="31">
        <f>F143</f>
        <v>44.444444444444443</v>
      </c>
    </row>
    <row r="1408" spans="2:15" x14ac:dyDescent="0.3">
      <c r="C1408" s="22" t="s">
        <v>773</v>
      </c>
      <c r="D1408" s="31">
        <f>D144</f>
        <v>747.78438100000005</v>
      </c>
      <c r="E1408" s="31">
        <f>E144</f>
        <v>332.915074</v>
      </c>
      <c r="F1408" s="22">
        <f>AVERAGE(D1408:E1408)</f>
        <v>540.34972749999997</v>
      </c>
      <c r="G1408" s="22"/>
      <c r="I1408" s="22" t="s">
        <v>773</v>
      </c>
      <c r="J1408" s="31">
        <f>D$144</f>
        <v>747.78438100000005</v>
      </c>
      <c r="K1408" s="31">
        <f>E$144</f>
        <v>332.915074</v>
      </c>
      <c r="L1408" s="22">
        <f>AVERAGE(J1408:K1408)</f>
        <v>540.34972749999997</v>
      </c>
      <c r="M1408" s="22"/>
    </row>
    <row r="1409" spans="2:13" x14ac:dyDescent="0.3">
      <c r="C1409" s="22" t="s">
        <v>774</v>
      </c>
      <c r="D1409" s="22">
        <f>$D$1399*(D1407-$G$1407)*$F$1415</f>
        <v>-69.131212323079325</v>
      </c>
      <c r="E1409" s="22">
        <f>$D$1399*(E1407-$G$1407)*$F$1415</f>
        <v>-37.124581991162451</v>
      </c>
      <c r="F1409" s="22">
        <f>$D$1399*(F1407-$G$1407)*$F$1415</f>
        <v>-53.127897157120863</v>
      </c>
      <c r="G1409" s="22"/>
      <c r="I1409" s="22" t="s">
        <v>774</v>
      </c>
      <c r="J1409" s="22">
        <f>$D$1399*(J1407-$M$1407)*$L$1415</f>
        <v>-61.53034888522739</v>
      </c>
      <c r="K1409" s="22">
        <f>$D$1399*(K1407-$M$1407)*$L$1415</f>
        <v>-57.096213707704365</v>
      </c>
      <c r="L1409" s="22">
        <f>$D$1399*(L1407-$M$1407)*$L$1415</f>
        <v>-59.313281296465874</v>
      </c>
      <c r="M1409" s="22"/>
    </row>
    <row r="1410" spans="2:13" x14ac:dyDescent="0.3">
      <c r="C1410" s="22" t="s">
        <v>259</v>
      </c>
      <c r="D1410" s="22">
        <f>D1409*D1408</f>
        <v>-51695.240814793447</v>
      </c>
      <c r="E1410" s="22">
        <f>E1409*E1408</f>
        <v>-12359.332960806914</v>
      </c>
      <c r="F1410" s="22">
        <f>F1409*F1408</f>
        <v>-28707.644751498283</v>
      </c>
      <c r="G1410" s="22"/>
      <c r="I1410" s="22" t="s">
        <v>775</v>
      </c>
      <c r="J1410" s="22">
        <f>J1409*J1408</f>
        <v>-46011.433853853807</v>
      </c>
      <c r="K1410" s="22">
        <f>K1409*K1408</f>
        <v>-19008.190211620215</v>
      </c>
      <c r="L1410" s="22">
        <f>L1409*L1408</f>
        <v>-32049.91538567618</v>
      </c>
      <c r="M1410" s="22"/>
    </row>
    <row r="1411" spans="2:13" x14ac:dyDescent="0.3">
      <c r="C1411" s="22" t="s">
        <v>776</v>
      </c>
      <c r="D1411" s="207">
        <f>D163</f>
        <v>410110</v>
      </c>
      <c r="E1411" s="207">
        <f>E163</f>
        <v>279178</v>
      </c>
      <c r="F1411" s="22">
        <f>AVERAGE(D1411:E1411)</f>
        <v>344644</v>
      </c>
      <c r="G1411" s="22"/>
      <c r="I1411" s="22" t="s">
        <v>776</v>
      </c>
      <c r="J1411" s="207">
        <f>D$158</f>
        <v>187771</v>
      </c>
      <c r="K1411" s="207">
        <f>E$158</f>
        <v>127471</v>
      </c>
      <c r="L1411" s="22">
        <f>AVERAGE(J1411:K1411)</f>
        <v>157621</v>
      </c>
      <c r="M1411" s="22"/>
    </row>
    <row r="1412" spans="2:13" x14ac:dyDescent="0.3">
      <c r="C1412" s="27" t="s">
        <v>293</v>
      </c>
      <c r="D1412" s="13">
        <f>D1410/(D1411-D1410)</f>
        <v>-0.11194165038834146</v>
      </c>
      <c r="E1412" s="13">
        <f>E1410/(E1411-E1410)</f>
        <v>-4.2393654477412855E-2</v>
      </c>
      <c r="F1412" s="23">
        <f>AVERAGE(D1412:E1412)</f>
        <v>-7.7167652432877154E-2</v>
      </c>
      <c r="G1412" s="27"/>
      <c r="I1412" s="27" t="s">
        <v>293</v>
      </c>
      <c r="J1412" s="13">
        <f>J1410/(J1411-J1410)</f>
        <v>-0.19681305004557051</v>
      </c>
      <c r="K1412" s="13">
        <f>K1410/(K1411-K1410)</f>
        <v>-0.12976717159726825</v>
      </c>
      <c r="L1412" s="23">
        <f>AVERAGE(H1399:I1399)</f>
        <v>-0.16329011082141937</v>
      </c>
      <c r="M1412" s="27"/>
    </row>
    <row r="1413" spans="2:13" x14ac:dyDescent="0.3">
      <c r="C1413" s="62" t="s">
        <v>777</v>
      </c>
    </row>
    <row r="1415" spans="2:13" x14ac:dyDescent="0.3">
      <c r="C1415" s="16" t="s">
        <v>778</v>
      </c>
      <c r="D1415" s="209">
        <v>43831</v>
      </c>
      <c r="E1415" s="209">
        <v>44147</v>
      </c>
      <c r="F1415" s="32">
        <f>E1415-D1415</f>
        <v>316</v>
      </c>
      <c r="I1415" s="16" t="s">
        <v>779</v>
      </c>
      <c r="J1415" s="209">
        <v>43905</v>
      </c>
      <c r="K1415" s="209">
        <v>44012</v>
      </c>
      <c r="L1415" s="32">
        <f>K1415-J1415</f>
        <v>107</v>
      </c>
    </row>
    <row r="1416" spans="2:13" x14ac:dyDescent="0.3">
      <c r="C1416" s="10"/>
      <c r="D1416" s="10"/>
      <c r="E1416" s="10"/>
    </row>
    <row r="1417" spans="2:13" x14ac:dyDescent="0.3">
      <c r="G1417" s="10"/>
      <c r="H1417" s="10"/>
      <c r="I1417" s="10"/>
    </row>
    <row r="1418" spans="2:13" s="8" customFormat="1" ht="19.5" x14ac:dyDescent="0.4">
      <c r="B1418" s="8">
        <v>146</v>
      </c>
      <c r="C1418" s="8" t="s" cm="1">
        <v>780</v>
      </c>
      <c r="D1418" s="8" t="s" cm="1">
        <v>781</v>
      </c>
      <c r="G1418" s="8" t="s">
        <v>241</v>
      </c>
    </row>
    <row r="1420" spans="2:13" x14ac:dyDescent="0.3">
      <c r="C1420" s="4" t="s">
        <v>316</v>
      </c>
    </row>
    <row r="1421" spans="2:13" x14ac:dyDescent="0.3">
      <c r="C1421" s="5"/>
      <c r="D1421" s="5"/>
      <c r="E1421" s="5" t="s">
        <v>244</v>
      </c>
      <c r="F1421" s="5" t="s">
        <v>15</v>
      </c>
      <c r="G1421" s="5" t="s">
        <v>413</v>
      </c>
    </row>
    <row r="1422" spans="2:13" x14ac:dyDescent="0.3">
      <c r="C1422" s="5" t="s">
        <v>782</v>
      </c>
      <c r="D1422" s="5"/>
      <c r="E1422" s="98">
        <v>-6.0000000000000001E-3</v>
      </c>
      <c r="F1422" s="98">
        <v>1E-3</v>
      </c>
      <c r="G1422" s="5" t="s">
        <v>783</v>
      </c>
      <c r="H1422" s="429"/>
    </row>
    <row r="1423" spans="2:13" x14ac:dyDescent="0.3">
      <c r="C1423" t="s">
        <v>784</v>
      </c>
      <c r="D1423" t="s">
        <v>785</v>
      </c>
      <c r="E1423" s="6">
        <v>-5.0000000000000001E-3</v>
      </c>
      <c r="F1423" s="6">
        <v>1E-3</v>
      </c>
      <c r="G1423" t="s">
        <v>786</v>
      </c>
    </row>
    <row r="1424" spans="2:13" x14ac:dyDescent="0.3">
      <c r="C1424"/>
      <c r="D1424" t="s">
        <v>787</v>
      </c>
      <c r="E1424" s="6">
        <v>-4.0000000000000001E-3</v>
      </c>
      <c r="F1424" s="6">
        <v>1E-3</v>
      </c>
      <c r="G1424" t="s">
        <v>788</v>
      </c>
    </row>
    <row r="1425" spans="3:7" x14ac:dyDescent="0.3">
      <c r="C1425"/>
      <c r="D1425" t="s">
        <v>789</v>
      </c>
      <c r="E1425" s="6">
        <v>-2.1000000000000001E-2</v>
      </c>
      <c r="F1425" s="6">
        <v>2E-3</v>
      </c>
      <c r="G1425" t="s">
        <v>417</v>
      </c>
    </row>
    <row r="1426" spans="3:7" x14ac:dyDescent="0.3">
      <c r="C1426" t="s">
        <v>790</v>
      </c>
      <c r="D1426" t="s">
        <v>787</v>
      </c>
      <c r="E1426" s="6">
        <v>-8.0000000000000002E-3</v>
      </c>
      <c r="F1426" s="6">
        <v>1E-3</v>
      </c>
      <c r="G1426" t="s">
        <v>788</v>
      </c>
    </row>
    <row r="1427" spans="3:7" x14ac:dyDescent="0.3">
      <c r="C1427"/>
      <c r="D1427" t="s">
        <v>789</v>
      </c>
      <c r="E1427" s="6">
        <v>-3.1E-2</v>
      </c>
      <c r="F1427" s="6">
        <v>2E-3</v>
      </c>
      <c r="G1427" t="s">
        <v>417</v>
      </c>
    </row>
    <row r="1428" spans="3:7" x14ac:dyDescent="0.3">
      <c r="C1428" t="s">
        <v>791</v>
      </c>
      <c r="D1428" t="s">
        <v>789</v>
      </c>
      <c r="E1428" s="6">
        <v>-2.8000000000000001E-2</v>
      </c>
      <c r="F1428" s="6">
        <v>2E-3</v>
      </c>
      <c r="G1428" t="s">
        <v>417</v>
      </c>
    </row>
    <row r="1430" spans="3:7" x14ac:dyDescent="0.3">
      <c r="C1430" s="4" t="s">
        <v>877</v>
      </c>
      <c r="D1430" s="28"/>
    </row>
    <row r="1431" spans="3:7" x14ac:dyDescent="0.3">
      <c r="C1431" s="5"/>
      <c r="D1431" s="40" t="s">
        <v>17</v>
      </c>
      <c r="E1431" s="5" t="s">
        <v>18</v>
      </c>
      <c r="G1431" s="58"/>
    </row>
    <row r="1432" spans="3:7" x14ac:dyDescent="0.3">
      <c r="C1432" s="12" t="s">
        <v>435</v>
      </c>
      <c r="D1432" s="23">
        <f>EXP($E1422*(D$143-$F$143))-1</f>
        <v>-0.17443174008191442</v>
      </c>
      <c r="E1432" s="23">
        <f>EXP($E1422*(E$143-$F$143))-1</f>
        <v>-0.16294862013386546</v>
      </c>
    </row>
    <row r="1433" spans="3:7" x14ac:dyDescent="0.3">
      <c r="C1433" s="395" t="str">
        <f>$C$1423&amp;" - "&amp;D1423</f>
        <v>LAGGED STRINGENCY BY 28 DAYS: WAVE 1 - One-Wave Countries</v>
      </c>
      <c r="D1433" s="396">
        <f>EXP($E1423*(D$143-$F$143))-1</f>
        <v>-0.14763130761625554</v>
      </c>
      <c r="E1433" s="396">
        <f>EXP($E1423*(E$143-$F$143))-1</f>
        <v>-0.13776278422469179</v>
      </c>
    </row>
    <row r="1434" spans="3:7" x14ac:dyDescent="0.3">
      <c r="C1434" s="395" t="str">
        <f>$C$1423&amp;" - "&amp;D1424</f>
        <v>LAGGED STRINGENCY BY 28 DAYS: WAVE 1 - Two-Wave Countries</v>
      </c>
      <c r="D1434" s="396">
        <f t="shared" ref="D1434:E1434" si="244">EXP($E1424*(D$143-$F$143))-1</f>
        <v>-0.11996085238540743</v>
      </c>
      <c r="E1434" s="396">
        <f t="shared" si="244"/>
        <v>-0.1118191378086586</v>
      </c>
      <c r="F1434" s="10"/>
    </row>
    <row r="1435" spans="3:7" x14ac:dyDescent="0.3">
      <c r="C1435" s="395" t="str">
        <f>$C$1423&amp;" - "&amp;D1425</f>
        <v>LAGGED STRINGENCY BY 28 DAYS: WAVE 1 - Three-Wave Countries</v>
      </c>
      <c r="D1435" s="396">
        <f t="shared" ref="D1435:E1435" si="245">EXP($E1425*(D$143-$F$143))-1</f>
        <v>-0.48874748611964469</v>
      </c>
      <c r="E1435" s="396">
        <f t="shared" si="245"/>
        <v>-0.46342256099637169</v>
      </c>
    </row>
    <row r="1436" spans="3:7" x14ac:dyDescent="0.3">
      <c r="C1436" s="395" t="str">
        <f>$C$1426&amp;" - "&amp;D1426</f>
        <v>LAGGED STRINGENCY BY 28 DAYS: WAVE 2 - Two-Wave Countries</v>
      </c>
      <c r="D1436" s="396">
        <f t="shared" ref="D1436:E1436" si="246">EXP($E1426*(D$143-$F$143))-1</f>
        <v>-0.22553109866578136</v>
      </c>
      <c r="E1436" s="396">
        <f t="shared" si="246"/>
        <v>-0.21113475603704535</v>
      </c>
    </row>
    <row r="1437" spans="3:7" x14ac:dyDescent="0.3">
      <c r="C1437" s="395" t="str">
        <f>$C$1426&amp;" - "&amp;D1427</f>
        <v>LAGGED STRINGENCY BY 28 DAYS: WAVE 2 - Three-Wave Countries</v>
      </c>
      <c r="D1437" s="396">
        <f t="shared" ref="D1437:E1437" si="247">EXP($E1427*(D$143-$F$143))-1</f>
        <v>-0.62855849034426103</v>
      </c>
      <c r="E1437" s="396">
        <f t="shared" si="247"/>
        <v>-0.60107988451141758</v>
      </c>
    </row>
    <row r="1438" spans="3:7" x14ac:dyDescent="0.3">
      <c r="C1438" s="397" t="str">
        <f>$C$1428&amp;" - "&amp;D1428</f>
        <v>LAGGED STRINGENCY BY 28 DAYS: WAVE 3 - Three-Wave Countries</v>
      </c>
      <c r="D1438" s="398">
        <f t="shared" ref="D1438:E1438" si="248">EXP($E1428*(D$143-$F$143))-1</f>
        <v>-0.59119712445925998</v>
      </c>
      <c r="E1438" s="398">
        <f t="shared" si="248"/>
        <v>-0.56397651902155244</v>
      </c>
    </row>
  </sheetData>
  <phoneticPr fontId="28" type="noConversion"/>
  <conditionalFormatting sqref="A1">
    <cfRule type="cellIs" dxfId="1" priority="41" operator="equal">
      <formula>0</formula>
    </cfRule>
  </conditionalFormatting>
  <hyperlinks>
    <hyperlink ref="C1379" r:id="rId1" xr:uid="{9EC8E9EA-662D-4AB4-9EF2-26BBABAA8CBE}"/>
    <hyperlink ref="C771" r:id="rId2" xr:uid="{E2680A0C-D2EC-4E7C-A6DF-580DE56AFAB5}"/>
    <hyperlink ref="C954" r:id="rId3" xr:uid="{1E747C2A-CC42-443D-AEEB-05AEC7CDDECD}"/>
  </hyperlinks>
  <pageMargins left="0.70866141732283472" right="0.70866141732283472" top="0.74803149606299213" bottom="0.74803149606299213" header="0.31496062992125984" footer="0.31496062992125984"/>
  <pageSetup paperSize="9" orientation="portrait" verticalDpi="4" r:id="rId4"/>
  <headerFooter>
    <oddHeader>&amp;L&amp;D</oddHeader>
    <oddFooter xml:space="preserve">&amp;L  &amp;G&amp;C&amp;8&amp;Z&amp;F {&amp;A}
  &amp;RSide &amp;P/&amp;N
  </oddFooter>
  </headerFooter>
  <drawing r:id="rId5"/>
  <legacyDrawingHF r:id="rId6"/>
  <pictur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1DDA7-A45A-41BA-ABA4-957A6BEA72E7}">
  <sheetPr codeName="Sheet41"/>
  <dimension ref="A1:T507"/>
  <sheetViews>
    <sheetView showGridLines="0" zoomScale="114" zoomScaleNormal="115" workbookViewId="0">
      <pane ySplit="1" topLeftCell="A313" activePane="bottomLeft" state="frozen"/>
      <selection activeCell="R81" sqref="R81"/>
      <selection pane="bottomLeft" activeCell="Q380" sqref="Q380"/>
    </sheetView>
  </sheetViews>
  <sheetFormatPr defaultRowHeight="12" x14ac:dyDescent="0.2"/>
  <cols>
    <col min="1" max="1" width="1.42578125" style="432" customWidth="1"/>
    <col min="2" max="2" width="2.140625" style="432" customWidth="1"/>
    <col min="3" max="3" width="21.42578125" style="432" customWidth="1"/>
    <col min="4" max="5" width="9.140625" style="432" customWidth="1"/>
    <col min="6" max="6" width="11.42578125" style="432" customWidth="1"/>
    <col min="7" max="7" width="9.140625" style="432" customWidth="1"/>
    <col min="8" max="9" width="9.140625" style="432"/>
    <col min="10" max="10" width="9.140625" style="432" bestFit="1" customWidth="1"/>
    <col min="11" max="15" width="9.140625" style="432"/>
    <col min="16" max="16" width="16.28515625" style="432" customWidth="1"/>
    <col min="17" max="17" width="10.7109375" style="432" bestFit="1" customWidth="1"/>
    <col min="18" max="19" width="18.28515625" style="432" bestFit="1" customWidth="1"/>
    <col min="20" max="16384" width="9.140625" style="432"/>
  </cols>
  <sheetData>
    <row r="1" spans="2:7" s="430" customFormat="1" ht="18.75" x14ac:dyDescent="0.3">
      <c r="C1" s="431" t="str">
        <f ca="1">IFERROR(MID(CELL("filename",A1),FIND("]",CELL("filename",A1))+1,256),"Gem projektmappen og navngiv dit ark")</f>
        <v>Selective reporting</v>
      </c>
    </row>
    <row r="3" spans="2:7" s="477" customFormat="1" ht="19.5" x14ac:dyDescent="0.4">
      <c r="B3" s="477" t="s">
        <v>942</v>
      </c>
    </row>
    <row r="5" spans="2:7" x14ac:dyDescent="0.2">
      <c r="C5" s="505" t="s">
        <v>10</v>
      </c>
      <c r="D5" s="509" t="s">
        <v>2</v>
      </c>
      <c r="E5" s="509" t="s">
        <v>15</v>
      </c>
      <c r="F5" s="509" t="s">
        <v>943</v>
      </c>
      <c r="G5" s="509" t="s">
        <v>926</v>
      </c>
    </row>
    <row r="6" spans="2:7" x14ac:dyDescent="0.2">
      <c r="C6" s="508" t="s">
        <v>0</v>
      </c>
      <c r="D6" s="510"/>
      <c r="E6" s="510"/>
      <c r="F6" s="510"/>
      <c r="G6" s="510"/>
    </row>
    <row r="7" spans="2:7" x14ac:dyDescent="0.2">
      <c r="C7" s="506" t="str">
        <f>IF(C186="","",C186)</f>
        <v>Bjørnskov (2021)</v>
      </c>
      <c r="D7" s="511">
        <f t="shared" ref="D7:D35" si="0">D186</f>
        <v>-3.0820447444083188E-3</v>
      </c>
      <c r="E7" s="512">
        <f t="shared" ref="E7:E35" si="1">F186</f>
        <v>8.2187859850888501E-3</v>
      </c>
      <c r="F7" s="511" t="str">
        <f>IF(I186&lt;&gt;0,"Main",IF(J186&lt;&gt;0,"Average",""))</f>
        <v>Main</v>
      </c>
      <c r="G7" s="511">
        <f t="shared" ref="G7:G35" si="2">IF(K186&lt;&gt;0,K186,"")</f>
        <v>-1.5737853812680257E-3</v>
      </c>
    </row>
    <row r="8" spans="2:7" x14ac:dyDescent="0.2">
      <c r="C8" s="506" t="str">
        <f>IF(C187="","",C187)</f>
        <v/>
      </c>
      <c r="D8" s="511">
        <f t="shared" si="0"/>
        <v>0.26364657161019567</v>
      </c>
      <c r="E8" s="512">
        <f t="shared" si="1"/>
        <v>0.18455260012713698</v>
      </c>
      <c r="F8" s="511" t="str">
        <f t="shared" ref="F8:F28" si="3">IF(I187&lt;&gt;0,"Main",IF(J187&lt;&gt;0,"Average",""))</f>
        <v/>
      </c>
      <c r="G8" s="511" t="str">
        <f t="shared" si="2"/>
        <v/>
      </c>
    </row>
    <row r="9" spans="2:7" x14ac:dyDescent="0.2">
      <c r="C9" s="506" t="str">
        <f>IF(C188="","",C188)</f>
        <v/>
      </c>
      <c r="D9" s="511">
        <f t="shared" si="0"/>
        <v>-0.31127007761556869</v>
      </c>
      <c r="E9" s="512">
        <f t="shared" si="1"/>
        <v>0.23510825011388697</v>
      </c>
      <c r="F9" s="511" t="str">
        <f t="shared" si="3"/>
        <v/>
      </c>
      <c r="G9" s="511" t="str">
        <f t="shared" si="2"/>
        <v/>
      </c>
    </row>
    <row r="10" spans="2:7" x14ac:dyDescent="0.2">
      <c r="C10" s="506" t="str">
        <f>IF(C189="","",C189)</f>
        <v/>
      </c>
      <c r="D10" s="511">
        <f t="shared" si="0"/>
        <v>3.1186851708321361E-2</v>
      </c>
      <c r="E10" s="512">
        <f t="shared" si="1"/>
        <v>0.51458305318730246</v>
      </c>
      <c r="F10" s="511" t="str">
        <f t="shared" si="3"/>
        <v/>
      </c>
      <c r="G10" s="511" t="str">
        <f t="shared" si="2"/>
        <v/>
      </c>
    </row>
    <row r="11" spans="2:7" x14ac:dyDescent="0.2">
      <c r="C11" s="506" t="str">
        <f>IF(C190="","",C190)</f>
        <v>Shiva and Molana (2021)</v>
      </c>
      <c r="D11" s="511">
        <f t="shared" si="0"/>
        <v>-4.0159765066823672E-2</v>
      </c>
      <c r="E11" s="512">
        <f t="shared" si="1"/>
        <v>3.9495967297124108E-3</v>
      </c>
      <c r="F11" s="511" t="str">
        <f t="shared" si="3"/>
        <v>Main</v>
      </c>
      <c r="G11" s="511">
        <f t="shared" si="2"/>
        <v>-3.1556404900083594E-2</v>
      </c>
    </row>
    <row r="12" spans="2:7" x14ac:dyDescent="0.2">
      <c r="C12" s="506"/>
      <c r="D12" s="511">
        <f t="shared" si="0"/>
        <v>-2.4566776305971705E-2</v>
      </c>
      <c r="E12" s="512">
        <f t="shared" si="1"/>
        <v>4.5988567258424184E-3</v>
      </c>
      <c r="F12" s="511" t="str">
        <f t="shared" si="3"/>
        <v/>
      </c>
      <c r="G12" s="511" t="str">
        <f t="shared" si="2"/>
        <v/>
      </c>
    </row>
    <row r="13" spans="2:7" x14ac:dyDescent="0.2">
      <c r="C13" s="506"/>
      <c r="D13" s="511">
        <f t="shared" si="0"/>
        <v>-2.5062285339323864E-2</v>
      </c>
      <c r="E13" s="512">
        <f t="shared" si="1"/>
        <v>3.1411478713323894E-3</v>
      </c>
      <c r="F13" s="511" t="str">
        <f t="shared" si="3"/>
        <v/>
      </c>
      <c r="G13" s="511" t="str">
        <f t="shared" si="2"/>
        <v/>
      </c>
    </row>
    <row r="14" spans="2:7" x14ac:dyDescent="0.2">
      <c r="C14" s="506"/>
      <c r="D14" s="511">
        <f t="shared" si="0"/>
        <v>-3.6327365288010449E-2</v>
      </c>
      <c r="E14" s="512">
        <f t="shared" si="1"/>
        <v>3.3860393743817998E-3</v>
      </c>
      <c r="F14" s="511" t="str">
        <f t="shared" si="3"/>
        <v/>
      </c>
      <c r="G14" s="511" t="str">
        <f t="shared" si="2"/>
        <v/>
      </c>
    </row>
    <row r="15" spans="2:7" x14ac:dyDescent="0.2">
      <c r="C15" s="506" t="str">
        <f t="shared" ref="C15:C28" si="4">IF(C194="","",C194)</f>
        <v>Chisadza et al. (2021)</v>
      </c>
      <c r="D15" s="511">
        <f t="shared" si="0"/>
        <v>0.11715264654310653</v>
      </c>
      <c r="E15" s="512">
        <f t="shared" si="1"/>
        <v>1.4418787266843881E-2</v>
      </c>
      <c r="F15" s="511" t="str">
        <f t="shared" si="3"/>
        <v>Main</v>
      </c>
      <c r="G15" s="511">
        <f t="shared" si="2"/>
        <v>0.12817756085375426</v>
      </c>
    </row>
    <row r="16" spans="2:7" x14ac:dyDescent="0.2">
      <c r="C16" s="506" t="str">
        <f t="shared" si="4"/>
        <v/>
      </c>
      <c r="D16" s="511">
        <f t="shared" si="0"/>
        <v>0.4925129106658831</v>
      </c>
      <c r="E16" s="512">
        <f t="shared" si="1"/>
        <v>6.0616973620416383E-2</v>
      </c>
      <c r="F16" s="511" t="str">
        <f t="shared" si="3"/>
        <v/>
      </c>
      <c r="G16" s="511" t="str">
        <f t="shared" si="2"/>
        <v/>
      </c>
    </row>
    <row r="17" spans="3:7" x14ac:dyDescent="0.2">
      <c r="C17" s="506" t="str">
        <f t="shared" si="4"/>
        <v/>
      </c>
      <c r="D17" s="511">
        <f t="shared" si="0"/>
        <v>7.9971233062565261E-2</v>
      </c>
      <c r="E17" s="512">
        <f t="shared" si="1"/>
        <v>9.8426133000080324E-3</v>
      </c>
      <c r="F17" s="511" t="str">
        <f t="shared" si="3"/>
        <v/>
      </c>
      <c r="G17" s="511" t="str">
        <f t="shared" si="2"/>
        <v/>
      </c>
    </row>
    <row r="18" spans="3:7" x14ac:dyDescent="0.2">
      <c r="C18" s="506" t="str">
        <f t="shared" si="4"/>
        <v/>
      </c>
      <c r="D18" s="511">
        <f t="shared" si="0"/>
        <v>6.3482747201465628E-2</v>
      </c>
      <c r="E18" s="512">
        <f t="shared" si="1"/>
        <v>7.8132611940265398E-3</v>
      </c>
      <c r="F18" s="511" t="str">
        <f t="shared" si="3"/>
        <v/>
      </c>
      <c r="G18" s="511" t="str">
        <f t="shared" si="2"/>
        <v/>
      </c>
    </row>
    <row r="19" spans="3:7" x14ac:dyDescent="0.2">
      <c r="C19" s="506" t="str">
        <f t="shared" si="4"/>
        <v/>
      </c>
      <c r="D19" s="511">
        <f t="shared" si="0"/>
        <v>0.26878554671779431</v>
      </c>
      <c r="E19" s="512">
        <f t="shared" si="1"/>
        <v>3.3081298057574683E-2</v>
      </c>
      <c r="F19" s="511" t="str">
        <f t="shared" si="3"/>
        <v/>
      </c>
      <c r="G19" s="511" t="str">
        <f t="shared" si="2"/>
        <v/>
      </c>
    </row>
    <row r="20" spans="3:7" x14ac:dyDescent="0.2">
      <c r="C20" s="506" t="str">
        <f t="shared" si="4"/>
        <v/>
      </c>
      <c r="D20" s="511">
        <f t="shared" si="0"/>
        <v>0.23438175332447053</v>
      </c>
      <c r="E20" s="512">
        <f t="shared" si="1"/>
        <v>2.8846985024550222E-2</v>
      </c>
      <c r="F20" s="511" t="str">
        <f t="shared" si="3"/>
        <v/>
      </c>
      <c r="G20" s="511" t="str">
        <f t="shared" si="2"/>
        <v/>
      </c>
    </row>
    <row r="21" spans="3:7" x14ac:dyDescent="0.2">
      <c r="C21" s="506" t="str">
        <f t="shared" si="4"/>
        <v>Goldstein et al. (2021)</v>
      </c>
      <c r="D21" s="511">
        <f t="shared" si="0"/>
        <v>-7.5420107976104989E-2</v>
      </c>
      <c r="E21" s="512">
        <f t="shared" si="1"/>
        <v>1.9724465629278657E-2</v>
      </c>
      <c r="F21" s="511" t="str">
        <f t="shared" si="3"/>
        <v>Main</v>
      </c>
      <c r="G21" s="511">
        <f t="shared" si="2"/>
        <v>-7.6482595799537451E-2</v>
      </c>
    </row>
    <row r="22" spans="3:7" x14ac:dyDescent="0.2">
      <c r="C22" s="506" t="str">
        <f t="shared" si="4"/>
        <v/>
      </c>
      <c r="D22" s="511">
        <f t="shared" si="0"/>
        <v>-7.774976266690975E-2</v>
      </c>
      <c r="E22" s="512">
        <f t="shared" si="1"/>
        <v>1.5948968039727465E-2</v>
      </c>
      <c r="F22" s="511" t="str">
        <f t="shared" si="3"/>
        <v/>
      </c>
      <c r="G22" s="511" t="str">
        <f t="shared" si="2"/>
        <v/>
      </c>
    </row>
    <row r="23" spans="3:7" x14ac:dyDescent="0.2">
      <c r="C23" s="506" t="str">
        <f t="shared" si="4"/>
        <v/>
      </c>
      <c r="D23" s="511">
        <f t="shared" si="0"/>
        <v>-7.602035160243481E-2</v>
      </c>
      <c r="E23" s="512">
        <f t="shared" si="1"/>
        <v>1.806710999483354E-2</v>
      </c>
      <c r="F23" s="511" t="str">
        <f t="shared" si="3"/>
        <v/>
      </c>
      <c r="G23" s="511" t="str">
        <f t="shared" si="2"/>
        <v/>
      </c>
    </row>
    <row r="24" spans="3:7" x14ac:dyDescent="0.2">
      <c r="C24" s="506" t="str">
        <f t="shared" si="4"/>
        <v>Fuller et al. (2021)</v>
      </c>
      <c r="D24" s="511">
        <f t="shared" si="0"/>
        <v>-0.3534582598710535</v>
      </c>
      <c r="E24" s="512">
        <f t="shared" si="1"/>
        <v>9.0853199654610597E-2</v>
      </c>
      <c r="F24" s="511" t="str">
        <f t="shared" si="3"/>
        <v>Main</v>
      </c>
      <c r="G24" s="511">
        <f t="shared" si="2"/>
        <v>-0.3534582598710535</v>
      </c>
    </row>
    <row r="25" spans="3:7" x14ac:dyDescent="0.2">
      <c r="C25" s="506" t="str">
        <f t="shared" si="4"/>
        <v>Ashraf (2020)</v>
      </c>
      <c r="D25" s="511">
        <f t="shared" si="0"/>
        <v>-2.4009081653636168E-2</v>
      </c>
      <c r="E25" s="512">
        <f t="shared" si="1"/>
        <v>5.5315054827894576E-3</v>
      </c>
      <c r="F25" s="511" t="str">
        <f t="shared" si="3"/>
        <v>Average</v>
      </c>
      <c r="G25" s="511">
        <f t="shared" si="2"/>
        <v>-3.8412243315599864E-2</v>
      </c>
    </row>
    <row r="26" spans="3:7" x14ac:dyDescent="0.2">
      <c r="C26" s="506" t="str">
        <f t="shared" si="4"/>
        <v/>
      </c>
      <c r="D26" s="511">
        <f t="shared" si="0"/>
        <v>-8.9252370371751891E-3</v>
      </c>
      <c r="E26" s="512">
        <f t="shared" si="1"/>
        <v>7.9471288687176355E-3</v>
      </c>
      <c r="F26" s="511" t="str">
        <f t="shared" si="3"/>
        <v/>
      </c>
      <c r="G26" s="511" t="str">
        <f t="shared" si="2"/>
        <v/>
      </c>
    </row>
    <row r="27" spans="3:7" x14ac:dyDescent="0.2">
      <c r="C27" s="506" t="str">
        <f t="shared" si="4"/>
        <v/>
      </c>
      <c r="D27" s="511">
        <f t="shared" si="0"/>
        <v>-3.862766896341531E-2</v>
      </c>
      <c r="E27" s="512">
        <f t="shared" si="1"/>
        <v>5.805999322721933E-5</v>
      </c>
      <c r="F27" s="511" t="str">
        <f t="shared" si="3"/>
        <v/>
      </c>
      <c r="G27" s="511" t="str">
        <f t="shared" si="2"/>
        <v/>
      </c>
    </row>
    <row r="28" spans="3:7" x14ac:dyDescent="0.2">
      <c r="C28" s="506" t="str">
        <f t="shared" si="4"/>
        <v>Yang et al. (2021)</v>
      </c>
      <c r="D28" s="511">
        <f t="shared" si="0"/>
        <v>-0.16329011082141937</v>
      </c>
      <c r="E28" s="512">
        <f t="shared" si="1"/>
        <v>4.523271767906354E-2</v>
      </c>
      <c r="F28" s="511" t="str">
        <f t="shared" si="3"/>
        <v>Main</v>
      </c>
      <c r="G28" s="511">
        <f t="shared" si="2"/>
        <v>0.16692069199248513</v>
      </c>
    </row>
    <row r="29" spans="3:7" x14ac:dyDescent="0.2">
      <c r="C29" s="506"/>
      <c r="D29" s="511">
        <f t="shared" si="0"/>
        <v>0.28636005410831955</v>
      </c>
      <c r="E29" s="512">
        <f t="shared" si="1"/>
        <v>7.1057085386679777E-2</v>
      </c>
      <c r="F29" s="511" t="str">
        <f t="shared" ref="F29:F31" si="5">IF(I208&lt;&gt;0,"Main",IF(J208&lt;&gt;0,"Average",""))</f>
        <v/>
      </c>
      <c r="G29" s="511" t="str">
        <f t="shared" si="2"/>
        <v/>
      </c>
    </row>
    <row r="30" spans="3:7" x14ac:dyDescent="0.2">
      <c r="C30" s="506"/>
      <c r="D30" s="511">
        <f t="shared" si="0"/>
        <v>0.5378512624998707</v>
      </c>
      <c r="E30" s="512">
        <f t="shared" si="1"/>
        <v>8.8901035123945565E-2</v>
      </c>
      <c r="F30" s="511" t="str">
        <f t="shared" si="5"/>
        <v/>
      </c>
      <c r="G30" s="511" t="str">
        <f t="shared" si="2"/>
        <v/>
      </c>
    </row>
    <row r="31" spans="3:7" x14ac:dyDescent="0.2">
      <c r="C31" s="506"/>
      <c r="D31" s="511">
        <f t="shared" si="0"/>
        <v>0.26785128741619307</v>
      </c>
      <c r="E31" s="512">
        <f t="shared" si="1"/>
        <v>6.9752939431300287E-2</v>
      </c>
      <c r="F31" s="511" t="str">
        <f t="shared" si="5"/>
        <v/>
      </c>
      <c r="G31" s="511" t="str">
        <f t="shared" si="2"/>
        <v/>
      </c>
    </row>
    <row r="32" spans="3:7" x14ac:dyDescent="0.2">
      <c r="C32" s="506" t="str">
        <f t="shared" ref="C32:C69" si="6">IF(C211="","",C211)</f>
        <v>Hale et al. (2021)</v>
      </c>
      <c r="D32" s="511">
        <f t="shared" si="0"/>
        <v>-0.16869018010788994</v>
      </c>
      <c r="E32" s="512">
        <f t="shared" si="1"/>
        <v>2.8115030017981657E-2</v>
      </c>
      <c r="F32" s="511" t="str">
        <f>IF(I211&lt;&gt;0,"Main",IF(J211&lt;&gt;0,"Average",""))</f>
        <v>Main</v>
      </c>
      <c r="G32" s="511">
        <f t="shared" si="2"/>
        <v>-0.20050668249493972</v>
      </c>
    </row>
    <row r="33" spans="3:7" x14ac:dyDescent="0.2">
      <c r="C33" s="506" t="str">
        <f t="shared" si="6"/>
        <v/>
      </c>
      <c r="D33" s="511">
        <f t="shared" si="0"/>
        <v>-0.14269704592047366</v>
      </c>
      <c r="E33" s="512">
        <f t="shared" si="1"/>
        <v>2.8539409184094734E-2</v>
      </c>
      <c r="F33" s="511" t="str">
        <f>IF(I212&lt;&gt;0,"Main",IF(J212&lt;&gt;0,"Average",""))</f>
        <v/>
      </c>
      <c r="G33" s="511" t="str">
        <f t="shared" si="2"/>
        <v/>
      </c>
    </row>
    <row r="34" spans="3:7" x14ac:dyDescent="0.2">
      <c r="C34" s="506" t="str">
        <f t="shared" si="6"/>
        <v/>
      </c>
      <c r="D34" s="511">
        <f t="shared" si="0"/>
        <v>-0.11588999509703302</v>
      </c>
      <c r="E34" s="512">
        <f t="shared" si="1"/>
        <v>2.8972498774258254E-2</v>
      </c>
      <c r="F34" s="511" t="str">
        <f>IF(I213&lt;&gt;0,"Main",IF(J213&lt;&gt;0,"Average",""))</f>
        <v/>
      </c>
      <c r="G34" s="511" t="str">
        <f t="shared" si="2"/>
        <v/>
      </c>
    </row>
    <row r="35" spans="3:7" x14ac:dyDescent="0.2">
      <c r="C35" s="507" t="str">
        <f t="shared" si="6"/>
        <v/>
      </c>
      <c r="D35" s="513">
        <f t="shared" si="0"/>
        <v>-0.47608502355800819</v>
      </c>
      <c r="E35" s="514">
        <f t="shared" si="1"/>
        <v>4.5341430815048399E-2</v>
      </c>
      <c r="F35" s="513" t="str">
        <f>IF(I214&lt;&gt;0,"Main",IF(J214&lt;&gt;0,"Average",""))</f>
        <v/>
      </c>
      <c r="G35" s="513" t="str">
        <f t="shared" si="2"/>
        <v/>
      </c>
    </row>
    <row r="36" spans="3:7" x14ac:dyDescent="0.2">
      <c r="C36" s="508" t="str">
        <f t="shared" si="6"/>
        <v>SIPO studies</v>
      </c>
      <c r="D36" s="511"/>
      <c r="E36" s="512"/>
      <c r="F36" s="511"/>
      <c r="G36" s="511"/>
    </row>
    <row r="37" spans="3:7" x14ac:dyDescent="0.2">
      <c r="C37" s="506" t="str">
        <f t="shared" si="6"/>
        <v>Chernozhukov et al. (2021)</v>
      </c>
      <c r="D37" s="511">
        <f t="shared" ref="D37:D69" si="7">D216</f>
        <v>-0.17695473251028815</v>
      </c>
      <c r="E37" s="512">
        <f t="shared" ref="E37:E69" si="8">F216</f>
        <v>0.14259446883560367</v>
      </c>
      <c r="F37" s="511" t="str">
        <f t="shared" ref="F37:F69" si="9">IF(I216&lt;&gt;0,"Main",IF(J216&lt;&gt;0,"Average",""))</f>
        <v>Main</v>
      </c>
      <c r="G37" s="511">
        <f t="shared" ref="G37:G52" si="10">IF(K216&lt;&gt;0,K216,"")</f>
        <v>-0.17695473251028815</v>
      </c>
    </row>
    <row r="38" spans="3:7" x14ac:dyDescent="0.2">
      <c r="C38" s="506" t="str">
        <f t="shared" si="6"/>
        <v>Stokes et al. (2020)</v>
      </c>
      <c r="D38" s="511">
        <f t="shared" si="7"/>
        <v>4.8995231350040705E-2</v>
      </c>
      <c r="E38" s="512">
        <f t="shared" si="8"/>
        <v>2.8033413309875559E-2</v>
      </c>
      <c r="F38" s="511" t="str">
        <f t="shared" si="9"/>
        <v>Main</v>
      </c>
      <c r="G38" s="511">
        <f t="shared" si="10"/>
        <v>1.0527598000436476E-2</v>
      </c>
    </row>
    <row r="39" spans="3:7" x14ac:dyDescent="0.2">
      <c r="C39" s="506" t="str">
        <f t="shared" si="6"/>
        <v/>
      </c>
      <c r="D39" s="511">
        <f t="shared" si="7"/>
        <v>-1.9405788854149605E-2</v>
      </c>
      <c r="E39" s="512">
        <f t="shared" si="8"/>
        <v>7.1933161516839431E-3</v>
      </c>
      <c r="F39" s="511" t="str">
        <f t="shared" si="9"/>
        <v/>
      </c>
      <c r="G39" s="511" t="str">
        <f t="shared" si="10"/>
        <v/>
      </c>
    </row>
    <row r="40" spans="3:7" x14ac:dyDescent="0.2">
      <c r="C40" s="506" t="str">
        <f t="shared" si="6"/>
        <v/>
      </c>
      <c r="D40" s="511">
        <f t="shared" si="7"/>
        <v>2.0000131357617232E-2</v>
      </c>
      <c r="E40" s="512">
        <f t="shared" si="8"/>
        <v>3.679871107571793E-2</v>
      </c>
      <c r="F40" s="511" t="str">
        <f t="shared" si="9"/>
        <v/>
      </c>
      <c r="G40" s="511" t="str">
        <f t="shared" si="10"/>
        <v/>
      </c>
    </row>
    <row r="41" spans="3:7" x14ac:dyDescent="0.2">
      <c r="C41" s="506" t="str">
        <f t="shared" si="6"/>
        <v/>
      </c>
      <c r="D41" s="511">
        <f t="shared" si="7"/>
        <v>1.9400658144767588E-2</v>
      </c>
      <c r="E41" s="512">
        <f t="shared" si="8"/>
        <v>3.6186623825550462E-2</v>
      </c>
      <c r="F41" s="511" t="str">
        <f t="shared" si="9"/>
        <v/>
      </c>
      <c r="G41" s="511" t="str">
        <f t="shared" si="10"/>
        <v/>
      </c>
    </row>
    <row r="42" spans="3:7" x14ac:dyDescent="0.2">
      <c r="C42" s="506" t="str">
        <f t="shared" si="6"/>
        <v/>
      </c>
      <c r="D42" s="511">
        <f t="shared" si="7"/>
        <v>8.1582410837095498E-3</v>
      </c>
      <c r="E42" s="512">
        <f t="shared" si="8"/>
        <v>6.8817815944216612E-2</v>
      </c>
      <c r="F42" s="511" t="str">
        <f t="shared" si="9"/>
        <v/>
      </c>
      <c r="G42" s="511" t="str">
        <f t="shared" si="10"/>
        <v/>
      </c>
    </row>
    <row r="43" spans="3:7" x14ac:dyDescent="0.2">
      <c r="C43" s="506" t="str">
        <f t="shared" si="6"/>
        <v/>
      </c>
      <c r="D43" s="511">
        <f t="shared" si="7"/>
        <v>2.2800401889216018E-2</v>
      </c>
      <c r="E43" s="512">
        <f t="shared" si="8"/>
        <v>3.9000687442080031E-2</v>
      </c>
      <c r="F43" s="511" t="str">
        <f t="shared" si="9"/>
        <v/>
      </c>
      <c r="G43" s="511" t="str">
        <f t="shared" si="10"/>
        <v/>
      </c>
    </row>
    <row r="44" spans="3:7" x14ac:dyDescent="0.2">
      <c r="C44" s="506" t="str">
        <f t="shared" si="6"/>
        <v/>
      </c>
      <c r="D44" s="511">
        <f t="shared" si="7"/>
        <v>-3.5238181122122042E-2</v>
      </c>
      <c r="E44" s="512">
        <f t="shared" si="8"/>
        <v>1.797866383781737E-2</v>
      </c>
      <c r="F44" s="511" t="str">
        <f t="shared" si="9"/>
        <v/>
      </c>
      <c r="G44" s="511" t="str">
        <f t="shared" si="10"/>
        <v/>
      </c>
    </row>
    <row r="45" spans="3:7" x14ac:dyDescent="0.2">
      <c r="C45" s="506" t="str">
        <f t="shared" si="6"/>
        <v/>
      </c>
      <c r="D45" s="511">
        <f t="shared" si="7"/>
        <v>7.4263358789366712E-2</v>
      </c>
      <c r="E45" s="512">
        <f t="shared" si="8"/>
        <v>4.9304885643123485E-2</v>
      </c>
      <c r="F45" s="511" t="str">
        <f t="shared" si="9"/>
        <v/>
      </c>
      <c r="G45" s="511" t="str">
        <f t="shared" si="10"/>
        <v/>
      </c>
    </row>
    <row r="46" spans="3:7" x14ac:dyDescent="0.2">
      <c r="C46" s="506" t="str">
        <f t="shared" si="6"/>
        <v/>
      </c>
      <c r="D46" s="511">
        <f t="shared" si="7"/>
        <v>7.5187805442347558E-2</v>
      </c>
      <c r="E46" s="512">
        <f t="shared" si="8"/>
        <v>4.7985657536775202E-2</v>
      </c>
      <c r="F46" s="511" t="str">
        <f t="shared" si="9"/>
        <v/>
      </c>
      <c r="G46" s="511" t="str">
        <f t="shared" si="10"/>
        <v/>
      </c>
    </row>
    <row r="47" spans="3:7" x14ac:dyDescent="0.2">
      <c r="C47" s="506" t="str">
        <f t="shared" si="6"/>
        <v/>
      </c>
      <c r="D47" s="511">
        <f t="shared" si="7"/>
        <v>6.8749841250549615E-2</v>
      </c>
      <c r="E47" s="512">
        <f t="shared" si="8"/>
        <v>6.1558007607094373E-2</v>
      </c>
      <c r="F47" s="511" t="str">
        <f t="shared" si="9"/>
        <v/>
      </c>
      <c r="G47" s="511" t="str">
        <f t="shared" si="10"/>
        <v/>
      </c>
    </row>
    <row r="48" spans="3:7" x14ac:dyDescent="0.2">
      <c r="C48" s="506" t="str">
        <f t="shared" si="6"/>
        <v/>
      </c>
      <c r="D48" s="511">
        <f t="shared" si="7"/>
        <v>7.6723519983851657E-2</v>
      </c>
      <c r="E48" s="512">
        <f t="shared" si="8"/>
        <v>6.8541823329931195E-2</v>
      </c>
      <c r="F48" s="511" t="str">
        <f t="shared" si="9"/>
        <v/>
      </c>
      <c r="G48" s="511" t="str">
        <f t="shared" si="10"/>
        <v/>
      </c>
    </row>
    <row r="49" spans="3:7" x14ac:dyDescent="0.2">
      <c r="C49" s="506" t="str">
        <f t="shared" si="6"/>
        <v>Spiegel and Tookes (2021)</v>
      </c>
      <c r="D49" s="511">
        <f t="shared" si="7"/>
        <v>0.13071364795918367</v>
      </c>
      <c r="E49" s="512">
        <f t="shared" si="8"/>
        <v>6.5675637755102018E-2</v>
      </c>
      <c r="F49" s="511" t="str">
        <f t="shared" si="9"/>
        <v>Average</v>
      </c>
      <c r="G49" s="511">
        <f t="shared" si="10"/>
        <v>8.7801205621199502E-2</v>
      </c>
    </row>
    <row r="50" spans="3:7" x14ac:dyDescent="0.2">
      <c r="C50" s="506" t="str">
        <f t="shared" si="6"/>
        <v/>
      </c>
      <c r="D50" s="511">
        <f t="shared" si="7"/>
        <v>1.020204081632653E-2</v>
      </c>
      <c r="E50" s="512">
        <f t="shared" si="8"/>
        <v>4.8459693877551016E-2</v>
      </c>
      <c r="F50" s="511" t="str">
        <f t="shared" si="9"/>
        <v/>
      </c>
      <c r="G50" s="511" t="str">
        <f t="shared" si="10"/>
        <v/>
      </c>
    </row>
    <row r="51" spans="3:7" x14ac:dyDescent="0.2">
      <c r="C51" s="506" t="str">
        <f t="shared" si="6"/>
        <v/>
      </c>
      <c r="D51" s="511">
        <f t="shared" si="7"/>
        <v>3.3156632653061222E-2</v>
      </c>
      <c r="E51" s="512">
        <f t="shared" si="8"/>
        <v>5.6111224489795913E-2</v>
      </c>
      <c r="F51" s="511" t="str">
        <f t="shared" si="9"/>
        <v/>
      </c>
      <c r="G51" s="511" t="str">
        <f t="shared" si="10"/>
        <v/>
      </c>
    </row>
    <row r="52" spans="3:7" x14ac:dyDescent="0.2">
      <c r="C52" s="506" t="str">
        <f t="shared" si="6"/>
        <v/>
      </c>
      <c r="D52" s="511">
        <f t="shared" si="7"/>
        <v>0.23974795918367345</v>
      </c>
      <c r="E52" s="512">
        <f t="shared" si="8"/>
        <v>7.9065816326530605E-2</v>
      </c>
      <c r="F52" s="511" t="str">
        <f t="shared" si="9"/>
        <v/>
      </c>
      <c r="G52" s="511" t="str">
        <f t="shared" si="10"/>
        <v/>
      </c>
    </row>
    <row r="53" spans="3:7" x14ac:dyDescent="0.2">
      <c r="C53" s="506" t="str">
        <f t="shared" si="6"/>
        <v>Bonardi et al. (2020)</v>
      </c>
      <c r="D53" s="511">
        <f t="shared" si="7"/>
        <v>0</v>
      </c>
      <c r="E53" s="512" t="str">
        <f t="shared" si="8"/>
        <v>n/a</v>
      </c>
      <c r="F53" s="511" t="str">
        <f t="shared" si="9"/>
        <v/>
      </c>
      <c r="G53" s="511" t="str">
        <f t="shared" ref="G53:G68" si="11">IF(K232&lt;&gt;0,K232,"")</f>
        <v/>
      </c>
    </row>
    <row r="54" spans="3:7" x14ac:dyDescent="0.2">
      <c r="C54" s="506" t="str">
        <f t="shared" si="6"/>
        <v>Guo et al. (2021)</v>
      </c>
      <c r="D54" s="511">
        <f t="shared" si="7"/>
        <v>4.5999999999999999E-2</v>
      </c>
      <c r="E54" s="512">
        <f t="shared" si="8"/>
        <v>0.14799999999999999</v>
      </c>
      <c r="F54" s="511" t="str">
        <f t="shared" si="9"/>
        <v>Main</v>
      </c>
      <c r="G54" s="511">
        <f t="shared" si="11"/>
        <v>4.5999999999999999E-2</v>
      </c>
    </row>
    <row r="55" spans="3:7" x14ac:dyDescent="0.2">
      <c r="C55" s="506" t="str">
        <f t="shared" si="6"/>
        <v>An et al. (2021)</v>
      </c>
      <c r="D55" s="511">
        <f t="shared" si="7"/>
        <v>0.15612949485277217</v>
      </c>
      <c r="E55" s="512">
        <f t="shared" si="8"/>
        <v>8.7208602498503457E-2</v>
      </c>
      <c r="F55" s="511" t="str">
        <f t="shared" si="9"/>
        <v>Main</v>
      </c>
      <c r="G55" s="511">
        <f t="shared" si="11"/>
        <v>0.15909491163937145</v>
      </c>
    </row>
    <row r="56" spans="3:7" x14ac:dyDescent="0.2">
      <c r="C56" s="506" t="str">
        <f t="shared" si="6"/>
        <v/>
      </c>
      <c r="D56" s="511">
        <f t="shared" si="7"/>
        <v>0.16218439239791313</v>
      </c>
      <c r="E56" s="512">
        <f t="shared" si="8"/>
        <v>9.0857143797117776E-2</v>
      </c>
      <c r="F56" s="511" t="str">
        <f t="shared" si="9"/>
        <v/>
      </c>
      <c r="G56" s="511" t="str">
        <f t="shared" si="11"/>
        <v/>
      </c>
    </row>
    <row r="57" spans="3:7" x14ac:dyDescent="0.2">
      <c r="C57" s="506" t="str">
        <f t="shared" si="6"/>
        <v>Sears et al. (2020)</v>
      </c>
      <c r="D57" s="511">
        <f t="shared" si="7"/>
        <v>-0.32151610007036957</v>
      </c>
      <c r="E57" s="512">
        <f t="shared" si="8"/>
        <v>0.17576213470513535</v>
      </c>
      <c r="F57" s="511" t="str">
        <f t="shared" si="9"/>
        <v>Main</v>
      </c>
      <c r="G57" s="511">
        <f t="shared" si="11"/>
        <v>-0.32151610007036957</v>
      </c>
    </row>
    <row r="58" spans="3:7" x14ac:dyDescent="0.2">
      <c r="C58" s="506" t="str">
        <f t="shared" si="6"/>
        <v>Alderman &amp; Harjoto (2020)</v>
      </c>
      <c r="D58" s="511">
        <f t="shared" si="7"/>
        <v>-0.01</v>
      </c>
      <c r="E58" s="512">
        <f t="shared" si="8"/>
        <v>5.9171597633136102E-3</v>
      </c>
      <c r="F58" s="511" t="str">
        <f t="shared" si="9"/>
        <v>Main</v>
      </c>
      <c r="G58" s="511">
        <f t="shared" si="11"/>
        <v>-0.01</v>
      </c>
    </row>
    <row r="59" spans="3:7" x14ac:dyDescent="0.2">
      <c r="C59" s="506" t="str">
        <f t="shared" si="6"/>
        <v>Berry et al. (2020)</v>
      </c>
      <c r="D59" s="511">
        <f t="shared" si="7"/>
        <v>1.1261750695743089E-2</v>
      </c>
      <c r="E59" s="512" t="str">
        <f t="shared" si="8"/>
        <v>n/a</v>
      </c>
      <c r="F59" s="511" t="str">
        <f t="shared" si="9"/>
        <v>Main</v>
      </c>
      <c r="G59" s="511">
        <f t="shared" si="11"/>
        <v>1.1261750695743089E-2</v>
      </c>
    </row>
    <row r="60" spans="3:7" x14ac:dyDescent="0.2">
      <c r="C60" s="506" t="str">
        <f t="shared" si="6"/>
        <v>Fowler et al. (2021)</v>
      </c>
      <c r="D60" s="511">
        <f t="shared" si="7"/>
        <v>-0.35</v>
      </c>
      <c r="E60" s="512">
        <f t="shared" si="8"/>
        <v>6.968641114982578E-2</v>
      </c>
      <c r="F60" s="511" t="str">
        <f t="shared" si="9"/>
        <v>Main</v>
      </c>
      <c r="G60" s="511">
        <f t="shared" si="11"/>
        <v>-0.35</v>
      </c>
    </row>
    <row r="61" spans="3:7" x14ac:dyDescent="0.2">
      <c r="C61" s="506" t="str">
        <f t="shared" si="6"/>
        <v>Gibson (2020)</v>
      </c>
      <c r="D61" s="511">
        <f t="shared" si="7"/>
        <v>-6.0069444444444453E-2</v>
      </c>
      <c r="E61" s="512">
        <f t="shared" si="8"/>
        <v>0.24514577421869621</v>
      </c>
      <c r="F61" s="511" t="str">
        <f t="shared" si="9"/>
        <v>Average</v>
      </c>
      <c r="G61" s="511">
        <f t="shared" si="11"/>
        <v>-5.8197618592940092E-2</v>
      </c>
    </row>
    <row r="62" spans="3:7" x14ac:dyDescent="0.2">
      <c r="C62" s="506" t="str">
        <f t="shared" si="6"/>
        <v/>
      </c>
      <c r="D62" s="511">
        <f t="shared" si="7"/>
        <v>-8.1250000000000003E-2</v>
      </c>
      <c r="E62" s="512">
        <f t="shared" si="8"/>
        <v>0.27500000000000002</v>
      </c>
      <c r="F62" s="511" t="str">
        <f t="shared" si="9"/>
        <v/>
      </c>
      <c r="G62" s="511" t="str">
        <f t="shared" si="11"/>
        <v/>
      </c>
    </row>
    <row r="63" spans="3:7" x14ac:dyDescent="0.2">
      <c r="C63" s="506" t="str">
        <f t="shared" si="6"/>
        <v/>
      </c>
      <c r="D63" s="511">
        <f t="shared" si="7"/>
        <v>-3.8888888888888896E-2</v>
      </c>
      <c r="E63" s="512">
        <f t="shared" si="8"/>
        <v>0.21111111111111114</v>
      </c>
      <c r="F63" s="511" t="str">
        <f t="shared" si="9"/>
        <v/>
      </c>
      <c r="G63" s="511" t="str">
        <f t="shared" si="11"/>
        <v/>
      </c>
    </row>
    <row r="64" spans="3:7" x14ac:dyDescent="0.2">
      <c r="C64" s="506" t="str">
        <f t="shared" si="6"/>
        <v>Dave et al. (2020)</v>
      </c>
      <c r="D64" s="511">
        <f t="shared" si="7"/>
        <v>-0.40389417076968986</v>
      </c>
      <c r="E64" s="512">
        <f t="shared" si="8"/>
        <v>0.36129664144631723</v>
      </c>
      <c r="F64" s="511" t="str">
        <f t="shared" si="9"/>
        <v>Average</v>
      </c>
      <c r="G64" s="511">
        <f t="shared" si="11"/>
        <v>-0.40024818371044751</v>
      </c>
    </row>
    <row r="65" spans="1:7" x14ac:dyDescent="0.2">
      <c r="C65" s="506" t="str">
        <f t="shared" si="6"/>
        <v/>
      </c>
      <c r="D65" s="511">
        <f t="shared" si="7"/>
        <v>-0.50242053176795509</v>
      </c>
      <c r="E65" s="512">
        <f t="shared" si="8"/>
        <v>0.43188011326758319</v>
      </c>
      <c r="F65" s="511" t="str">
        <f t="shared" si="9"/>
        <v/>
      </c>
      <c r="G65" s="511" t="str">
        <f t="shared" si="11"/>
        <v/>
      </c>
    </row>
    <row r="66" spans="1:7" x14ac:dyDescent="0.2">
      <c r="C66" s="506" t="str">
        <f t="shared" si="6"/>
        <v/>
      </c>
      <c r="D66" s="511">
        <f t="shared" si="7"/>
        <v>-0.36109531596808375</v>
      </c>
      <c r="E66" s="512">
        <f t="shared" si="8"/>
        <v>0.34819905468350931</v>
      </c>
      <c r="F66" s="511" t="str">
        <f t="shared" si="9"/>
        <v/>
      </c>
      <c r="G66" s="511" t="str">
        <f t="shared" si="11"/>
        <v/>
      </c>
    </row>
    <row r="67" spans="1:7" x14ac:dyDescent="0.2">
      <c r="C67" s="506" t="str">
        <f t="shared" si="6"/>
        <v/>
      </c>
      <c r="D67" s="511">
        <f t="shared" si="7"/>
        <v>-0.38798592599865012</v>
      </c>
      <c r="E67" s="512">
        <f t="shared" si="8"/>
        <v>0.34531537609248492</v>
      </c>
      <c r="F67" s="511" t="str">
        <f t="shared" si="9"/>
        <v/>
      </c>
      <c r="G67" s="511" t="str">
        <f t="shared" si="11"/>
        <v/>
      </c>
    </row>
    <row r="68" spans="1:7" x14ac:dyDescent="0.2">
      <c r="C68" s="506" t="str">
        <f t="shared" si="6"/>
        <v/>
      </c>
      <c r="D68" s="511">
        <f t="shared" si="7"/>
        <v>-0.39286250626121033</v>
      </c>
      <c r="E68" s="512">
        <f t="shared" si="8"/>
        <v>0.34326263072121782</v>
      </c>
      <c r="F68" s="511" t="str">
        <f t="shared" si="9"/>
        <v/>
      </c>
      <c r="G68" s="511" t="str">
        <f t="shared" si="11"/>
        <v/>
      </c>
    </row>
    <row r="69" spans="1:7" x14ac:dyDescent="0.2">
      <c r="C69" s="507" t="str">
        <f t="shared" si="6"/>
        <v/>
      </c>
      <c r="D69" s="513">
        <f t="shared" si="7"/>
        <v>-0.37562242158858872</v>
      </c>
      <c r="E69" s="514">
        <f t="shared" si="8"/>
        <v>0.31899993340856797</v>
      </c>
      <c r="F69" s="513" t="str">
        <f t="shared" si="9"/>
        <v/>
      </c>
      <c r="G69" s="513" t="str">
        <f>IF(K248&lt;&gt;0,K248,"")</f>
        <v/>
      </c>
    </row>
    <row r="70" spans="1:7" x14ac:dyDescent="0.2">
      <c r="D70" s="449"/>
      <c r="E70" s="470"/>
      <c r="F70" s="449"/>
      <c r="G70" s="449"/>
    </row>
    <row r="77" spans="1:7" s="495" customFormat="1" ht="19.5" x14ac:dyDescent="0.4">
      <c r="A77" s="495" t="s">
        <v>938</v>
      </c>
    </row>
    <row r="79" spans="1:7" s="477" customFormat="1" ht="19.5" x14ac:dyDescent="0.4">
      <c r="B79" s="477" t="s">
        <v>86</v>
      </c>
    </row>
    <row r="81" spans="3:14" x14ac:dyDescent="0.2">
      <c r="C81" s="433" t="s">
        <v>0</v>
      </c>
    </row>
    <row r="82" spans="3:14" x14ac:dyDescent="0.2">
      <c r="C82" s="438" t="s">
        <v>922</v>
      </c>
      <c r="D82" s="438" t="s">
        <v>737</v>
      </c>
      <c r="E82" s="438" t="s">
        <v>15</v>
      </c>
      <c r="F82" s="438" t="s">
        <v>923</v>
      </c>
      <c r="H82" s="470"/>
      <c r="N82" s="471"/>
    </row>
    <row r="83" spans="3:14" x14ac:dyDescent="0.2">
      <c r="C83" s="443" t="s">
        <v>240</v>
      </c>
      <c r="D83" s="489">
        <f>'Standardizing estimates'!D70</f>
        <v>-3.0820447444083188E-3</v>
      </c>
      <c r="E83" s="490">
        <f>'Standardizing estimates'!E70</f>
        <v>8.2187859850888501E-3</v>
      </c>
      <c r="F83" s="491">
        <f>'Standardizing estimates'!F70</f>
        <v>30.418117767462142</v>
      </c>
      <c r="H83" s="470"/>
      <c r="I83" s="470"/>
      <c r="J83" s="471"/>
      <c r="N83" s="471"/>
    </row>
    <row r="84" spans="3:14" x14ac:dyDescent="0.2">
      <c r="C84" s="443"/>
      <c r="D84" s="489">
        <f>'Standardizing estimates'!D71</f>
        <v>0.26364657161019567</v>
      </c>
      <c r="E84" s="490">
        <f>'Standardizing estimates'!E71</f>
        <v>0.18455260012713698</v>
      </c>
      <c r="F84" s="491">
        <f>'Standardizing estimates'!F71</f>
        <v>1.3546273519190559</v>
      </c>
      <c r="H84" s="470"/>
      <c r="I84" s="470"/>
      <c r="J84" s="471"/>
    </row>
    <row r="85" spans="3:14" x14ac:dyDescent="0.2">
      <c r="C85" s="443"/>
      <c r="D85" s="489">
        <f>'Standardizing estimates'!D72</f>
        <v>-0.31127007761556869</v>
      </c>
      <c r="E85" s="490">
        <f>'Standardizing estimates'!E72</f>
        <v>0.23510825011388697</v>
      </c>
      <c r="F85" s="491">
        <f>'Standardizing estimates'!F72</f>
        <v>1.0633399716041416</v>
      </c>
      <c r="H85" s="470"/>
      <c r="I85" s="470"/>
      <c r="J85" s="471"/>
    </row>
    <row r="86" spans="3:14" x14ac:dyDescent="0.2">
      <c r="C86" s="443"/>
      <c r="D86" s="489">
        <f>'Standardizing estimates'!D73</f>
        <v>3.1186851708321361E-2</v>
      </c>
      <c r="E86" s="490">
        <f>'Standardizing estimates'!E73</f>
        <v>0.51458305318730246</v>
      </c>
      <c r="F86" s="491">
        <f>'Standardizing estimates'!F73</f>
        <v>0.48583022400662462</v>
      </c>
      <c r="H86" s="470"/>
      <c r="I86" s="470"/>
      <c r="J86" s="471"/>
    </row>
    <row r="87" spans="3:14" x14ac:dyDescent="0.2">
      <c r="C87" s="443" t="s">
        <v>269</v>
      </c>
      <c r="D87" s="489">
        <f>'Standardizing estimates'!D74</f>
        <v>-4.0159765066823672E-2</v>
      </c>
      <c r="E87" s="490">
        <f>'Standardizing estimates'!E74</f>
        <v>3.9495967297124108E-3</v>
      </c>
      <c r="F87" s="491">
        <f>'Standardizing estimates'!F74</f>
        <v>63.297601529613303</v>
      </c>
      <c r="H87" s="470"/>
      <c r="I87" s="470"/>
      <c r="J87" s="471"/>
    </row>
    <row r="88" spans="3:14" x14ac:dyDescent="0.2">
      <c r="C88" s="443"/>
      <c r="D88" s="489">
        <f>'Standardizing estimates'!D75</f>
        <v>-2.4566776305971705E-2</v>
      </c>
      <c r="E88" s="490">
        <f>'Standardizing estimates'!E75</f>
        <v>4.5988567258424184E-3</v>
      </c>
      <c r="F88" s="491">
        <f>'Standardizing estimates'!F75</f>
        <v>54.361336937324353</v>
      </c>
      <c r="H88" s="470"/>
      <c r="I88" s="470"/>
      <c r="J88" s="471"/>
    </row>
    <row r="89" spans="3:14" x14ac:dyDescent="0.2">
      <c r="C89" s="443"/>
      <c r="D89" s="489">
        <f>'Standardizing estimates'!D76</f>
        <v>-2.5062285339323864E-2</v>
      </c>
      <c r="E89" s="490">
        <f>'Standardizing estimates'!E76</f>
        <v>3.1411478713323894E-3</v>
      </c>
      <c r="F89" s="491">
        <f>'Standardizing estimates'!F76</f>
        <v>79.588739607459743</v>
      </c>
      <c r="H89" s="470"/>
      <c r="I89" s="470"/>
      <c r="J89" s="471"/>
    </row>
    <row r="90" spans="3:14" x14ac:dyDescent="0.2">
      <c r="C90" s="443"/>
      <c r="D90" s="489">
        <f>'Standardizing estimates'!D77</f>
        <v>-3.6327365288010449E-2</v>
      </c>
      <c r="E90" s="490">
        <f>'Standardizing estimates'!E77</f>
        <v>3.3860393743817998E-3</v>
      </c>
      <c r="F90" s="491">
        <f>'Standardizing estimates'!F77</f>
        <v>73.832573209708556</v>
      </c>
      <c r="H90" s="470"/>
      <c r="I90" s="470"/>
      <c r="J90" s="471"/>
    </row>
    <row r="91" spans="3:14" x14ac:dyDescent="0.2">
      <c r="C91" s="443" t="s">
        <v>412</v>
      </c>
      <c r="D91" s="489">
        <f>'Standardizing estimates'!D78</f>
        <v>0.11715264654310653</v>
      </c>
      <c r="E91" s="490">
        <f>'Standardizing estimates'!E78</f>
        <v>1.4418787266843881E-2</v>
      </c>
      <c r="F91" s="491">
        <f>'Standardizing estimates'!F78</f>
        <v>11.558993387045666</v>
      </c>
      <c r="H91" s="470"/>
      <c r="I91" s="470"/>
      <c r="J91" s="471"/>
    </row>
    <row r="92" spans="3:14" x14ac:dyDescent="0.2">
      <c r="C92" s="443"/>
      <c r="D92" s="489">
        <f>'Standardizing estimates'!D79</f>
        <v>0.4925129106658831</v>
      </c>
      <c r="E92" s="490">
        <f>'Standardizing estimates'!E79</f>
        <v>6.0616973620416383E-2</v>
      </c>
      <c r="F92" s="491">
        <f>'Standardizing estimates'!F79</f>
        <v>2.749504911121655</v>
      </c>
      <c r="H92" s="470"/>
      <c r="I92" s="470"/>
      <c r="J92" s="471"/>
    </row>
    <row r="93" spans="3:14" x14ac:dyDescent="0.2">
      <c r="C93" s="443"/>
      <c r="D93" s="489">
        <f>'Standardizing estimates'!D80</f>
        <v>7.9971233062565261E-2</v>
      </c>
      <c r="E93" s="490">
        <f>'Standardizing estimates'!E80</f>
        <v>9.8426133000080324E-3</v>
      </c>
      <c r="F93" s="491">
        <f>'Standardizing estimates'!F80</f>
        <v>16.933172277176698</v>
      </c>
      <c r="H93" s="470"/>
      <c r="I93" s="470"/>
      <c r="J93" s="471"/>
    </row>
    <row r="94" spans="3:14" x14ac:dyDescent="0.2">
      <c r="C94" s="443"/>
      <c r="D94" s="489">
        <f>'Standardizing estimates'!D81</f>
        <v>6.3482747201465628E-2</v>
      </c>
      <c r="E94" s="490">
        <f>'Standardizing estimates'!E81</f>
        <v>7.8132611940265398E-3</v>
      </c>
      <c r="F94" s="491">
        <f>'Standardizing estimates'!F81</f>
        <v>21.331254968679158</v>
      </c>
      <c r="H94" s="470"/>
      <c r="I94" s="470"/>
      <c r="J94" s="471"/>
    </row>
    <row r="95" spans="3:14" x14ac:dyDescent="0.2">
      <c r="C95" s="443"/>
      <c r="D95" s="489">
        <f>'Standardizing estimates'!D82</f>
        <v>0.26878554671779431</v>
      </c>
      <c r="E95" s="490">
        <f>'Standardizing estimates'!E82</f>
        <v>3.3081298057574683E-2</v>
      </c>
      <c r="F95" s="491">
        <f>'Standardizing estimates'!F82</f>
        <v>5.0380933171546056</v>
      </c>
      <c r="H95" s="470"/>
      <c r="I95" s="470"/>
      <c r="J95" s="471"/>
    </row>
    <row r="96" spans="3:14" x14ac:dyDescent="0.2">
      <c r="C96" s="443"/>
      <c r="D96" s="489">
        <f>'Standardizing estimates'!D83</f>
        <v>0.23438175332447053</v>
      </c>
      <c r="E96" s="490">
        <f>'Standardizing estimates'!E83</f>
        <v>2.8846985024550222E-2</v>
      </c>
      <c r="F96" s="491">
        <f>'Standardizing estimates'!F83</f>
        <v>5.7776113006203254</v>
      </c>
      <c r="H96" s="470"/>
      <c r="I96" s="470"/>
      <c r="J96" s="471"/>
    </row>
    <row r="97" spans="3:10" x14ac:dyDescent="0.2">
      <c r="C97" s="443" t="s">
        <v>629</v>
      </c>
      <c r="D97" s="489">
        <f>'Standardizing estimates'!D84</f>
        <v>-7.5420107976104989E-2</v>
      </c>
      <c r="E97" s="490">
        <f>'Standardizing estimates'!E84</f>
        <v>1.9724465629278657E-2</v>
      </c>
      <c r="F97" s="491">
        <f>'Standardizing estimates'!F84</f>
        <v>16.899486130490605</v>
      </c>
      <c r="H97" s="470"/>
      <c r="I97" s="470"/>
      <c r="J97" s="471"/>
    </row>
    <row r="98" spans="3:10" x14ac:dyDescent="0.2">
      <c r="C98" s="443"/>
      <c r="D98" s="489">
        <f>'Standardizing estimates'!D85</f>
        <v>-7.774976266690975E-2</v>
      </c>
      <c r="E98" s="490">
        <f>'Standardizing estimates'!E85</f>
        <v>1.5948968039727465E-2</v>
      </c>
      <c r="F98" s="491">
        <f>'Standardizing estimates'!F85</f>
        <v>20.899993811701769</v>
      </c>
      <c r="H98" s="470"/>
      <c r="I98" s="470"/>
      <c r="J98" s="471"/>
    </row>
    <row r="99" spans="3:10" x14ac:dyDescent="0.2">
      <c r="C99" s="443"/>
      <c r="D99" s="489">
        <f>'Standardizing estimates'!D86</f>
        <v>-7.602035160243481E-2</v>
      </c>
      <c r="E99" s="490">
        <f>'Standardizing estimates'!E86</f>
        <v>1.806710999483354E-2</v>
      </c>
      <c r="F99" s="491">
        <f>'Standardizing estimates'!F86</f>
        <v>18.449731773850555</v>
      </c>
      <c r="H99" s="470"/>
      <c r="I99" s="470"/>
      <c r="J99" s="471"/>
    </row>
    <row r="100" spans="3:10" x14ac:dyDescent="0.2">
      <c r="C100" s="443" t="s">
        <v>688</v>
      </c>
      <c r="D100" s="489">
        <f>'Standardizing estimates'!D87</f>
        <v>-0.3534582598710535</v>
      </c>
      <c r="E100" s="490">
        <f>'Standardizing estimates'!E87</f>
        <v>9.0853199654610597E-2</v>
      </c>
      <c r="F100" s="491">
        <f>'Standardizing estimates'!F87</f>
        <v>11.006767002170761</v>
      </c>
      <c r="H100" s="470"/>
      <c r="I100" s="470"/>
      <c r="J100" s="471"/>
    </row>
    <row r="101" spans="3:10" x14ac:dyDescent="0.2">
      <c r="C101" s="443" t="s">
        <v>696</v>
      </c>
      <c r="D101" s="489">
        <f>'Standardizing estimates'!D88</f>
        <v>-2.4009081653636168E-2</v>
      </c>
      <c r="E101" s="490">
        <f>'Standardizing estimates'!E88</f>
        <v>5.5315054827894576E-3</v>
      </c>
      <c r="F101" s="494">
        <f>'Standardizing estimates'!F88</f>
        <v>0</v>
      </c>
      <c r="H101" s="470"/>
      <c r="I101" s="470"/>
      <c r="J101" s="471"/>
    </row>
    <row r="102" spans="3:10" x14ac:dyDescent="0.2">
      <c r="C102" s="443"/>
      <c r="D102" s="489">
        <f>'Standardizing estimates'!D89</f>
        <v>-8.9252370371751891E-3</v>
      </c>
      <c r="E102" s="490">
        <f>'Standardizing estimates'!E89</f>
        <v>7.9471288687176355E-3</v>
      </c>
      <c r="F102" s="494">
        <f>'Standardizing estimates'!F89</f>
        <v>62.915803714742204</v>
      </c>
      <c r="H102" s="470"/>
      <c r="I102" s="470"/>
      <c r="J102" s="471"/>
    </row>
    <row r="103" spans="3:10" x14ac:dyDescent="0.2">
      <c r="C103" s="443"/>
      <c r="D103" s="489">
        <f>'Standardizing estimates'!D90</f>
        <v>-3.862766896341531E-2</v>
      </c>
      <c r="E103" s="490">
        <f>'Standardizing estimates'!E90</f>
        <v>5.805999322721933E-5</v>
      </c>
      <c r="F103" s="494">
        <f>'Standardizing estimates'!F90</f>
        <v>8611.7819208699639</v>
      </c>
      <c r="H103" s="470"/>
      <c r="I103" s="470"/>
      <c r="J103" s="471"/>
    </row>
    <row r="104" spans="3:10" x14ac:dyDescent="0.2">
      <c r="C104" s="443" t="s">
        <v>766</v>
      </c>
      <c r="D104" s="489">
        <f>'Standardizing estimates'!D91</f>
        <v>-0.16329011082141937</v>
      </c>
      <c r="E104" s="490">
        <f>'Standardizing estimates'!E91</f>
        <v>4.523271767906354E-2</v>
      </c>
      <c r="F104" s="491">
        <f>'Standardizing estimates'!F91</f>
        <v>5.5269727937597537</v>
      </c>
      <c r="H104" s="470"/>
      <c r="I104" s="470"/>
      <c r="J104" s="471"/>
    </row>
    <row r="105" spans="3:10" x14ac:dyDescent="0.2">
      <c r="C105" s="443"/>
      <c r="D105" s="489">
        <f>'Standardizing estimates'!D92</f>
        <v>0.28636005410831955</v>
      </c>
      <c r="E105" s="490">
        <f>'Standardizing estimates'!E92</f>
        <v>7.1057085386679777E-2</v>
      </c>
      <c r="F105" s="491">
        <f>'Standardizing estimates'!F92</f>
        <v>3.5182979802724152</v>
      </c>
      <c r="H105" s="470"/>
      <c r="I105" s="470"/>
      <c r="J105" s="471"/>
    </row>
    <row r="106" spans="3:10" x14ac:dyDescent="0.2">
      <c r="C106" s="443"/>
      <c r="D106" s="489">
        <f>'Standardizing estimates'!D93</f>
        <v>0.5378512624998707</v>
      </c>
      <c r="E106" s="490">
        <f>'Standardizing estimates'!E93</f>
        <v>8.8901035123945565E-2</v>
      </c>
      <c r="F106" s="491">
        <f>'Standardizing estimates'!F93</f>
        <v>2.812115738038941</v>
      </c>
      <c r="H106" s="470"/>
      <c r="I106" s="470"/>
      <c r="J106" s="471"/>
    </row>
    <row r="107" spans="3:10" x14ac:dyDescent="0.2">
      <c r="C107" s="443"/>
      <c r="D107" s="489">
        <f>'Standardizing estimates'!D94</f>
        <v>0.26785128741619307</v>
      </c>
      <c r="E107" s="490">
        <f>'Standardizing estimates'!E94</f>
        <v>6.9752939431300287E-2</v>
      </c>
      <c r="F107" s="491">
        <f>'Standardizing estimates'!F94</f>
        <v>3.5840783490740939</v>
      </c>
      <c r="H107" s="470"/>
      <c r="I107" s="470"/>
      <c r="J107" s="471"/>
    </row>
    <row r="108" spans="3:10" x14ac:dyDescent="0.2">
      <c r="C108" s="443" t="s">
        <v>781</v>
      </c>
      <c r="D108" s="489">
        <f>'Standardizing estimates'!D95</f>
        <v>-0.16869018010788994</v>
      </c>
      <c r="E108" s="490">
        <f>'Standardizing estimates'!E95</f>
        <v>2.8115030017981657E-2</v>
      </c>
      <c r="F108" s="491">
        <f>'Standardizing estimates'!F95</f>
        <v>8.8920410129424141</v>
      </c>
      <c r="H108" s="470"/>
      <c r="I108" s="470"/>
      <c r="J108" s="471"/>
    </row>
    <row r="109" spans="3:10" x14ac:dyDescent="0.2">
      <c r="C109" s="443"/>
      <c r="D109" s="489">
        <f>'Standardizing estimates'!D96</f>
        <v>-0.14269704592047366</v>
      </c>
      <c r="E109" s="490">
        <f>'Standardizing estimates'!E96</f>
        <v>2.8539409184094734E-2</v>
      </c>
      <c r="F109" s="491">
        <f>'Standardizing estimates'!F96</f>
        <v>8.7598169390040219</v>
      </c>
      <c r="H109" s="470"/>
      <c r="I109" s="470"/>
      <c r="J109" s="471"/>
    </row>
    <row r="110" spans="3:10" x14ac:dyDescent="0.2">
      <c r="C110" s="443"/>
      <c r="D110" s="489">
        <f>'Standardizing estimates'!D97</f>
        <v>-0.11588999509703302</v>
      </c>
      <c r="E110" s="490">
        <f>'Standardizing estimates'!E97</f>
        <v>2.8972498774258254E-2</v>
      </c>
      <c r="F110" s="491">
        <f>'Standardizing estimates'!F97</f>
        <v>8.6288725714649868</v>
      </c>
      <c r="H110" s="470"/>
      <c r="I110" s="470"/>
      <c r="J110" s="471"/>
    </row>
    <row r="111" spans="3:10" x14ac:dyDescent="0.2">
      <c r="C111" s="451"/>
      <c r="D111" s="463">
        <f>'Standardizing estimates'!D98</f>
        <v>-0.47608502355800819</v>
      </c>
      <c r="E111" s="459">
        <f>'Standardizing estimates'!E98</f>
        <v>4.5341430815048399E-2</v>
      </c>
      <c r="F111" s="492">
        <f>'Standardizing estimates'!F98</f>
        <v>5.513721016431341</v>
      </c>
      <c r="H111" s="470"/>
      <c r="I111" s="470"/>
      <c r="J111" s="471"/>
    </row>
    <row r="112" spans="3:10" x14ac:dyDescent="0.2">
      <c r="D112" s="465"/>
      <c r="E112" s="465"/>
      <c r="F112" s="472"/>
    </row>
    <row r="113" spans="3:10" x14ac:dyDescent="0.2">
      <c r="D113" s="465"/>
      <c r="E113" s="465"/>
      <c r="F113" s="472"/>
    </row>
    <row r="114" spans="3:10" x14ac:dyDescent="0.2">
      <c r="D114" s="465"/>
      <c r="E114" s="465"/>
      <c r="F114" s="472"/>
      <c r="H114" s="449"/>
      <c r="I114" s="465"/>
    </row>
    <row r="115" spans="3:10" x14ac:dyDescent="0.2">
      <c r="C115" s="433" t="s">
        <v>924</v>
      </c>
    </row>
    <row r="116" spans="3:10" x14ac:dyDescent="0.2">
      <c r="C116" s="438" t="s">
        <v>922</v>
      </c>
      <c r="D116" s="438" t="s">
        <v>747</v>
      </c>
      <c r="E116" s="438" t="s">
        <v>925</v>
      </c>
      <c r="F116" s="438" t="s">
        <v>923</v>
      </c>
    </row>
    <row r="117" spans="3:10" x14ac:dyDescent="0.2">
      <c r="C117" s="443" t="s">
        <v>255</v>
      </c>
      <c r="D117" s="489">
        <f>'Standardizing estimates'!D250</f>
        <v>-0.17695473251028815</v>
      </c>
      <c r="E117" s="490">
        <f>'Standardizing estimates'!E250</f>
        <v>0.14259446883560367</v>
      </c>
      <c r="F117" s="503">
        <f>'Standardizing estimates'!F250</f>
        <v>7.0128947368421013</v>
      </c>
      <c r="G117" s="433"/>
      <c r="J117" s="471"/>
    </row>
    <row r="118" spans="3:10" x14ac:dyDescent="0.2">
      <c r="C118" s="443" t="s">
        <v>442</v>
      </c>
      <c r="D118" s="489">
        <f>'Standardizing estimates'!D251</f>
        <v>4.8995231350040705E-2</v>
      </c>
      <c r="E118" s="490">
        <f>'Standardizing estimates'!E251</f>
        <v>2.8033413309875559E-2</v>
      </c>
      <c r="F118" s="503">
        <f>'Standardizing estimates'!F251</f>
        <v>0</v>
      </c>
      <c r="G118" s="433"/>
      <c r="J118" s="471"/>
    </row>
    <row r="119" spans="3:10" x14ac:dyDescent="0.2">
      <c r="C119" s="443"/>
      <c r="D119" s="489">
        <f>'Standardizing estimates'!D252</f>
        <v>-1.9405788854149605E-2</v>
      </c>
      <c r="E119" s="490">
        <f>'Standardizing estimates'!E252</f>
        <v>7.1933161516839431E-3</v>
      </c>
      <c r="F119" s="503">
        <f>'Standardizing estimates'!F252</f>
        <v>139.01794094868217</v>
      </c>
      <c r="G119" s="433"/>
      <c r="J119" s="471"/>
    </row>
    <row r="120" spans="3:10" x14ac:dyDescent="0.2">
      <c r="C120" s="443"/>
      <c r="D120" s="489">
        <f>'Standardizing estimates'!D253</f>
        <v>2.0000131357617232E-2</v>
      </c>
      <c r="E120" s="490">
        <f>'Standardizing estimates'!E253</f>
        <v>3.679871107571793E-2</v>
      </c>
      <c r="F120" s="503">
        <f>'Standardizing estimates'!F253</f>
        <v>27.174864846281586</v>
      </c>
      <c r="G120" s="433"/>
      <c r="J120" s="471"/>
    </row>
    <row r="121" spans="3:10" x14ac:dyDescent="0.2">
      <c r="C121" s="443"/>
      <c r="D121" s="489">
        <f>'Standardizing estimates'!D254</f>
        <v>1.9400658144767588E-2</v>
      </c>
      <c r="E121" s="490">
        <f>'Standardizing estimates'!E254</f>
        <v>3.6186623825550462E-2</v>
      </c>
      <c r="F121" s="503">
        <f>'Standardizing estimates'!F254</f>
        <v>27.634520557121586</v>
      </c>
      <c r="G121" s="433"/>
      <c r="J121" s="471"/>
    </row>
    <row r="122" spans="3:10" x14ac:dyDescent="0.2">
      <c r="C122" s="443"/>
      <c r="D122" s="489">
        <f>'Standardizing estimates'!D255</f>
        <v>8.1582410837095498E-3</v>
      </c>
      <c r="E122" s="490">
        <f>'Standardizing estimates'!E255</f>
        <v>6.8817815944216612E-2</v>
      </c>
      <c r="F122" s="503">
        <f>'Standardizing estimates'!F255</f>
        <v>14.531120848278521</v>
      </c>
      <c r="G122" s="433"/>
      <c r="J122" s="471"/>
    </row>
    <row r="123" spans="3:10" x14ac:dyDescent="0.2">
      <c r="C123" s="443"/>
      <c r="D123" s="489">
        <f>'Standardizing estimates'!D256</f>
        <v>2.2800401889216018E-2</v>
      </c>
      <c r="E123" s="490">
        <f>'Standardizing estimates'!E256</f>
        <v>3.9000687442080031E-2</v>
      </c>
      <c r="F123" s="503">
        <f>'Standardizing estimates'!F256</f>
        <v>25.640573681812693</v>
      </c>
      <c r="G123" s="433"/>
      <c r="J123" s="471"/>
    </row>
    <row r="124" spans="3:10" x14ac:dyDescent="0.2">
      <c r="C124" s="443"/>
      <c r="D124" s="489">
        <f>'Standardizing estimates'!D257</f>
        <v>-3.5238181122122042E-2</v>
      </c>
      <c r="E124" s="490">
        <f>'Standardizing estimates'!E257</f>
        <v>1.797866383781737E-2</v>
      </c>
      <c r="F124" s="503">
        <f>'Standardizing estimates'!F257</f>
        <v>55.621486058187578</v>
      </c>
      <c r="G124" s="433"/>
      <c r="J124" s="471"/>
    </row>
    <row r="125" spans="3:10" x14ac:dyDescent="0.2">
      <c r="C125" s="443"/>
      <c r="D125" s="489">
        <f>'Standardizing estimates'!D258</f>
        <v>7.4263358789366712E-2</v>
      </c>
      <c r="E125" s="490">
        <f>'Standardizing estimates'!E258</f>
        <v>4.9304885643123485E-2</v>
      </c>
      <c r="F125" s="503">
        <f>'Standardizing estimates'!F258</f>
        <v>20.28196571102826</v>
      </c>
      <c r="G125" s="433"/>
      <c r="J125" s="471"/>
    </row>
    <row r="126" spans="3:10" x14ac:dyDescent="0.2">
      <c r="C126" s="443"/>
      <c r="D126" s="489">
        <f>'Standardizing estimates'!D259</f>
        <v>7.5187805442347558E-2</v>
      </c>
      <c r="E126" s="490">
        <f>'Standardizing estimates'!E259</f>
        <v>4.7985657536775202E-2</v>
      </c>
      <c r="F126" s="503">
        <f>'Standardizing estimates'!F259</f>
        <v>20.839560221377003</v>
      </c>
      <c r="G126" s="433"/>
      <c r="J126" s="471"/>
    </row>
    <row r="127" spans="3:10" x14ac:dyDescent="0.2">
      <c r="C127" s="443"/>
      <c r="D127" s="489">
        <f>'Standardizing estimates'!D260</f>
        <v>6.8749841250549615E-2</v>
      </c>
      <c r="E127" s="490">
        <f>'Standardizing estimates'!E260</f>
        <v>6.1558007607094373E-2</v>
      </c>
      <c r="F127" s="503">
        <f>'Standardizing estimates'!F260</f>
        <v>16.244840255108468</v>
      </c>
      <c r="G127" s="433"/>
      <c r="J127" s="471"/>
    </row>
    <row r="128" spans="3:10" x14ac:dyDescent="0.2">
      <c r="C128" s="443"/>
      <c r="D128" s="489">
        <f>'Standardizing estimates'!D261</f>
        <v>7.6723519983851657E-2</v>
      </c>
      <c r="E128" s="490">
        <f>'Standardizing estimates'!E261</f>
        <v>6.8541823329931195E-2</v>
      </c>
      <c r="F128" s="503">
        <f>'Standardizing estimates'!F261</f>
        <v>14.589632306488626</v>
      </c>
      <c r="G128" s="433"/>
      <c r="J128" s="471"/>
    </row>
    <row r="129" spans="3:10" x14ac:dyDescent="0.2">
      <c r="C129" s="443" t="s">
        <v>583</v>
      </c>
      <c r="D129" s="489">
        <f>'Standardizing estimates'!D262</f>
        <v>0.13071364795918367</v>
      </c>
      <c r="E129" s="490">
        <f>'Standardizing estimates'!E262</f>
        <v>6.5675637755102018E-2</v>
      </c>
      <c r="F129" s="503">
        <f>'Standardizing estimates'!F262</f>
        <v>0</v>
      </c>
      <c r="G129" s="433"/>
      <c r="J129" s="471"/>
    </row>
    <row r="130" spans="3:10" x14ac:dyDescent="0.2">
      <c r="C130" s="443"/>
      <c r="D130" s="489">
        <f>'Standardizing estimates'!D263</f>
        <v>1.020204081632653E-2</v>
      </c>
      <c r="E130" s="490">
        <f>'Standardizing estimates'!E263</f>
        <v>4.8459693877551016E-2</v>
      </c>
      <c r="F130" s="503">
        <f>'Standardizing estimates'!F263</f>
        <v>20.63570608858614</v>
      </c>
      <c r="G130" s="433"/>
      <c r="J130" s="471"/>
    </row>
    <row r="131" spans="3:10" x14ac:dyDescent="0.2">
      <c r="C131" s="443"/>
      <c r="D131" s="489">
        <f>'Standardizing estimates'!D264</f>
        <v>3.3156632653061222E-2</v>
      </c>
      <c r="E131" s="490">
        <f>'Standardizing estimates'!E264</f>
        <v>5.6111224489795913E-2</v>
      </c>
      <c r="F131" s="503">
        <f>'Standardizing estimates'!F264</f>
        <v>17.821746167415302</v>
      </c>
      <c r="G131" s="433"/>
      <c r="J131" s="471"/>
    </row>
    <row r="132" spans="3:10" x14ac:dyDescent="0.2">
      <c r="C132" s="443"/>
      <c r="D132" s="489">
        <f>'Standardizing estimates'!D265</f>
        <v>0.23974795918367345</v>
      </c>
      <c r="E132" s="490">
        <f>'Standardizing estimates'!E265</f>
        <v>7.9065816326530605E-2</v>
      </c>
      <c r="F132" s="503">
        <f>'Standardizing estimates'!F265</f>
        <v>12.64769082848828</v>
      </c>
      <c r="G132" s="433"/>
      <c r="J132" s="471"/>
    </row>
    <row r="133" spans="3:10" x14ac:dyDescent="0.2">
      <c r="C133" s="443" t="str">
        <f>'Standardizing estimates'!C266</f>
        <v>Bonardi et al. (2020)</v>
      </c>
      <c r="D133" s="489">
        <f>'Standardizing estimates'!D266</f>
        <v>0</v>
      </c>
      <c r="E133" s="490" t="str">
        <f>'Standardizing estimates'!E266</f>
        <v>n/a</v>
      </c>
      <c r="F133" s="503" t="str">
        <f>'Standardizing estimates'!F266</f>
        <v>n/a</v>
      </c>
      <c r="G133" s="433"/>
      <c r="J133" s="471"/>
    </row>
    <row r="134" spans="3:10" x14ac:dyDescent="0.2">
      <c r="C134" s="443" t="s">
        <v>676</v>
      </c>
      <c r="D134" s="489">
        <f>'Standardizing estimates'!D267</f>
        <v>4.5999999999999999E-2</v>
      </c>
      <c r="E134" s="490">
        <f>'Standardizing estimates'!E267</f>
        <v>0.14799999999999999</v>
      </c>
      <c r="F134" s="503">
        <f>'Standardizing estimates'!F267</f>
        <v>6.756756756756757</v>
      </c>
      <c r="G134" s="433"/>
      <c r="J134" s="471"/>
    </row>
    <row r="135" spans="3:10" x14ac:dyDescent="0.2">
      <c r="C135" s="443" t="s">
        <v>703</v>
      </c>
      <c r="D135" s="489">
        <f>'Standardizing estimates'!D268</f>
        <v>0.15612949485277217</v>
      </c>
      <c r="E135" s="490">
        <f>'Standardizing estimates'!E268</f>
        <v>8.7208602498503457E-2</v>
      </c>
      <c r="F135" s="503">
        <f>'Standardizing estimates'!F268</f>
        <v>11.466758683779625</v>
      </c>
      <c r="G135" s="433"/>
      <c r="J135" s="471"/>
    </row>
    <row r="136" spans="3:10" x14ac:dyDescent="0.2">
      <c r="C136" s="443"/>
      <c r="D136" s="489">
        <f>'Standardizing estimates'!D269</f>
        <v>0.16218439239791313</v>
      </c>
      <c r="E136" s="490">
        <f>'Standardizing estimates'!E269</f>
        <v>9.0857143797117776E-2</v>
      </c>
      <c r="F136" s="503">
        <f>'Standardizing estimates'!F269</f>
        <v>11.006289194309041</v>
      </c>
      <c r="G136" s="433"/>
      <c r="J136" s="471"/>
    </row>
    <row r="137" spans="3:10" x14ac:dyDescent="0.2">
      <c r="C137" s="443" t="s">
        <v>274</v>
      </c>
      <c r="D137" s="489">
        <f>'Standardizing estimates'!D272</f>
        <v>-0.32151610007036957</v>
      </c>
      <c r="E137" s="490">
        <f>'Standardizing estimates'!E272</f>
        <v>0.17576213470513535</v>
      </c>
      <c r="F137" s="503">
        <f>'Standardizing estimates'!F272</f>
        <v>5.6895075931891395</v>
      </c>
      <c r="G137" s="433"/>
      <c r="J137" s="471"/>
    </row>
    <row r="138" spans="3:10" x14ac:dyDescent="0.2">
      <c r="C138" s="443" t="s">
        <v>304</v>
      </c>
      <c r="D138" s="489">
        <f>'Standardizing estimates'!D273</f>
        <v>-0.01</v>
      </c>
      <c r="E138" s="490">
        <f>'Standardizing estimates'!E273</f>
        <v>5.9171597633136102E-3</v>
      </c>
      <c r="F138" s="503">
        <f>'Standardizing estimates'!F273</f>
        <v>168.99999999999997</v>
      </c>
      <c r="G138" s="433"/>
      <c r="J138" s="471"/>
    </row>
    <row r="139" spans="3:10" x14ac:dyDescent="0.2">
      <c r="C139" s="443" t="s">
        <v>310</v>
      </c>
      <c r="D139" s="489">
        <f>'Standardizing estimates'!D274</f>
        <v>1.1261750695743089E-2</v>
      </c>
      <c r="E139" s="490" t="str">
        <f>'Standardizing estimates'!E274</f>
        <v>n/a</v>
      </c>
      <c r="F139" s="503" t="str">
        <f>'Standardizing estimates'!F274</f>
        <v>n/a</v>
      </c>
      <c r="G139" s="433"/>
      <c r="J139" s="471"/>
    </row>
    <row r="140" spans="3:10" x14ac:dyDescent="0.2">
      <c r="C140" s="443" t="s">
        <v>438</v>
      </c>
      <c r="D140" s="489">
        <f>'Standardizing estimates'!D275</f>
        <v>-0.35</v>
      </c>
      <c r="E140" s="490">
        <f>'Standardizing estimates'!E275</f>
        <v>6.968641114982578E-2</v>
      </c>
      <c r="F140" s="503">
        <f>'Standardizing estimates'!F275</f>
        <v>14.350000000000001</v>
      </c>
      <c r="G140" s="433"/>
      <c r="J140" s="471"/>
    </row>
    <row r="141" spans="3:10" x14ac:dyDescent="0.2">
      <c r="C141" s="443" t="s">
        <v>729</v>
      </c>
      <c r="D141" s="489">
        <f>'Standardizing estimates'!D276</f>
        <v>-6.0069444444444453E-2</v>
      </c>
      <c r="E141" s="490">
        <f>'Standardizing estimates'!E276</f>
        <v>0.24514577421869621</v>
      </c>
      <c r="F141" s="503">
        <f>'Standardizing estimates'!F276</f>
        <v>0</v>
      </c>
      <c r="G141" s="433"/>
      <c r="J141" s="471"/>
    </row>
    <row r="142" spans="3:10" x14ac:dyDescent="0.2">
      <c r="C142" s="443"/>
      <c r="D142" s="489">
        <f>'Standardizing estimates'!D277</f>
        <v>-8.1250000000000003E-2</v>
      </c>
      <c r="E142" s="490">
        <f>'Standardizing estimates'!E277</f>
        <v>0.27500000000000002</v>
      </c>
      <c r="F142" s="503">
        <f>'Standardizing estimates'!F277</f>
        <v>3.6363636363636362</v>
      </c>
      <c r="G142" s="433"/>
      <c r="J142" s="471"/>
    </row>
    <row r="143" spans="3:10" x14ac:dyDescent="0.2">
      <c r="C143" s="443"/>
      <c r="D143" s="489">
        <f>'Standardizing estimates'!D278</f>
        <v>-3.8888888888888896E-2</v>
      </c>
      <c r="E143" s="490">
        <f>'Standardizing estimates'!E278</f>
        <v>0.21111111111111114</v>
      </c>
      <c r="F143" s="503">
        <f>'Standardizing estimates'!F278</f>
        <v>4.7368421052631575</v>
      </c>
      <c r="G143" s="433"/>
      <c r="J143" s="471"/>
    </row>
    <row r="144" spans="3:10" x14ac:dyDescent="0.2">
      <c r="C144" s="443" t="s">
        <v>575</v>
      </c>
      <c r="D144" s="489">
        <f>'Standardizing estimates'!D279</f>
        <v>-0.40389417076968986</v>
      </c>
      <c r="E144" s="490">
        <f>'Standardizing estimates'!E279</f>
        <v>0.36129664144631723</v>
      </c>
      <c r="F144" s="503">
        <f>'Standardizing estimates'!F279</f>
        <v>0</v>
      </c>
      <c r="G144" s="433"/>
      <c r="J144" s="471"/>
    </row>
    <row r="145" spans="2:10" x14ac:dyDescent="0.2">
      <c r="C145" s="443"/>
      <c r="D145" s="489">
        <f>'Standardizing estimates'!D280</f>
        <v>-0.50242053176795509</v>
      </c>
      <c r="E145" s="490">
        <f>'Standardizing estimates'!E280</f>
        <v>0.43188011326758319</v>
      </c>
      <c r="F145" s="503">
        <f>'Standardizing estimates'!F280</f>
        <v>2.3154573903254083</v>
      </c>
      <c r="G145" s="433"/>
      <c r="J145" s="471"/>
    </row>
    <row r="146" spans="2:10" x14ac:dyDescent="0.2">
      <c r="C146" s="443"/>
      <c r="D146" s="489">
        <f>'Standardizing estimates'!D281</f>
        <v>-0.36109531596808375</v>
      </c>
      <c r="E146" s="490">
        <f>'Standardizing estimates'!E281</f>
        <v>0.34819905468350931</v>
      </c>
      <c r="F146" s="503">
        <f>'Standardizing estimates'!F281</f>
        <v>2.871920490734635</v>
      </c>
      <c r="G146" s="433"/>
      <c r="J146" s="471"/>
    </row>
    <row r="147" spans="2:10" x14ac:dyDescent="0.2">
      <c r="C147" s="443"/>
      <c r="D147" s="489">
        <f>'Standardizing estimates'!D282</f>
        <v>-0.38798592599865012</v>
      </c>
      <c r="E147" s="490">
        <f>'Standardizing estimates'!E282</f>
        <v>0.34531537609248492</v>
      </c>
      <c r="F147" s="503">
        <f>'Standardizing estimates'!F282</f>
        <v>2.8959034819583955</v>
      </c>
      <c r="G147" s="433"/>
      <c r="J147" s="471"/>
    </row>
    <row r="148" spans="2:10" x14ac:dyDescent="0.2">
      <c r="C148" s="443"/>
      <c r="D148" s="489">
        <f>'Standardizing estimates'!D283</f>
        <v>-0.39286250626121033</v>
      </c>
      <c r="E148" s="490">
        <f>'Standardizing estimates'!E283</f>
        <v>0.34326263072121782</v>
      </c>
      <c r="F148" s="503">
        <f>'Standardizing estimates'!F283</f>
        <v>2.9132212787011884</v>
      </c>
      <c r="J148" s="471"/>
    </row>
    <row r="149" spans="2:10" x14ac:dyDescent="0.2">
      <c r="C149" s="451"/>
      <c r="D149" s="463">
        <f>'Standardizing estimates'!D284</f>
        <v>-0.37562242158858872</v>
      </c>
      <c r="E149" s="459">
        <f>'Standardizing estimates'!E284</f>
        <v>0.31899993340856797</v>
      </c>
      <c r="F149" s="504">
        <f>'Standardizing estimates'!F284</f>
        <v>3.1347968926351544</v>
      </c>
      <c r="J149" s="471"/>
    </row>
    <row r="150" spans="2:10" x14ac:dyDescent="0.2">
      <c r="D150" s="449"/>
    </row>
    <row r="153" spans="2:10" s="477" customFormat="1" ht="19.5" x14ac:dyDescent="0.4">
      <c r="B153" s="477" t="s">
        <v>940</v>
      </c>
    </row>
    <row r="184" spans="2:16" x14ac:dyDescent="0.2">
      <c r="P184" s="449"/>
    </row>
    <row r="185" spans="2:16" x14ac:dyDescent="0.2">
      <c r="B185" s="438" t="s">
        <v>241</v>
      </c>
      <c r="C185" s="438"/>
      <c r="D185" s="438" t="s">
        <v>86</v>
      </c>
      <c r="E185" s="438"/>
      <c r="F185" s="438" t="s">
        <v>15</v>
      </c>
      <c r="G185" s="438"/>
      <c r="H185" s="438" t="s">
        <v>591</v>
      </c>
      <c r="I185" s="438" t="s">
        <v>954</v>
      </c>
      <c r="J185" s="438" t="s">
        <v>969</v>
      </c>
      <c r="K185" s="473" t="s">
        <v>926</v>
      </c>
      <c r="L185" s="473" t="s">
        <v>234</v>
      </c>
      <c r="P185" s="449"/>
    </row>
    <row r="186" spans="2:16" x14ac:dyDescent="0.2">
      <c r="B186" s="443"/>
      <c r="C186" s="443" t="str">
        <f>C83</f>
        <v>Bjørnskov (2021)</v>
      </c>
      <c r="D186" s="489">
        <f>D83</f>
        <v>-3.0820447444083188E-3</v>
      </c>
      <c r="E186" s="501">
        <v>1</v>
      </c>
      <c r="F186" s="490">
        <f t="shared" ref="F186:F214" si="12">E83</f>
        <v>8.2187859850888501E-3</v>
      </c>
      <c r="G186" s="443"/>
      <c r="H186" s="491">
        <f t="shared" ref="H186:H214" si="13">F83</f>
        <v>30.418117767462142</v>
      </c>
      <c r="I186" s="489">
        <f>$D186</f>
        <v>-3.0820447444083188E-3</v>
      </c>
      <c r="J186" s="499"/>
      <c r="K186" s="440" cm="1">
        <f t="array" ref="K186">SUMPRODUCT(D186:D189,1/F186:F189)/SUM(1/F186:F189)</f>
        <v>-1.5737853812680257E-3</v>
      </c>
      <c r="L186" s="440"/>
      <c r="M186" s="432" t="str">
        <f>C83</f>
        <v>Bjørnskov (2021)</v>
      </c>
      <c r="N186" s="449"/>
      <c r="O186" s="449"/>
    </row>
    <row r="187" spans="2:16" x14ac:dyDescent="0.2">
      <c r="B187" s="443"/>
      <c r="C187" s="443"/>
      <c r="D187" s="489">
        <f>D84</f>
        <v>0.26364657161019567</v>
      </c>
      <c r="E187" s="501">
        <v>1</v>
      </c>
      <c r="F187" s="490">
        <f t="shared" si="12"/>
        <v>0.18455260012713698</v>
      </c>
      <c r="G187" s="443"/>
      <c r="H187" s="491">
        <f t="shared" si="13"/>
        <v>1.3546273519190559</v>
      </c>
      <c r="I187" s="489"/>
      <c r="J187" s="499"/>
      <c r="K187" s="440"/>
      <c r="L187" s="440"/>
    </row>
    <row r="188" spans="2:16" x14ac:dyDescent="0.2">
      <c r="B188" s="443"/>
      <c r="C188" s="443"/>
      <c r="D188" s="489">
        <f>D85</f>
        <v>-0.31127007761556869</v>
      </c>
      <c r="E188" s="501">
        <v>1</v>
      </c>
      <c r="F188" s="490">
        <f t="shared" si="12"/>
        <v>0.23510825011388697</v>
      </c>
      <c r="G188" s="443"/>
      <c r="H188" s="491">
        <f t="shared" si="13"/>
        <v>1.0633399716041416</v>
      </c>
      <c r="I188" s="489"/>
      <c r="J188" s="499"/>
      <c r="K188" s="440"/>
      <c r="L188" s="440"/>
    </row>
    <row r="189" spans="2:16" x14ac:dyDescent="0.2">
      <c r="B189" s="443"/>
      <c r="C189" s="443"/>
      <c r="D189" s="489">
        <f>D86</f>
        <v>3.1186851708321361E-2</v>
      </c>
      <c r="E189" s="501">
        <v>1</v>
      </c>
      <c r="F189" s="490">
        <f t="shared" si="12"/>
        <v>0.51458305318730246</v>
      </c>
      <c r="G189" s="443"/>
      <c r="H189" s="491">
        <f t="shared" si="13"/>
        <v>0.48583022400662462</v>
      </c>
      <c r="I189" s="489"/>
      <c r="J189" s="499"/>
      <c r="K189" s="440"/>
      <c r="L189" s="440"/>
    </row>
    <row r="190" spans="2:16" x14ac:dyDescent="0.2">
      <c r="B190" s="443"/>
      <c r="C190" s="443" t="s">
        <v>269</v>
      </c>
      <c r="D190" s="489">
        <f>D87</f>
        <v>-4.0159765066823672E-2</v>
      </c>
      <c r="E190" s="501">
        <v>2</v>
      </c>
      <c r="F190" s="490">
        <f t="shared" si="12"/>
        <v>3.9495967297124108E-3</v>
      </c>
      <c r="G190" s="443"/>
      <c r="H190" s="491">
        <f t="shared" si="13"/>
        <v>63.297601529613303</v>
      </c>
      <c r="I190" s="489">
        <f>$D190</f>
        <v>-4.0159765066823672E-2</v>
      </c>
      <c r="J190" s="499"/>
      <c r="K190" s="440" cm="1">
        <f t="array" ref="K190">SUMPRODUCT(D190:D193,1/F190:F193)/SUM(1/F190:F193)</f>
        <v>-3.1556404900083594E-2</v>
      </c>
      <c r="L190" s="440"/>
    </row>
    <row r="191" spans="2:16" x14ac:dyDescent="0.2">
      <c r="B191" s="443"/>
      <c r="C191" s="443"/>
      <c r="D191" s="489">
        <f t="shared" ref="D191:D193" si="14">D88</f>
        <v>-2.4566776305971705E-2</v>
      </c>
      <c r="E191" s="501">
        <v>2</v>
      </c>
      <c r="F191" s="490">
        <f t="shared" si="12"/>
        <v>4.5988567258424184E-3</v>
      </c>
      <c r="G191" s="443"/>
      <c r="H191" s="491">
        <f t="shared" si="13"/>
        <v>54.361336937324353</v>
      </c>
      <c r="I191" s="489"/>
      <c r="J191" s="499"/>
      <c r="K191" s="440"/>
      <c r="L191" s="440"/>
    </row>
    <row r="192" spans="2:16" x14ac:dyDescent="0.2">
      <c r="B192" s="443"/>
      <c r="C192" s="443"/>
      <c r="D192" s="489">
        <f t="shared" si="14"/>
        <v>-2.5062285339323864E-2</v>
      </c>
      <c r="E192" s="501">
        <v>2</v>
      </c>
      <c r="F192" s="490">
        <f t="shared" si="12"/>
        <v>3.1411478713323894E-3</v>
      </c>
      <c r="G192" s="443"/>
      <c r="H192" s="491">
        <f t="shared" si="13"/>
        <v>79.588739607459743</v>
      </c>
      <c r="I192" s="489"/>
      <c r="J192" s="499"/>
      <c r="K192" s="440"/>
      <c r="L192" s="440"/>
    </row>
    <row r="193" spans="2:15" x14ac:dyDescent="0.2">
      <c r="B193" s="443"/>
      <c r="C193" s="443"/>
      <c r="D193" s="489">
        <f t="shared" si="14"/>
        <v>-3.6327365288010449E-2</v>
      </c>
      <c r="E193" s="501">
        <v>2</v>
      </c>
      <c r="F193" s="490">
        <f t="shared" si="12"/>
        <v>3.3860393743817998E-3</v>
      </c>
      <c r="G193" s="443"/>
      <c r="H193" s="491">
        <f t="shared" si="13"/>
        <v>73.832573209708556</v>
      </c>
      <c r="I193" s="489"/>
      <c r="J193" s="499"/>
      <c r="K193" s="440"/>
      <c r="L193" s="440"/>
    </row>
    <row r="194" spans="2:15" x14ac:dyDescent="0.2">
      <c r="B194" s="443"/>
      <c r="C194" s="443" t="s">
        <v>412</v>
      </c>
      <c r="D194" s="489">
        <f t="shared" ref="D194:D214" si="15">D91</f>
        <v>0.11715264654310653</v>
      </c>
      <c r="E194" s="501">
        <v>3</v>
      </c>
      <c r="F194" s="490">
        <f t="shared" si="12"/>
        <v>1.4418787266843881E-2</v>
      </c>
      <c r="G194" s="443"/>
      <c r="H194" s="491">
        <f t="shared" si="13"/>
        <v>11.558993387045666</v>
      </c>
      <c r="I194" s="489">
        <f>$D194</f>
        <v>0.11715264654310653</v>
      </c>
      <c r="J194" s="499"/>
      <c r="K194" s="440" cm="1">
        <f t="array" ref="K194">SUMPRODUCT(D194:D199,1/F194:F199)/SUM(1/F194:F199)</f>
        <v>0.12817756085375426</v>
      </c>
      <c r="L194" s="440"/>
      <c r="N194" s="449"/>
      <c r="O194" s="449"/>
    </row>
    <row r="195" spans="2:15" x14ac:dyDescent="0.2">
      <c r="B195" s="443"/>
      <c r="C195" s="443"/>
      <c r="D195" s="489">
        <f t="shared" si="15"/>
        <v>0.4925129106658831</v>
      </c>
      <c r="E195" s="501">
        <v>3</v>
      </c>
      <c r="F195" s="490">
        <f t="shared" si="12"/>
        <v>6.0616973620416383E-2</v>
      </c>
      <c r="G195" s="443"/>
      <c r="H195" s="491">
        <f t="shared" si="13"/>
        <v>2.749504911121655</v>
      </c>
      <c r="I195" s="489"/>
      <c r="J195" s="499"/>
      <c r="K195" s="440"/>
      <c r="L195" s="440"/>
    </row>
    <row r="196" spans="2:15" x14ac:dyDescent="0.2">
      <c r="B196" s="443"/>
      <c r="C196" s="443"/>
      <c r="D196" s="489">
        <f t="shared" si="15"/>
        <v>7.9971233062565261E-2</v>
      </c>
      <c r="E196" s="501">
        <v>3</v>
      </c>
      <c r="F196" s="490">
        <f t="shared" si="12"/>
        <v>9.8426133000080324E-3</v>
      </c>
      <c r="G196" s="443"/>
      <c r="H196" s="491">
        <f t="shared" si="13"/>
        <v>16.933172277176698</v>
      </c>
      <c r="I196" s="489"/>
      <c r="J196" s="499"/>
      <c r="K196" s="440"/>
      <c r="L196" s="440"/>
    </row>
    <row r="197" spans="2:15" x14ac:dyDescent="0.2">
      <c r="B197" s="443"/>
      <c r="C197" s="443"/>
      <c r="D197" s="489">
        <f t="shared" si="15"/>
        <v>6.3482747201465628E-2</v>
      </c>
      <c r="E197" s="501">
        <v>3</v>
      </c>
      <c r="F197" s="490">
        <f t="shared" si="12"/>
        <v>7.8132611940265398E-3</v>
      </c>
      <c r="G197" s="443"/>
      <c r="H197" s="491">
        <f t="shared" si="13"/>
        <v>21.331254968679158</v>
      </c>
      <c r="I197" s="489"/>
      <c r="J197" s="499"/>
      <c r="K197" s="440"/>
      <c r="L197" s="440"/>
    </row>
    <row r="198" spans="2:15" x14ac:dyDescent="0.2">
      <c r="B198" s="443"/>
      <c r="C198" s="443"/>
      <c r="D198" s="489">
        <f t="shared" si="15"/>
        <v>0.26878554671779431</v>
      </c>
      <c r="E198" s="501">
        <v>3</v>
      </c>
      <c r="F198" s="490">
        <f t="shared" si="12"/>
        <v>3.3081298057574683E-2</v>
      </c>
      <c r="G198" s="443"/>
      <c r="H198" s="491">
        <f t="shared" si="13"/>
        <v>5.0380933171546056</v>
      </c>
      <c r="I198" s="489"/>
      <c r="J198" s="499"/>
      <c r="K198" s="440"/>
      <c r="L198" s="440"/>
    </row>
    <row r="199" spans="2:15" x14ac:dyDescent="0.2">
      <c r="B199" s="443"/>
      <c r="C199" s="443"/>
      <c r="D199" s="489">
        <f t="shared" si="15"/>
        <v>0.23438175332447053</v>
      </c>
      <c r="E199" s="501">
        <v>3</v>
      </c>
      <c r="F199" s="490">
        <f t="shared" si="12"/>
        <v>2.8846985024550222E-2</v>
      </c>
      <c r="G199" s="443"/>
      <c r="H199" s="491">
        <f t="shared" si="13"/>
        <v>5.7776113006203254</v>
      </c>
      <c r="I199" s="489"/>
      <c r="J199" s="499"/>
      <c r="K199" s="440"/>
      <c r="L199" s="440"/>
    </row>
    <row r="200" spans="2:15" x14ac:dyDescent="0.2">
      <c r="B200" s="443"/>
      <c r="C200" s="443" t="s">
        <v>629</v>
      </c>
      <c r="D200" s="489">
        <f t="shared" si="15"/>
        <v>-7.5420107976104989E-2</v>
      </c>
      <c r="E200" s="501">
        <v>4</v>
      </c>
      <c r="F200" s="490">
        <f t="shared" si="12"/>
        <v>1.9724465629278657E-2</v>
      </c>
      <c r="G200" s="443"/>
      <c r="H200" s="491">
        <f t="shared" si="13"/>
        <v>16.899486130490605</v>
      </c>
      <c r="I200" s="489">
        <f>$D200</f>
        <v>-7.5420107976104989E-2</v>
      </c>
      <c r="J200" s="499"/>
      <c r="K200" s="440" cm="1">
        <f t="array" ref="K200">SUMPRODUCT(D200:D202,1/F200:F202)/SUM(1/F200:F202)</f>
        <v>-7.6482595799537451E-2</v>
      </c>
      <c r="L200" s="440"/>
      <c r="N200" s="449"/>
      <c r="O200" s="449"/>
    </row>
    <row r="201" spans="2:15" x14ac:dyDescent="0.2">
      <c r="B201" s="443"/>
      <c r="C201" s="443"/>
      <c r="D201" s="489">
        <f t="shared" si="15"/>
        <v>-7.774976266690975E-2</v>
      </c>
      <c r="E201" s="501">
        <v>4</v>
      </c>
      <c r="F201" s="490">
        <f t="shared" si="12"/>
        <v>1.5948968039727465E-2</v>
      </c>
      <c r="G201" s="443"/>
      <c r="H201" s="491">
        <f t="shared" si="13"/>
        <v>20.899993811701769</v>
      </c>
      <c r="I201" s="489"/>
      <c r="J201" s="499"/>
      <c r="K201" s="440"/>
      <c r="L201" s="440"/>
    </row>
    <row r="202" spans="2:15" x14ac:dyDescent="0.2">
      <c r="B202" s="443"/>
      <c r="C202" s="443"/>
      <c r="D202" s="489">
        <f t="shared" si="15"/>
        <v>-7.602035160243481E-2</v>
      </c>
      <c r="E202" s="501">
        <v>4</v>
      </c>
      <c r="F202" s="490">
        <f t="shared" si="12"/>
        <v>1.806710999483354E-2</v>
      </c>
      <c r="G202" s="443"/>
      <c r="H202" s="491">
        <f t="shared" si="13"/>
        <v>18.449731773850555</v>
      </c>
      <c r="I202" s="489"/>
      <c r="J202" s="499"/>
      <c r="K202" s="440"/>
      <c r="L202" s="440"/>
    </row>
    <row r="203" spans="2:15" x14ac:dyDescent="0.2">
      <c r="B203" s="443"/>
      <c r="C203" s="443" t="s">
        <v>688</v>
      </c>
      <c r="D203" s="489">
        <f t="shared" si="15"/>
        <v>-0.3534582598710535</v>
      </c>
      <c r="E203" s="501">
        <v>5</v>
      </c>
      <c r="F203" s="490">
        <f t="shared" si="12"/>
        <v>9.0853199654610597E-2</v>
      </c>
      <c r="G203" s="443"/>
      <c r="H203" s="491">
        <f t="shared" si="13"/>
        <v>11.006767002170761</v>
      </c>
      <c r="I203" s="489">
        <f>$D203</f>
        <v>-0.3534582598710535</v>
      </c>
      <c r="J203" s="499"/>
      <c r="K203" s="440">
        <f>I203</f>
        <v>-0.3534582598710535</v>
      </c>
      <c r="L203" s="440" t="s">
        <v>927</v>
      </c>
    </row>
    <row r="204" spans="2:15" x14ac:dyDescent="0.2">
      <c r="B204" s="443"/>
      <c r="C204" s="443" t="s">
        <v>696</v>
      </c>
      <c r="D204" s="489">
        <f t="shared" si="15"/>
        <v>-2.4009081653636168E-2</v>
      </c>
      <c r="E204" s="501">
        <v>6</v>
      </c>
      <c r="F204" s="490">
        <f t="shared" si="12"/>
        <v>5.5315054827894576E-3</v>
      </c>
      <c r="G204" s="443"/>
      <c r="H204" s="494">
        <f t="shared" si="13"/>
        <v>0</v>
      </c>
      <c r="I204" s="499"/>
      <c r="J204" s="489">
        <f>$D204</f>
        <v>-2.4009081653636168E-2</v>
      </c>
      <c r="K204" s="440" cm="1">
        <f t="array" ref="K204">SUMPRODUCT(D205:D206,1/F205:F206)/SUM(1/F205:F206)</f>
        <v>-3.8412243315599864E-2</v>
      </c>
      <c r="L204" s="440"/>
      <c r="N204" s="449"/>
      <c r="O204" s="449"/>
    </row>
    <row r="205" spans="2:15" x14ac:dyDescent="0.2">
      <c r="B205" s="443"/>
      <c r="C205" s="443"/>
      <c r="D205" s="489">
        <f t="shared" si="15"/>
        <v>-8.9252370371751891E-3</v>
      </c>
      <c r="E205" s="501">
        <v>6</v>
      </c>
      <c r="F205" s="490">
        <f t="shared" si="12"/>
        <v>7.9471288687176355E-3</v>
      </c>
      <c r="G205" s="443"/>
      <c r="H205" s="494">
        <f t="shared" si="13"/>
        <v>62.915803714742204</v>
      </c>
      <c r="I205" s="489"/>
      <c r="J205" s="499"/>
      <c r="K205" s="440"/>
      <c r="L205" s="440"/>
    </row>
    <row r="206" spans="2:15" x14ac:dyDescent="0.2">
      <c r="B206" s="443"/>
      <c r="C206" s="443"/>
      <c r="D206" s="489">
        <f t="shared" si="15"/>
        <v>-3.862766896341531E-2</v>
      </c>
      <c r="E206" s="501">
        <v>6</v>
      </c>
      <c r="F206" s="490">
        <f t="shared" si="12"/>
        <v>5.805999322721933E-5</v>
      </c>
      <c r="G206" s="443"/>
      <c r="H206" s="494">
        <f t="shared" si="13"/>
        <v>8611.7819208699639</v>
      </c>
      <c r="I206" s="489"/>
      <c r="J206" s="499"/>
      <c r="K206" s="440"/>
      <c r="L206" s="440"/>
    </row>
    <row r="207" spans="2:15" x14ac:dyDescent="0.2">
      <c r="B207" s="443"/>
      <c r="C207" s="443" t="s">
        <v>766</v>
      </c>
      <c r="D207" s="489">
        <f t="shared" si="15"/>
        <v>-0.16329011082141937</v>
      </c>
      <c r="E207" s="501">
        <v>7</v>
      </c>
      <c r="F207" s="490">
        <f t="shared" si="12"/>
        <v>4.523271767906354E-2</v>
      </c>
      <c r="G207" s="443"/>
      <c r="H207" s="491">
        <f t="shared" si="13"/>
        <v>5.5269727937597537</v>
      </c>
      <c r="I207" s="489">
        <f>$D207</f>
        <v>-0.16329011082141937</v>
      </c>
      <c r="J207" s="499"/>
      <c r="K207" s="440" cm="1">
        <f t="array" ref="K207">SUMPRODUCT(D207:D210,1/F207:F210)/SUM(1/F207:F210)</f>
        <v>0.16692069199248513</v>
      </c>
      <c r="L207" s="440"/>
    </row>
    <row r="208" spans="2:15" x14ac:dyDescent="0.2">
      <c r="B208" s="443"/>
      <c r="C208" s="443"/>
      <c r="D208" s="489">
        <f t="shared" si="15"/>
        <v>0.28636005410831955</v>
      </c>
      <c r="E208" s="501">
        <v>7</v>
      </c>
      <c r="F208" s="490">
        <f t="shared" si="12"/>
        <v>7.1057085386679777E-2</v>
      </c>
      <c r="G208" s="443"/>
      <c r="H208" s="491">
        <f t="shared" si="13"/>
        <v>3.5182979802724152</v>
      </c>
      <c r="I208" s="489"/>
      <c r="J208" s="499"/>
      <c r="K208" s="440"/>
      <c r="L208" s="440"/>
    </row>
    <row r="209" spans="2:15" x14ac:dyDescent="0.2">
      <c r="B209" s="443"/>
      <c r="C209" s="443"/>
      <c r="D209" s="489">
        <f t="shared" si="15"/>
        <v>0.5378512624998707</v>
      </c>
      <c r="E209" s="501">
        <v>7</v>
      </c>
      <c r="F209" s="490">
        <f t="shared" si="12"/>
        <v>8.8901035123945565E-2</v>
      </c>
      <c r="G209" s="443"/>
      <c r="H209" s="491">
        <f t="shared" si="13"/>
        <v>2.812115738038941</v>
      </c>
      <c r="I209" s="489"/>
      <c r="J209" s="499"/>
      <c r="K209" s="440"/>
      <c r="L209" s="440"/>
    </row>
    <row r="210" spans="2:15" x14ac:dyDescent="0.2">
      <c r="B210" s="443"/>
      <c r="C210" s="443"/>
      <c r="D210" s="489">
        <f t="shared" si="15"/>
        <v>0.26785128741619307</v>
      </c>
      <c r="E210" s="501">
        <v>7</v>
      </c>
      <c r="F210" s="490">
        <f t="shared" si="12"/>
        <v>6.9752939431300287E-2</v>
      </c>
      <c r="G210" s="443"/>
      <c r="H210" s="491">
        <f t="shared" si="13"/>
        <v>3.5840783490740939</v>
      </c>
      <c r="I210" s="489"/>
      <c r="J210" s="499"/>
      <c r="K210" s="440"/>
      <c r="L210" s="440"/>
    </row>
    <row r="211" spans="2:15" x14ac:dyDescent="0.2">
      <c r="B211" s="443"/>
      <c r="C211" s="443" t="s">
        <v>781</v>
      </c>
      <c r="D211" s="489">
        <f t="shared" si="15"/>
        <v>-0.16869018010788994</v>
      </c>
      <c r="E211" s="501">
        <v>8</v>
      </c>
      <c r="F211" s="490">
        <f t="shared" si="12"/>
        <v>2.8115030017981657E-2</v>
      </c>
      <c r="G211" s="443"/>
      <c r="H211" s="491">
        <f t="shared" si="13"/>
        <v>8.8920410129424141</v>
      </c>
      <c r="I211" s="489">
        <f>$D211</f>
        <v>-0.16869018010788994</v>
      </c>
      <c r="J211" s="499"/>
      <c r="K211" s="440" cm="1">
        <f t="array" ref="K211">SUMPRODUCT(D211:D214,1/F211:F214)/SUM(1/F211:F214)</f>
        <v>-0.20050668249493972</v>
      </c>
      <c r="L211" s="440"/>
      <c r="N211" s="449"/>
      <c r="O211" s="449"/>
    </row>
    <row r="212" spans="2:15" x14ac:dyDescent="0.2">
      <c r="B212" s="443"/>
      <c r="C212" s="443"/>
      <c r="D212" s="489">
        <f t="shared" si="15"/>
        <v>-0.14269704592047366</v>
      </c>
      <c r="E212" s="501">
        <v>8</v>
      </c>
      <c r="F212" s="490">
        <f t="shared" si="12"/>
        <v>2.8539409184094734E-2</v>
      </c>
      <c r="G212" s="443"/>
      <c r="H212" s="491">
        <f t="shared" si="13"/>
        <v>8.7598169390040219</v>
      </c>
      <c r="I212" s="489"/>
      <c r="J212" s="499"/>
      <c r="K212" s="440"/>
      <c r="L212" s="440"/>
    </row>
    <row r="213" spans="2:15" x14ac:dyDescent="0.2">
      <c r="B213" s="443"/>
      <c r="C213" s="443"/>
      <c r="D213" s="489">
        <f t="shared" si="15"/>
        <v>-0.11588999509703302</v>
      </c>
      <c r="E213" s="501">
        <v>8</v>
      </c>
      <c r="F213" s="490">
        <f t="shared" si="12"/>
        <v>2.8972498774258254E-2</v>
      </c>
      <c r="G213" s="443"/>
      <c r="H213" s="491">
        <f t="shared" si="13"/>
        <v>8.6288725714649868</v>
      </c>
      <c r="I213" s="489"/>
      <c r="J213" s="499"/>
      <c r="K213" s="440"/>
      <c r="L213" s="440"/>
    </row>
    <row r="214" spans="2:15" x14ac:dyDescent="0.2">
      <c r="B214" s="443"/>
      <c r="C214" s="443"/>
      <c r="D214" s="489">
        <f t="shared" si="15"/>
        <v>-0.47608502355800819</v>
      </c>
      <c r="E214" s="501">
        <v>8</v>
      </c>
      <c r="F214" s="490">
        <f t="shared" si="12"/>
        <v>4.5341430815048399E-2</v>
      </c>
      <c r="G214" s="443"/>
      <c r="H214" s="491">
        <f t="shared" si="13"/>
        <v>5.513721016431341</v>
      </c>
      <c r="I214" s="489"/>
      <c r="J214" s="499"/>
      <c r="K214" s="440"/>
      <c r="L214" s="440"/>
    </row>
    <row r="215" spans="2:15" x14ac:dyDescent="0.2">
      <c r="B215" s="438" t="s">
        <v>145</v>
      </c>
      <c r="C215" s="438" t="s">
        <v>920</v>
      </c>
      <c r="D215" s="473"/>
      <c r="E215" s="438"/>
      <c r="F215" s="474"/>
      <c r="G215" s="438"/>
      <c r="H215" s="438"/>
      <c r="I215" s="500"/>
      <c r="J215" s="500"/>
      <c r="K215" s="473"/>
      <c r="L215" s="473"/>
    </row>
    <row r="216" spans="2:15" x14ac:dyDescent="0.2">
      <c r="B216" s="443"/>
      <c r="C216" s="443" t="s">
        <v>255</v>
      </c>
      <c r="D216" s="489">
        <f t="shared" ref="D216:D237" si="16">D117</f>
        <v>-0.17695473251028815</v>
      </c>
      <c r="E216" s="501">
        <v>9</v>
      </c>
      <c r="F216" s="490">
        <f t="shared" ref="F216:F231" si="17">E117</f>
        <v>0.14259446883560367</v>
      </c>
      <c r="G216" s="499"/>
      <c r="H216" s="491">
        <f t="shared" ref="H216:H231" si="18">F117</f>
        <v>7.0128947368421013</v>
      </c>
      <c r="I216" s="489">
        <f>$D216</f>
        <v>-0.17695473251028815</v>
      </c>
      <c r="J216" s="499"/>
      <c r="K216" s="440">
        <f>I216</f>
        <v>-0.17695473251028815</v>
      </c>
      <c r="L216" s="440" t="s">
        <v>927</v>
      </c>
    </row>
    <row r="217" spans="2:15" x14ac:dyDescent="0.2">
      <c r="B217" s="443"/>
      <c r="C217" s="443" t="s">
        <v>442</v>
      </c>
      <c r="D217" s="489">
        <f t="shared" si="16"/>
        <v>4.8995231350040705E-2</v>
      </c>
      <c r="E217" s="501">
        <v>10</v>
      </c>
      <c r="F217" s="490">
        <f t="shared" si="17"/>
        <v>2.8033413309875559E-2</v>
      </c>
      <c r="G217" s="499"/>
      <c r="H217" s="491">
        <f t="shared" si="18"/>
        <v>0</v>
      </c>
      <c r="I217" s="489">
        <f>$D217</f>
        <v>4.8995231350040705E-2</v>
      </c>
      <c r="J217" s="499"/>
      <c r="K217" s="440" cm="1">
        <f t="array" ref="K217">SUMPRODUCT(D217:D227,1/F217:F227)/SUM(1/F217:F227)</f>
        <v>1.0527598000436476E-2</v>
      </c>
      <c r="L217" s="440"/>
      <c r="N217" s="449"/>
      <c r="O217" s="449"/>
    </row>
    <row r="218" spans="2:15" x14ac:dyDescent="0.2">
      <c r="B218" s="443"/>
      <c r="C218" s="443"/>
      <c r="D218" s="489">
        <f t="shared" si="16"/>
        <v>-1.9405788854149605E-2</v>
      </c>
      <c r="E218" s="501">
        <v>10</v>
      </c>
      <c r="F218" s="490">
        <f t="shared" si="17"/>
        <v>7.1933161516839431E-3</v>
      </c>
      <c r="G218" s="499"/>
      <c r="H218" s="491">
        <f t="shared" si="18"/>
        <v>139.01794094868217</v>
      </c>
      <c r="I218" s="489"/>
      <c r="J218" s="499"/>
      <c r="K218" s="440"/>
      <c r="L218" s="440"/>
    </row>
    <row r="219" spans="2:15" x14ac:dyDescent="0.2">
      <c r="B219" s="443"/>
      <c r="C219" s="443"/>
      <c r="D219" s="489">
        <f t="shared" si="16"/>
        <v>2.0000131357617232E-2</v>
      </c>
      <c r="E219" s="501">
        <v>10</v>
      </c>
      <c r="F219" s="490">
        <f t="shared" si="17"/>
        <v>3.679871107571793E-2</v>
      </c>
      <c r="G219" s="499"/>
      <c r="H219" s="491">
        <f t="shared" si="18"/>
        <v>27.174864846281586</v>
      </c>
      <c r="I219" s="489"/>
      <c r="J219" s="499"/>
      <c r="K219" s="440"/>
      <c r="L219" s="440"/>
    </row>
    <row r="220" spans="2:15" x14ac:dyDescent="0.2">
      <c r="B220" s="443"/>
      <c r="C220" s="443"/>
      <c r="D220" s="489">
        <f t="shared" si="16"/>
        <v>1.9400658144767588E-2</v>
      </c>
      <c r="E220" s="501">
        <v>10</v>
      </c>
      <c r="F220" s="490">
        <f t="shared" si="17"/>
        <v>3.6186623825550462E-2</v>
      </c>
      <c r="G220" s="499"/>
      <c r="H220" s="491">
        <f t="shared" si="18"/>
        <v>27.634520557121586</v>
      </c>
      <c r="I220" s="489"/>
      <c r="J220" s="499"/>
      <c r="K220" s="440"/>
      <c r="L220" s="440"/>
    </row>
    <row r="221" spans="2:15" x14ac:dyDescent="0.2">
      <c r="B221" s="443"/>
      <c r="C221" s="443"/>
      <c r="D221" s="489">
        <f t="shared" si="16"/>
        <v>8.1582410837095498E-3</v>
      </c>
      <c r="E221" s="501">
        <v>10</v>
      </c>
      <c r="F221" s="490">
        <f t="shared" si="17"/>
        <v>6.8817815944216612E-2</v>
      </c>
      <c r="G221" s="499"/>
      <c r="H221" s="491">
        <f t="shared" si="18"/>
        <v>14.531120848278521</v>
      </c>
      <c r="I221" s="489"/>
      <c r="J221" s="499"/>
      <c r="K221" s="440"/>
      <c r="L221" s="440"/>
    </row>
    <row r="222" spans="2:15" x14ac:dyDescent="0.2">
      <c r="B222" s="443"/>
      <c r="C222" s="443"/>
      <c r="D222" s="489">
        <f t="shared" si="16"/>
        <v>2.2800401889216018E-2</v>
      </c>
      <c r="E222" s="501">
        <v>10</v>
      </c>
      <c r="F222" s="490">
        <f t="shared" si="17"/>
        <v>3.9000687442080031E-2</v>
      </c>
      <c r="G222" s="499"/>
      <c r="H222" s="491">
        <f t="shared" si="18"/>
        <v>25.640573681812693</v>
      </c>
      <c r="I222" s="489"/>
      <c r="J222" s="499"/>
      <c r="K222" s="440"/>
      <c r="L222" s="440"/>
    </row>
    <row r="223" spans="2:15" x14ac:dyDescent="0.2">
      <c r="B223" s="443"/>
      <c r="C223" s="443"/>
      <c r="D223" s="489">
        <f t="shared" si="16"/>
        <v>-3.5238181122122042E-2</v>
      </c>
      <c r="E223" s="501">
        <v>10</v>
      </c>
      <c r="F223" s="490">
        <f t="shared" si="17"/>
        <v>1.797866383781737E-2</v>
      </c>
      <c r="G223" s="499"/>
      <c r="H223" s="491">
        <f t="shared" si="18"/>
        <v>55.621486058187578</v>
      </c>
      <c r="I223" s="489"/>
      <c r="J223" s="499"/>
      <c r="K223" s="440"/>
      <c r="L223" s="440"/>
      <c r="N223" s="449"/>
      <c r="O223" s="449"/>
    </row>
    <row r="224" spans="2:15" x14ac:dyDescent="0.2">
      <c r="B224" s="443"/>
      <c r="C224" s="443"/>
      <c r="D224" s="489">
        <f t="shared" si="16"/>
        <v>7.4263358789366712E-2</v>
      </c>
      <c r="E224" s="501">
        <v>10</v>
      </c>
      <c r="F224" s="490">
        <f t="shared" si="17"/>
        <v>4.9304885643123485E-2</v>
      </c>
      <c r="G224" s="499"/>
      <c r="H224" s="491">
        <f t="shared" si="18"/>
        <v>20.28196571102826</v>
      </c>
      <c r="I224" s="489"/>
      <c r="J224" s="499"/>
      <c r="K224" s="440"/>
      <c r="L224" s="440"/>
      <c r="N224" s="449"/>
    </row>
    <row r="225" spans="2:15" x14ac:dyDescent="0.2">
      <c r="B225" s="443"/>
      <c r="C225" s="443"/>
      <c r="D225" s="489">
        <f t="shared" si="16"/>
        <v>7.5187805442347558E-2</v>
      </c>
      <c r="E225" s="501">
        <v>10</v>
      </c>
      <c r="F225" s="490">
        <f t="shared" si="17"/>
        <v>4.7985657536775202E-2</v>
      </c>
      <c r="G225" s="499"/>
      <c r="H225" s="491">
        <f t="shared" si="18"/>
        <v>20.839560221377003</v>
      </c>
      <c r="I225" s="489"/>
      <c r="J225" s="499"/>
      <c r="K225" s="440"/>
      <c r="L225" s="440"/>
    </row>
    <row r="226" spans="2:15" x14ac:dyDescent="0.2">
      <c r="B226" s="443"/>
      <c r="C226" s="443"/>
      <c r="D226" s="489">
        <f t="shared" si="16"/>
        <v>6.8749841250549615E-2</v>
      </c>
      <c r="E226" s="501">
        <v>10</v>
      </c>
      <c r="F226" s="490">
        <f t="shared" si="17"/>
        <v>6.1558007607094373E-2</v>
      </c>
      <c r="G226" s="499"/>
      <c r="H226" s="491">
        <f t="shared" si="18"/>
        <v>16.244840255108468</v>
      </c>
      <c r="I226" s="489"/>
      <c r="J226" s="499"/>
      <c r="K226" s="440"/>
      <c r="L226" s="440"/>
    </row>
    <row r="227" spans="2:15" x14ac:dyDescent="0.2">
      <c r="B227" s="443"/>
      <c r="C227" s="443"/>
      <c r="D227" s="489">
        <f t="shared" si="16"/>
        <v>7.6723519983851657E-2</v>
      </c>
      <c r="E227" s="501">
        <v>10</v>
      </c>
      <c r="F227" s="490">
        <f t="shared" si="17"/>
        <v>6.8541823329931195E-2</v>
      </c>
      <c r="G227" s="499"/>
      <c r="H227" s="491">
        <f t="shared" si="18"/>
        <v>14.589632306488626</v>
      </c>
      <c r="I227" s="489"/>
      <c r="J227" s="499"/>
      <c r="K227" s="440"/>
      <c r="L227" s="440"/>
    </row>
    <row r="228" spans="2:15" x14ac:dyDescent="0.2">
      <c r="B228" s="443"/>
      <c r="C228" s="443" t="s">
        <v>583</v>
      </c>
      <c r="D228" s="489">
        <f t="shared" si="16"/>
        <v>0.13071364795918367</v>
      </c>
      <c r="E228" s="501">
        <v>11</v>
      </c>
      <c r="F228" s="490">
        <f t="shared" si="17"/>
        <v>6.5675637755102018E-2</v>
      </c>
      <c r="G228" s="499"/>
      <c r="H228" s="491">
        <f t="shared" si="18"/>
        <v>0</v>
      </c>
      <c r="I228" s="499"/>
      <c r="J228" s="489">
        <f>$D228</f>
        <v>0.13071364795918367</v>
      </c>
      <c r="K228" s="440" cm="1">
        <f t="array" ref="K228">SUMPRODUCT(D228:D231,1/F228:F231)/SUM(1/F228:F231)</f>
        <v>8.7801205621199502E-2</v>
      </c>
      <c r="L228" s="440"/>
      <c r="N228" s="449"/>
      <c r="O228" s="449"/>
    </row>
    <row r="229" spans="2:15" x14ac:dyDescent="0.2">
      <c r="B229" s="443"/>
      <c r="C229" s="443"/>
      <c r="D229" s="489">
        <f t="shared" si="16"/>
        <v>1.020204081632653E-2</v>
      </c>
      <c r="E229" s="501">
        <v>11</v>
      </c>
      <c r="F229" s="490">
        <f t="shared" si="17"/>
        <v>4.8459693877551016E-2</v>
      </c>
      <c r="G229" s="499"/>
      <c r="H229" s="491">
        <f t="shared" si="18"/>
        <v>20.63570608858614</v>
      </c>
      <c r="I229" s="489"/>
      <c r="J229" s="499"/>
      <c r="K229" s="440"/>
      <c r="L229" s="440"/>
    </row>
    <row r="230" spans="2:15" x14ac:dyDescent="0.2">
      <c r="B230" s="443"/>
      <c r="C230" s="443"/>
      <c r="D230" s="489">
        <f t="shared" si="16"/>
        <v>3.3156632653061222E-2</v>
      </c>
      <c r="E230" s="501">
        <v>11</v>
      </c>
      <c r="F230" s="490">
        <f t="shared" si="17"/>
        <v>5.6111224489795913E-2</v>
      </c>
      <c r="G230" s="499"/>
      <c r="H230" s="491">
        <f t="shared" si="18"/>
        <v>17.821746167415302</v>
      </c>
      <c r="I230" s="489"/>
      <c r="J230" s="499"/>
      <c r="K230" s="440"/>
      <c r="L230" s="440"/>
    </row>
    <row r="231" spans="2:15" x14ac:dyDescent="0.2">
      <c r="B231" s="443"/>
      <c r="C231" s="443"/>
      <c r="D231" s="489">
        <f t="shared" si="16"/>
        <v>0.23974795918367345</v>
      </c>
      <c r="E231" s="501">
        <v>11</v>
      </c>
      <c r="F231" s="490">
        <f t="shared" si="17"/>
        <v>7.9065816326530605E-2</v>
      </c>
      <c r="G231" s="499"/>
      <c r="H231" s="491">
        <f t="shared" si="18"/>
        <v>12.64769082848828</v>
      </c>
      <c r="I231" s="489"/>
      <c r="J231" s="499"/>
      <c r="K231" s="440"/>
      <c r="L231" s="440"/>
    </row>
    <row r="232" spans="2:15" x14ac:dyDescent="0.2">
      <c r="B232" s="443"/>
      <c r="C232" s="443" t="str">
        <f>C133</f>
        <v>Bonardi et al. (2020)</v>
      </c>
      <c r="D232" s="489">
        <f t="shared" si="16"/>
        <v>0</v>
      </c>
      <c r="E232" s="501">
        <v>12</v>
      </c>
      <c r="F232" s="490" t="str">
        <f t="shared" ref="F232" si="19">E133</f>
        <v>n/a</v>
      </c>
      <c r="G232" s="499"/>
      <c r="H232" s="491" t="str">
        <f t="shared" ref="H232" si="20">F133</f>
        <v>n/a</v>
      </c>
      <c r="I232" s="489">
        <f>$D232</f>
        <v>0</v>
      </c>
      <c r="J232" s="499"/>
      <c r="K232" s="440">
        <f>I232</f>
        <v>0</v>
      </c>
      <c r="L232" s="440" t="s">
        <v>927</v>
      </c>
      <c r="M232" s="432">
        <v>12</v>
      </c>
    </row>
    <row r="233" spans="2:15" x14ac:dyDescent="0.2">
      <c r="B233" s="443"/>
      <c r="C233" s="443" t="s">
        <v>676</v>
      </c>
      <c r="D233" s="489">
        <f t="shared" si="16"/>
        <v>4.5999999999999999E-2</v>
      </c>
      <c r="E233" s="501">
        <v>13</v>
      </c>
      <c r="F233" s="490">
        <f t="shared" ref="F233:F248" si="21">E134</f>
        <v>0.14799999999999999</v>
      </c>
      <c r="G233" s="499"/>
      <c r="H233" s="491">
        <f t="shared" ref="H233:H248" si="22">F134</f>
        <v>6.756756756756757</v>
      </c>
      <c r="I233" s="489">
        <f>$D233</f>
        <v>4.5999999999999999E-2</v>
      </c>
      <c r="J233" s="499"/>
      <c r="K233" s="440">
        <f>I233</f>
        <v>4.5999999999999999E-2</v>
      </c>
      <c r="L233" s="440" t="s">
        <v>927</v>
      </c>
      <c r="M233" s="432">
        <f>E233+1</f>
        <v>14</v>
      </c>
    </row>
    <row r="234" spans="2:15" x14ac:dyDescent="0.2">
      <c r="B234" s="443"/>
      <c r="C234" s="443" t="s">
        <v>703</v>
      </c>
      <c r="D234" s="489">
        <f t="shared" si="16"/>
        <v>0.15612949485277217</v>
      </c>
      <c r="E234" s="501">
        <v>14</v>
      </c>
      <c r="F234" s="490">
        <f t="shared" si="21"/>
        <v>8.7208602498503457E-2</v>
      </c>
      <c r="G234" s="499"/>
      <c r="H234" s="491">
        <f t="shared" si="22"/>
        <v>11.466758683779625</v>
      </c>
      <c r="I234" s="489">
        <f>$D234</f>
        <v>0.15612949485277217</v>
      </c>
      <c r="J234" s="499"/>
      <c r="K234" s="440" cm="1">
        <f t="array" ref="K234">SUMPRODUCT(D234:D235,1/F234:F235)/SUM(1/F234:F235)</f>
        <v>0.15909491163937145</v>
      </c>
      <c r="L234" s="440"/>
      <c r="M234" s="432">
        <f t="shared" ref="M234:M248" si="23">E234+1</f>
        <v>15</v>
      </c>
      <c r="N234" s="449"/>
      <c r="O234" s="449"/>
    </row>
    <row r="235" spans="2:15" x14ac:dyDescent="0.2">
      <c r="B235" s="443"/>
      <c r="C235" s="443"/>
      <c r="D235" s="489">
        <f t="shared" si="16"/>
        <v>0.16218439239791313</v>
      </c>
      <c r="E235" s="501">
        <v>14</v>
      </c>
      <c r="F235" s="490">
        <f t="shared" si="21"/>
        <v>9.0857143797117776E-2</v>
      </c>
      <c r="G235" s="499"/>
      <c r="H235" s="491">
        <f t="shared" si="22"/>
        <v>11.006289194309041</v>
      </c>
      <c r="I235" s="489"/>
      <c r="J235" s="499"/>
      <c r="K235" s="440"/>
      <c r="L235" s="440"/>
      <c r="M235" s="432">
        <f t="shared" si="23"/>
        <v>15</v>
      </c>
    </row>
    <row r="236" spans="2:15" x14ac:dyDescent="0.2">
      <c r="B236" s="443"/>
      <c r="C236" s="443" t="s">
        <v>274</v>
      </c>
      <c r="D236" s="489">
        <f t="shared" si="16"/>
        <v>-0.32151610007036957</v>
      </c>
      <c r="E236" s="501">
        <v>15</v>
      </c>
      <c r="F236" s="490">
        <f t="shared" si="21"/>
        <v>0.17576213470513535</v>
      </c>
      <c r="G236" s="499"/>
      <c r="H236" s="491">
        <f t="shared" si="22"/>
        <v>5.6895075931891395</v>
      </c>
      <c r="I236" s="489">
        <f>$D236</f>
        <v>-0.32151610007036957</v>
      </c>
      <c r="J236" s="499"/>
      <c r="K236" s="440">
        <f>I236</f>
        <v>-0.32151610007036957</v>
      </c>
      <c r="L236" s="440" t="s">
        <v>927</v>
      </c>
      <c r="M236" s="432">
        <f t="shared" si="23"/>
        <v>16</v>
      </c>
    </row>
    <row r="237" spans="2:15" x14ac:dyDescent="0.2">
      <c r="B237" s="443"/>
      <c r="C237" s="443" t="s">
        <v>928</v>
      </c>
      <c r="D237" s="489">
        <f t="shared" si="16"/>
        <v>-0.01</v>
      </c>
      <c r="E237" s="501">
        <v>16</v>
      </c>
      <c r="F237" s="490">
        <f t="shared" si="21"/>
        <v>5.9171597633136102E-3</v>
      </c>
      <c r="G237" s="499"/>
      <c r="H237" s="491">
        <f t="shared" si="22"/>
        <v>168.99999999999997</v>
      </c>
      <c r="I237" s="489">
        <f>$D237</f>
        <v>-0.01</v>
      </c>
      <c r="J237" s="499"/>
      <c r="K237" s="440">
        <f>I237</f>
        <v>-0.01</v>
      </c>
      <c r="L237" s="440" t="s">
        <v>927</v>
      </c>
      <c r="M237" s="432">
        <f t="shared" si="23"/>
        <v>17</v>
      </c>
    </row>
    <row r="238" spans="2:15" x14ac:dyDescent="0.2">
      <c r="B238" s="443"/>
      <c r="C238" s="443" t="str">
        <f t="shared" ref="C238:D238" si="24">C139</f>
        <v>Berry et al. (2020)</v>
      </c>
      <c r="D238" s="489">
        <f t="shared" si="24"/>
        <v>1.1261750695743089E-2</v>
      </c>
      <c r="E238" s="501">
        <v>17</v>
      </c>
      <c r="F238" s="490" t="str">
        <f t="shared" si="21"/>
        <v>n/a</v>
      </c>
      <c r="G238" s="499"/>
      <c r="H238" s="491" t="str">
        <f t="shared" si="22"/>
        <v>n/a</v>
      </c>
      <c r="I238" s="489">
        <f>$D238</f>
        <v>1.1261750695743089E-2</v>
      </c>
      <c r="J238" s="499"/>
      <c r="K238" s="440">
        <f>I238</f>
        <v>1.1261750695743089E-2</v>
      </c>
      <c r="L238" s="440" t="s">
        <v>927</v>
      </c>
      <c r="M238" s="432">
        <f t="shared" si="23"/>
        <v>18</v>
      </c>
    </row>
    <row r="239" spans="2:15" x14ac:dyDescent="0.2">
      <c r="B239" s="443"/>
      <c r="C239" s="443" t="s">
        <v>438</v>
      </c>
      <c r="D239" s="489">
        <f t="shared" ref="D239:D248" si="25">D140</f>
        <v>-0.35</v>
      </c>
      <c r="E239" s="501">
        <v>18</v>
      </c>
      <c r="F239" s="490">
        <f t="shared" si="21"/>
        <v>6.968641114982578E-2</v>
      </c>
      <c r="G239" s="499"/>
      <c r="H239" s="491">
        <f t="shared" si="22"/>
        <v>14.350000000000001</v>
      </c>
      <c r="I239" s="489">
        <f>$D239</f>
        <v>-0.35</v>
      </c>
      <c r="J239" s="499"/>
      <c r="K239" s="440">
        <f>I239</f>
        <v>-0.35</v>
      </c>
      <c r="L239" s="440" t="s">
        <v>927</v>
      </c>
      <c r="M239" s="432">
        <f t="shared" si="23"/>
        <v>19</v>
      </c>
    </row>
    <row r="240" spans="2:15" x14ac:dyDescent="0.2">
      <c r="B240" s="443"/>
      <c r="C240" s="443" t="s">
        <v>729</v>
      </c>
      <c r="D240" s="489">
        <f t="shared" si="25"/>
        <v>-6.0069444444444453E-2</v>
      </c>
      <c r="E240" s="501">
        <v>19</v>
      </c>
      <c r="F240" s="490">
        <f t="shared" si="21"/>
        <v>0.24514577421869621</v>
      </c>
      <c r="G240" s="499"/>
      <c r="H240" s="491">
        <f t="shared" si="22"/>
        <v>0</v>
      </c>
      <c r="I240" s="499"/>
      <c r="J240" s="489">
        <f>$D240</f>
        <v>-6.0069444444444453E-2</v>
      </c>
      <c r="K240" s="440" cm="1">
        <f t="array" ref="K240">SUMPRODUCT(D240:D242,1/F240:F242)/SUM(1/F240:F242)</f>
        <v>-5.8197618592940092E-2</v>
      </c>
      <c r="L240" s="440"/>
      <c r="M240" s="432">
        <f t="shared" si="23"/>
        <v>20</v>
      </c>
      <c r="N240" s="449"/>
      <c r="O240" s="449"/>
    </row>
    <row r="241" spans="2:15" x14ac:dyDescent="0.2">
      <c r="B241" s="443"/>
      <c r="C241" s="443"/>
      <c r="D241" s="489">
        <f t="shared" si="25"/>
        <v>-8.1250000000000003E-2</v>
      </c>
      <c r="E241" s="501">
        <v>19</v>
      </c>
      <c r="F241" s="490">
        <f t="shared" si="21"/>
        <v>0.27500000000000002</v>
      </c>
      <c r="G241" s="499"/>
      <c r="H241" s="491">
        <f t="shared" si="22"/>
        <v>3.6363636363636362</v>
      </c>
      <c r="I241" s="489"/>
      <c r="J241" s="499"/>
      <c r="K241" s="440"/>
      <c r="L241" s="440"/>
      <c r="M241" s="432">
        <f t="shared" si="23"/>
        <v>20</v>
      </c>
    </row>
    <row r="242" spans="2:15" x14ac:dyDescent="0.2">
      <c r="B242" s="443"/>
      <c r="C242" s="443"/>
      <c r="D242" s="489">
        <f t="shared" si="25"/>
        <v>-3.8888888888888896E-2</v>
      </c>
      <c r="E242" s="501">
        <v>19</v>
      </c>
      <c r="F242" s="490">
        <f t="shared" si="21"/>
        <v>0.21111111111111114</v>
      </c>
      <c r="G242" s="499"/>
      <c r="H242" s="491">
        <f t="shared" si="22"/>
        <v>4.7368421052631575</v>
      </c>
      <c r="I242" s="489"/>
      <c r="J242" s="499"/>
      <c r="K242" s="440"/>
      <c r="L242" s="440"/>
      <c r="M242" s="432">
        <f t="shared" si="23"/>
        <v>20</v>
      </c>
    </row>
    <row r="243" spans="2:15" x14ac:dyDescent="0.2">
      <c r="B243" s="443"/>
      <c r="C243" s="443" t="s">
        <v>575</v>
      </c>
      <c r="D243" s="489">
        <f t="shared" si="25"/>
        <v>-0.40389417076968986</v>
      </c>
      <c r="E243" s="501">
        <v>20</v>
      </c>
      <c r="F243" s="490">
        <f t="shared" si="21"/>
        <v>0.36129664144631723</v>
      </c>
      <c r="G243" s="499"/>
      <c r="H243" s="491">
        <f t="shared" si="22"/>
        <v>0</v>
      </c>
      <c r="I243" s="499"/>
      <c r="J243" s="489">
        <f>$D243</f>
        <v>-0.40389417076968986</v>
      </c>
      <c r="K243" s="440" cm="1">
        <f t="array" ref="K243">SUMPRODUCT(D243:D248,1/F243:F248)/SUM(1/F243:F248)</f>
        <v>-0.40024818371044751</v>
      </c>
      <c r="L243" s="440"/>
      <c r="M243" s="432">
        <f t="shared" si="23"/>
        <v>21</v>
      </c>
      <c r="N243" s="449"/>
      <c r="O243" s="449"/>
    </row>
    <row r="244" spans="2:15" x14ac:dyDescent="0.2">
      <c r="B244" s="443"/>
      <c r="C244" s="443"/>
      <c r="D244" s="489">
        <f t="shared" si="25"/>
        <v>-0.50242053176795509</v>
      </c>
      <c r="E244" s="501">
        <v>20</v>
      </c>
      <c r="F244" s="490">
        <f t="shared" si="21"/>
        <v>0.43188011326758319</v>
      </c>
      <c r="G244" s="499"/>
      <c r="H244" s="491">
        <f t="shared" si="22"/>
        <v>2.3154573903254083</v>
      </c>
      <c r="I244" s="489"/>
      <c r="J244" s="499"/>
      <c r="K244" s="440"/>
      <c r="L244" s="440"/>
      <c r="M244" s="432">
        <f t="shared" si="23"/>
        <v>21</v>
      </c>
    </row>
    <row r="245" spans="2:15" x14ac:dyDescent="0.2">
      <c r="B245" s="443"/>
      <c r="C245" s="443"/>
      <c r="D245" s="489">
        <f t="shared" si="25"/>
        <v>-0.36109531596808375</v>
      </c>
      <c r="E245" s="501">
        <v>20</v>
      </c>
      <c r="F245" s="490">
        <f t="shared" si="21"/>
        <v>0.34819905468350931</v>
      </c>
      <c r="G245" s="499"/>
      <c r="H245" s="491">
        <f t="shared" si="22"/>
        <v>2.871920490734635</v>
      </c>
      <c r="I245" s="489"/>
      <c r="J245" s="499"/>
      <c r="K245" s="440"/>
      <c r="L245" s="440"/>
      <c r="M245" s="432">
        <f t="shared" si="23"/>
        <v>21</v>
      </c>
    </row>
    <row r="246" spans="2:15" x14ac:dyDescent="0.2">
      <c r="B246" s="443"/>
      <c r="C246" s="443"/>
      <c r="D246" s="489">
        <f t="shared" si="25"/>
        <v>-0.38798592599865012</v>
      </c>
      <c r="E246" s="501">
        <v>20</v>
      </c>
      <c r="F246" s="490">
        <f t="shared" si="21"/>
        <v>0.34531537609248492</v>
      </c>
      <c r="G246" s="499"/>
      <c r="H246" s="491">
        <f t="shared" si="22"/>
        <v>2.8959034819583955</v>
      </c>
      <c r="I246" s="489"/>
      <c r="J246" s="499"/>
      <c r="K246" s="440"/>
      <c r="L246" s="440"/>
      <c r="M246" s="432">
        <f t="shared" si="23"/>
        <v>21</v>
      </c>
    </row>
    <row r="247" spans="2:15" x14ac:dyDescent="0.2">
      <c r="B247" s="443"/>
      <c r="C247" s="443"/>
      <c r="D247" s="489">
        <f t="shared" si="25"/>
        <v>-0.39286250626121033</v>
      </c>
      <c r="E247" s="501">
        <v>20</v>
      </c>
      <c r="F247" s="490">
        <f t="shared" si="21"/>
        <v>0.34326263072121782</v>
      </c>
      <c r="G247" s="499"/>
      <c r="H247" s="491">
        <f t="shared" si="22"/>
        <v>2.9132212787011884</v>
      </c>
      <c r="I247" s="489"/>
      <c r="J247" s="499"/>
      <c r="K247" s="440"/>
      <c r="L247" s="440"/>
      <c r="M247" s="432">
        <f t="shared" si="23"/>
        <v>21</v>
      </c>
    </row>
    <row r="248" spans="2:15" x14ac:dyDescent="0.2">
      <c r="B248" s="451"/>
      <c r="C248" s="451"/>
      <c r="D248" s="463">
        <f t="shared" si="25"/>
        <v>-0.37562242158858872</v>
      </c>
      <c r="E248" s="502">
        <v>20</v>
      </c>
      <c r="F248" s="459">
        <f t="shared" si="21"/>
        <v>0.31899993340856797</v>
      </c>
      <c r="G248" s="460"/>
      <c r="H248" s="492">
        <f t="shared" si="22"/>
        <v>3.1347968926351544</v>
      </c>
      <c r="I248" s="463"/>
      <c r="J248" s="460"/>
      <c r="K248" s="453"/>
      <c r="L248" s="453"/>
      <c r="M248" s="432">
        <f t="shared" si="23"/>
        <v>21</v>
      </c>
    </row>
    <row r="251" spans="2:15" s="477" customFormat="1" ht="19.5" x14ac:dyDescent="0.4">
      <c r="B251" s="477" t="s">
        <v>941</v>
      </c>
    </row>
    <row r="278" spans="3:14" x14ac:dyDescent="0.2">
      <c r="C278" s="433" t="s">
        <v>929</v>
      </c>
    </row>
    <row r="279" spans="3:14" x14ac:dyDescent="0.2">
      <c r="C279" s="438"/>
      <c r="D279" s="438"/>
      <c r="E279" s="438" t="s">
        <v>930</v>
      </c>
      <c r="F279" s="438" t="s">
        <v>926</v>
      </c>
      <c r="G279" s="438" t="s">
        <v>234</v>
      </c>
    </row>
    <row r="280" spans="3:14" x14ac:dyDescent="0.2">
      <c r="C280" s="443" t="s">
        <v>931</v>
      </c>
      <c r="D280" s="443" t="str">
        <f>C186</f>
        <v>Bjørnskov (2021)</v>
      </c>
      <c r="E280" s="440">
        <f>MAX(I186:J186)</f>
        <v>-3.0820447444083188E-3</v>
      </c>
      <c r="F280" s="440">
        <f>K186</f>
        <v>-1.5737853812680257E-3</v>
      </c>
      <c r="G280" s="443" t="str">
        <f>IF(ISTEXT(L186),L186,"")</f>
        <v/>
      </c>
      <c r="H280" s="449"/>
      <c r="I280" s="449"/>
      <c r="N280" s="449"/>
    </row>
    <row r="281" spans="3:14" x14ac:dyDescent="0.2">
      <c r="C281" s="443"/>
      <c r="D281" s="440" t="str">
        <f>C190</f>
        <v>Shiva and Molana (2021)</v>
      </c>
      <c r="E281" s="440">
        <f>MAX(I190:J190)</f>
        <v>-4.0159765066823672E-2</v>
      </c>
      <c r="F281" s="440">
        <f>K190</f>
        <v>-3.1556404900083594E-2</v>
      </c>
      <c r="G281" s="443" t="str">
        <f>IF(ISTEXT(L190),L190,"")</f>
        <v/>
      </c>
      <c r="H281" s="449"/>
      <c r="I281" s="449"/>
    </row>
    <row r="282" spans="3:14" x14ac:dyDescent="0.2">
      <c r="C282" s="443"/>
      <c r="D282" s="443" t="str">
        <f>C194</f>
        <v>Chisadza et al. (2021)</v>
      </c>
      <c r="E282" s="440">
        <f>MAX(I194:J194)</f>
        <v>0.11715264654310653</v>
      </c>
      <c r="F282" s="440">
        <f>K194</f>
        <v>0.12817756085375426</v>
      </c>
      <c r="G282" s="443" t="str">
        <f>IF(ISTEXT(L194),L194,"")</f>
        <v/>
      </c>
      <c r="H282" s="449"/>
      <c r="I282" s="449"/>
    </row>
    <row r="283" spans="3:14" x14ac:dyDescent="0.2">
      <c r="C283" s="443"/>
      <c r="D283" s="443" t="str">
        <f>C200</f>
        <v>Goldstein et al. (2021)</v>
      </c>
      <c r="E283" s="440">
        <f>MAX(I200:J200)</f>
        <v>-7.5420107976104989E-2</v>
      </c>
      <c r="F283" s="440">
        <f>K200</f>
        <v>-7.6482595799537451E-2</v>
      </c>
      <c r="G283" s="443" t="str">
        <f>IF(ISTEXT(L200),L200,"")</f>
        <v/>
      </c>
      <c r="H283" s="449"/>
      <c r="I283" s="449"/>
    </row>
    <row r="284" spans="3:14" x14ac:dyDescent="0.2">
      <c r="C284" s="443"/>
      <c r="D284" s="440" t="str">
        <f>C203</f>
        <v>Fuller et al. (2021)</v>
      </c>
      <c r="E284" s="440">
        <f>MAX(I203:J203)</f>
        <v>-0.3534582598710535</v>
      </c>
      <c r="F284" s="440">
        <f>K203</f>
        <v>-0.3534582598710535</v>
      </c>
      <c r="G284" s="443" t="str">
        <f>IF(ISTEXT(L203),L203,"")</f>
        <v>Single estimate</v>
      </c>
      <c r="H284" s="449"/>
      <c r="I284" s="449"/>
    </row>
    <row r="285" spans="3:14" x14ac:dyDescent="0.2">
      <c r="C285" s="443"/>
      <c r="D285" s="443" t="str">
        <f>C204</f>
        <v>Ashraf (2020)</v>
      </c>
      <c r="E285" s="440">
        <f>MAX(I204:J204)</f>
        <v>-2.4009081653636168E-2</v>
      </c>
      <c r="F285" s="440">
        <f>K204</f>
        <v>-3.8412243315599864E-2</v>
      </c>
      <c r="G285" s="443" t="str">
        <f>IF(ISTEXT(L204),L204,"")</f>
        <v/>
      </c>
      <c r="H285" s="449"/>
      <c r="I285" s="449"/>
    </row>
    <row r="286" spans="3:14" x14ac:dyDescent="0.2">
      <c r="C286" s="443"/>
      <c r="D286" s="440" t="str">
        <f>C207</f>
        <v>Yang et al. (2021)</v>
      </c>
      <c r="E286" s="440">
        <f>MAX(I207:J207)</f>
        <v>-0.16329011082141937</v>
      </c>
      <c r="F286" s="440">
        <f>K207</f>
        <v>0.16692069199248513</v>
      </c>
      <c r="G286" s="443" t="str">
        <f>IF(ISTEXT(L207),L207,"")</f>
        <v/>
      </c>
      <c r="H286" s="449"/>
      <c r="I286" s="449"/>
    </row>
    <row r="287" spans="3:14" x14ac:dyDescent="0.2">
      <c r="C287" s="443"/>
      <c r="D287" s="443" t="str">
        <f>C211</f>
        <v>Hale et al. (2021)</v>
      </c>
      <c r="E287" s="440">
        <f>MAX(I211:J211)</f>
        <v>-0.16869018010788994</v>
      </c>
      <c r="F287" s="440">
        <f>K211</f>
        <v>-0.20050668249493972</v>
      </c>
      <c r="G287" s="443" t="str">
        <f>IF(ISTEXT(L211),L211,"")</f>
        <v/>
      </c>
      <c r="H287" s="449"/>
      <c r="I287" s="449"/>
    </row>
    <row r="288" spans="3:14" x14ac:dyDescent="0.2">
      <c r="C288" s="443" t="s">
        <v>924</v>
      </c>
      <c r="D288" s="440" t="str">
        <f>C216</f>
        <v>Chernozhukov et al. (2021)</v>
      </c>
      <c r="E288" s="440">
        <f>MAX(I216:J216)</f>
        <v>-0.17695473251028815</v>
      </c>
      <c r="F288" s="440">
        <f>K216</f>
        <v>-0.17695473251028815</v>
      </c>
      <c r="G288" s="443" t="str">
        <f>IF(ISTEXT(L216),L216,"")</f>
        <v>Single estimate</v>
      </c>
      <c r="H288" s="449"/>
      <c r="I288" s="449"/>
    </row>
    <row r="289" spans="3:9" x14ac:dyDescent="0.2">
      <c r="C289" s="443"/>
      <c r="D289" s="443" t="str">
        <f>C217</f>
        <v>Stokes et al. (2020)</v>
      </c>
      <c r="E289" s="440">
        <f>MAX(I217:J217)</f>
        <v>4.8995231350040705E-2</v>
      </c>
      <c r="F289" s="440">
        <f>K217</f>
        <v>1.0527598000436476E-2</v>
      </c>
      <c r="G289" s="443" t="str">
        <f>IF(ISTEXT(L217),L217,"")</f>
        <v/>
      </c>
      <c r="H289" s="449"/>
      <c r="I289" s="449"/>
    </row>
    <row r="290" spans="3:9" x14ac:dyDescent="0.2">
      <c r="C290" s="443"/>
      <c r="D290" s="443" t="str">
        <f>C228</f>
        <v>Spiegel and Tookes (2021)</v>
      </c>
      <c r="E290" s="440">
        <f>MAX(I228:J228)</f>
        <v>0.13071364795918367</v>
      </c>
      <c r="F290" s="440">
        <f>K228</f>
        <v>8.7801205621199502E-2</v>
      </c>
      <c r="G290" s="443" t="str">
        <f>IF(ISTEXT(L228),L228,"")</f>
        <v/>
      </c>
      <c r="H290" s="449"/>
      <c r="I290" s="449"/>
    </row>
    <row r="291" spans="3:9" x14ac:dyDescent="0.2">
      <c r="C291" s="443"/>
      <c r="D291" s="440" t="str">
        <f>C233</f>
        <v>Guo et al. (2021)</v>
      </c>
      <c r="E291" s="440">
        <f>MAX(I233:J233)</f>
        <v>4.5999999999999999E-2</v>
      </c>
      <c r="F291" s="440">
        <f>K233</f>
        <v>4.5999999999999999E-2</v>
      </c>
      <c r="G291" s="443" t="str">
        <f>IF(ISTEXT(L233),L233,"")</f>
        <v>Single estimate</v>
      </c>
      <c r="H291" s="449"/>
      <c r="I291" s="449"/>
    </row>
    <row r="292" spans="3:9" x14ac:dyDescent="0.2">
      <c r="C292" s="443"/>
      <c r="D292" s="443" t="str">
        <f>C234</f>
        <v>An et al. (2021)</v>
      </c>
      <c r="E292" s="440">
        <f>MAX(I234:J234)</f>
        <v>0.15612949485277217</v>
      </c>
      <c r="F292" s="440">
        <f>K234</f>
        <v>0.15909491163937145</v>
      </c>
      <c r="G292" s="443" t="str">
        <f>IF(ISTEXT(L234),L234,"")</f>
        <v/>
      </c>
      <c r="H292" s="449"/>
      <c r="I292" s="449"/>
    </row>
    <row r="293" spans="3:9" x14ac:dyDescent="0.2">
      <c r="C293" s="443"/>
      <c r="D293" s="440" t="str">
        <f>C236</f>
        <v>Sears et al. (2020)</v>
      </c>
      <c r="E293" s="440">
        <f>MAX(I236:J236)</f>
        <v>-0.32151610007036957</v>
      </c>
      <c r="F293" s="440">
        <f>K236</f>
        <v>-0.32151610007036957</v>
      </c>
      <c r="G293" s="443" t="str">
        <f>IF(ISTEXT(L236),L236,"")</f>
        <v>Single estimate</v>
      </c>
      <c r="H293" s="449"/>
      <c r="I293" s="449"/>
    </row>
    <row r="294" spans="3:9" x14ac:dyDescent="0.2">
      <c r="C294" s="443"/>
      <c r="D294" s="440" t="str">
        <f>C237</f>
        <v>Alderman &amp; Harjoto (2020)</v>
      </c>
      <c r="E294" s="440">
        <f>MAX(I237:J237)</f>
        <v>-0.01</v>
      </c>
      <c r="F294" s="440">
        <f>K237</f>
        <v>-0.01</v>
      </c>
      <c r="G294" s="443" t="str">
        <f>IF(ISTEXT(L237),L237,"")</f>
        <v>Single estimate</v>
      </c>
      <c r="H294" s="449"/>
      <c r="I294" s="449"/>
    </row>
    <row r="295" spans="3:9" x14ac:dyDescent="0.2">
      <c r="C295" s="443"/>
      <c r="D295" s="440" t="str">
        <f>C239</f>
        <v>Fowler et al. (2021)</v>
      </c>
      <c r="E295" s="440">
        <f>MAX(I239:J239)</f>
        <v>-0.35</v>
      </c>
      <c r="F295" s="440">
        <f>K239</f>
        <v>-0.35</v>
      </c>
      <c r="G295" s="443" t="str">
        <f>IF(ISTEXT(L239),L239,"")</f>
        <v>Single estimate</v>
      </c>
      <c r="H295" s="449"/>
      <c r="I295" s="449"/>
    </row>
    <row r="296" spans="3:9" x14ac:dyDescent="0.2">
      <c r="C296" s="443"/>
      <c r="D296" s="443" t="str">
        <f>C240</f>
        <v>Gibson (2020)</v>
      </c>
      <c r="E296" s="440">
        <f>MAX(I240:J240)</f>
        <v>-6.0069444444444453E-2</v>
      </c>
      <c r="F296" s="440">
        <f>K240</f>
        <v>-5.8197618592940092E-2</v>
      </c>
      <c r="G296" s="443" t="str">
        <f>IF(ISTEXT(L240),L240,"")</f>
        <v/>
      </c>
      <c r="H296" s="449"/>
      <c r="I296" s="449"/>
    </row>
    <row r="297" spans="3:9" x14ac:dyDescent="0.2">
      <c r="C297" s="451"/>
      <c r="D297" s="451" t="str">
        <f>C243</f>
        <v>Dave et al. (2020)</v>
      </c>
      <c r="E297" s="453">
        <f>MAX(I243:J243)</f>
        <v>-0.40389417076968986</v>
      </c>
      <c r="F297" s="453">
        <f>K243</f>
        <v>-0.40024818371044751</v>
      </c>
      <c r="G297" s="451" t="str">
        <f>IF(ISTEXT(L243),L243,"")</f>
        <v/>
      </c>
      <c r="H297" s="449"/>
      <c r="I297" s="449"/>
    </row>
    <row r="298" spans="3:9" x14ac:dyDescent="0.2">
      <c r="C298" s="433"/>
    </row>
    <row r="299" spans="3:9" x14ac:dyDescent="0.2">
      <c r="C299" s="433"/>
    </row>
    <row r="300" spans="3:9" x14ac:dyDescent="0.2">
      <c r="C300" s="433"/>
    </row>
    <row r="301" spans="3:9" x14ac:dyDescent="0.2">
      <c r="C301" s="438"/>
      <c r="D301" s="438"/>
      <c r="E301" s="438"/>
      <c r="F301" s="438" t="s">
        <v>0</v>
      </c>
      <c r="G301" s="438" t="s">
        <v>924</v>
      </c>
      <c r="H301" s="438" t="s">
        <v>932</v>
      </c>
    </row>
    <row r="302" spans="3:9" x14ac:dyDescent="0.2">
      <c r="C302" s="443" t="s">
        <v>931</v>
      </c>
      <c r="D302" s="443" t="str">
        <f t="shared" ref="D302:F317" si="26">D280</f>
        <v>Bjørnskov (2021)</v>
      </c>
      <c r="E302" s="440">
        <f t="shared" si="26"/>
        <v>-3.0820447444083188E-3</v>
      </c>
      <c r="F302" s="440">
        <f t="shared" si="26"/>
        <v>-1.5737853812680257E-3</v>
      </c>
      <c r="G302" s="443"/>
      <c r="H302" s="443"/>
    </row>
    <row r="303" spans="3:9" x14ac:dyDescent="0.2">
      <c r="C303" s="443"/>
      <c r="D303" s="440" t="str">
        <f t="shared" si="26"/>
        <v>Shiva and Molana (2021)</v>
      </c>
      <c r="E303" s="440">
        <f t="shared" si="26"/>
        <v>-4.0159765066823672E-2</v>
      </c>
      <c r="F303" s="440">
        <f t="shared" si="26"/>
        <v>-3.1556404900083594E-2</v>
      </c>
      <c r="G303" s="443"/>
      <c r="H303" s="443"/>
    </row>
    <row r="304" spans="3:9" x14ac:dyDescent="0.2">
      <c r="C304" s="443"/>
      <c r="D304" s="443" t="str">
        <f t="shared" si="26"/>
        <v>Chisadza et al. (2021)</v>
      </c>
      <c r="E304" s="440">
        <f t="shared" si="26"/>
        <v>0.11715264654310653</v>
      </c>
      <c r="F304" s="440">
        <f t="shared" si="26"/>
        <v>0.12817756085375426</v>
      </c>
      <c r="G304" s="443"/>
      <c r="H304" s="443"/>
    </row>
    <row r="305" spans="3:8" x14ac:dyDescent="0.2">
      <c r="C305" s="443"/>
      <c r="D305" s="443" t="str">
        <f t="shared" si="26"/>
        <v>Goldstein et al. (2021)</v>
      </c>
      <c r="E305" s="440">
        <f t="shared" si="26"/>
        <v>-7.5420107976104989E-2</v>
      </c>
      <c r="F305" s="440">
        <f t="shared" si="26"/>
        <v>-7.6482595799537451E-2</v>
      </c>
      <c r="G305" s="443"/>
      <c r="H305" s="443"/>
    </row>
    <row r="306" spans="3:8" x14ac:dyDescent="0.2">
      <c r="C306" s="443"/>
      <c r="D306" s="440" t="str">
        <f t="shared" si="26"/>
        <v>Fuller et al. (2021)</v>
      </c>
      <c r="E306" s="440">
        <f t="shared" si="26"/>
        <v>-0.3534582598710535</v>
      </c>
      <c r="F306" s="440">
        <f t="shared" si="26"/>
        <v>-0.3534582598710535</v>
      </c>
      <c r="G306" s="443"/>
      <c r="H306" s="443"/>
    </row>
    <row r="307" spans="3:8" x14ac:dyDescent="0.2">
      <c r="C307" s="443"/>
      <c r="D307" s="443" t="str">
        <f t="shared" si="26"/>
        <v>Ashraf (2020)</v>
      </c>
      <c r="E307" s="440">
        <f t="shared" si="26"/>
        <v>-2.4009081653636168E-2</v>
      </c>
      <c r="F307" s="440">
        <f t="shared" si="26"/>
        <v>-3.8412243315599864E-2</v>
      </c>
      <c r="G307" s="443"/>
      <c r="H307" s="443"/>
    </row>
    <row r="308" spans="3:8" x14ac:dyDescent="0.2">
      <c r="C308" s="443"/>
      <c r="D308" s="440" t="str">
        <f t="shared" si="26"/>
        <v>Yang et al. (2021)</v>
      </c>
      <c r="E308" s="440">
        <f t="shared" si="26"/>
        <v>-0.16329011082141937</v>
      </c>
      <c r="F308" s="440">
        <f t="shared" si="26"/>
        <v>0.16692069199248513</v>
      </c>
      <c r="G308" s="443"/>
      <c r="H308" s="443"/>
    </row>
    <row r="309" spans="3:8" x14ac:dyDescent="0.2">
      <c r="C309" s="443"/>
      <c r="D309" s="443" t="str">
        <f t="shared" si="26"/>
        <v>Hale et al. (2021)</v>
      </c>
      <c r="E309" s="440">
        <f t="shared" si="26"/>
        <v>-0.16869018010788994</v>
      </c>
      <c r="F309" s="440">
        <f t="shared" si="26"/>
        <v>-0.20050668249493972</v>
      </c>
      <c r="G309" s="443"/>
      <c r="H309" s="443"/>
    </row>
    <row r="310" spans="3:8" x14ac:dyDescent="0.2">
      <c r="C310" s="443" t="s">
        <v>924</v>
      </c>
      <c r="D310" s="440" t="str">
        <f t="shared" si="26"/>
        <v>Chernozhukov et al. (2021)</v>
      </c>
      <c r="E310" s="440">
        <f t="shared" si="26"/>
        <v>-0.17695473251028815</v>
      </c>
      <c r="F310" s="440">
        <f t="shared" si="26"/>
        <v>-0.17695473251028815</v>
      </c>
      <c r="G310" s="440">
        <f>F310</f>
        <v>-0.17695473251028815</v>
      </c>
      <c r="H310" s="443"/>
    </row>
    <row r="311" spans="3:8" x14ac:dyDescent="0.2">
      <c r="C311" s="443"/>
      <c r="D311" s="443" t="str">
        <f t="shared" si="26"/>
        <v>Stokes et al. (2020)</v>
      </c>
      <c r="E311" s="440">
        <f t="shared" si="26"/>
        <v>4.8995231350040705E-2</v>
      </c>
      <c r="F311" s="440">
        <f t="shared" si="26"/>
        <v>1.0527598000436476E-2</v>
      </c>
      <c r="G311" s="440">
        <f t="shared" ref="G311:G319" si="27">F311</f>
        <v>1.0527598000436476E-2</v>
      </c>
      <c r="H311" s="443"/>
    </row>
    <row r="312" spans="3:8" x14ac:dyDescent="0.2">
      <c r="C312" s="443"/>
      <c r="D312" s="443" t="str">
        <f t="shared" si="26"/>
        <v>Spiegel and Tookes (2021)</v>
      </c>
      <c r="E312" s="440">
        <f t="shared" si="26"/>
        <v>0.13071364795918367</v>
      </c>
      <c r="F312" s="440">
        <f t="shared" si="26"/>
        <v>8.7801205621199502E-2</v>
      </c>
      <c r="G312" s="440">
        <f t="shared" si="27"/>
        <v>8.7801205621199502E-2</v>
      </c>
      <c r="H312" s="443"/>
    </row>
    <row r="313" spans="3:8" x14ac:dyDescent="0.2">
      <c r="C313" s="443"/>
      <c r="D313" s="440" t="str">
        <f t="shared" si="26"/>
        <v>Guo et al. (2021)</v>
      </c>
      <c r="E313" s="440">
        <f t="shared" si="26"/>
        <v>4.5999999999999999E-2</v>
      </c>
      <c r="F313" s="440">
        <f t="shared" si="26"/>
        <v>4.5999999999999999E-2</v>
      </c>
      <c r="G313" s="440">
        <f t="shared" si="27"/>
        <v>4.5999999999999999E-2</v>
      </c>
      <c r="H313" s="443"/>
    </row>
    <row r="314" spans="3:8" x14ac:dyDescent="0.2">
      <c r="C314" s="443"/>
      <c r="D314" s="443" t="str">
        <f t="shared" si="26"/>
        <v>An et al. (2021)</v>
      </c>
      <c r="E314" s="440">
        <f t="shared" si="26"/>
        <v>0.15612949485277217</v>
      </c>
      <c r="F314" s="440">
        <f t="shared" si="26"/>
        <v>0.15909491163937145</v>
      </c>
      <c r="G314" s="440">
        <f t="shared" si="27"/>
        <v>0.15909491163937145</v>
      </c>
      <c r="H314" s="443"/>
    </row>
    <row r="315" spans="3:8" x14ac:dyDescent="0.2">
      <c r="C315" s="443"/>
      <c r="D315" s="440" t="str">
        <f t="shared" si="26"/>
        <v>Sears et al. (2020)</v>
      </c>
      <c r="E315" s="440">
        <f t="shared" si="26"/>
        <v>-0.32151610007036957</v>
      </c>
      <c r="F315" s="440">
        <f t="shared" si="26"/>
        <v>-0.32151610007036957</v>
      </c>
      <c r="G315" s="440">
        <f t="shared" si="27"/>
        <v>-0.32151610007036957</v>
      </c>
      <c r="H315" s="443"/>
    </row>
    <row r="316" spans="3:8" x14ac:dyDescent="0.2">
      <c r="C316" s="443"/>
      <c r="D316" s="440" t="str">
        <f t="shared" si="26"/>
        <v>Alderman &amp; Harjoto (2020)</v>
      </c>
      <c r="E316" s="440">
        <f t="shared" si="26"/>
        <v>-0.01</v>
      </c>
      <c r="F316" s="440">
        <f t="shared" si="26"/>
        <v>-0.01</v>
      </c>
      <c r="G316" s="440">
        <f t="shared" si="27"/>
        <v>-0.01</v>
      </c>
      <c r="H316" s="443"/>
    </row>
    <row r="317" spans="3:8" x14ac:dyDescent="0.2">
      <c r="C317" s="443"/>
      <c r="D317" s="440" t="str">
        <f t="shared" si="26"/>
        <v>Fowler et al. (2021)</v>
      </c>
      <c r="E317" s="440">
        <f t="shared" si="26"/>
        <v>-0.35</v>
      </c>
      <c r="F317" s="440">
        <f t="shared" si="26"/>
        <v>-0.35</v>
      </c>
      <c r="G317" s="440">
        <f t="shared" si="27"/>
        <v>-0.35</v>
      </c>
      <c r="H317" s="443"/>
    </row>
    <row r="318" spans="3:8" x14ac:dyDescent="0.2">
      <c r="C318" s="443"/>
      <c r="D318" s="443" t="str">
        <f t="shared" ref="D318:F319" si="28">D296</f>
        <v>Gibson (2020)</v>
      </c>
      <c r="E318" s="440">
        <f t="shared" si="28"/>
        <v>-6.0069444444444453E-2</v>
      </c>
      <c r="F318" s="440">
        <f t="shared" si="28"/>
        <v>-5.8197618592940092E-2</v>
      </c>
      <c r="G318" s="440">
        <f t="shared" si="27"/>
        <v>-5.8197618592940092E-2</v>
      </c>
      <c r="H318" s="443"/>
    </row>
    <row r="319" spans="3:8" x14ac:dyDescent="0.2">
      <c r="C319" s="451"/>
      <c r="D319" s="451" t="str">
        <f t="shared" si="28"/>
        <v>Dave et al. (2020)</v>
      </c>
      <c r="E319" s="453">
        <f t="shared" si="28"/>
        <v>-0.40389417076968986</v>
      </c>
      <c r="F319" s="453">
        <f t="shared" si="28"/>
        <v>-0.40024818371044751</v>
      </c>
      <c r="G319" s="453">
        <f t="shared" si="27"/>
        <v>-0.40024818371044751</v>
      </c>
      <c r="H319" s="451"/>
    </row>
    <row r="320" spans="3:8" x14ac:dyDescent="0.2">
      <c r="C320" s="475" t="s">
        <v>933</v>
      </c>
      <c r="D320" s="475"/>
      <c r="E320" s="476">
        <f>MIN(E302:E319)</f>
        <v>-0.40389417076968986</v>
      </c>
      <c r="F320" s="475"/>
      <c r="G320" s="476">
        <f>E320</f>
        <v>-0.40389417076968986</v>
      </c>
      <c r="H320" s="476">
        <f>E320</f>
        <v>-0.40389417076968986</v>
      </c>
    </row>
    <row r="321" spans="1:8" x14ac:dyDescent="0.2">
      <c r="C321" s="451"/>
      <c r="D321" s="451"/>
      <c r="E321" s="453">
        <f>MAX(E302:E319)</f>
        <v>0.15612949485277217</v>
      </c>
      <c r="F321" s="451"/>
      <c r="G321" s="453">
        <f>E321</f>
        <v>0.15612949485277217</v>
      </c>
      <c r="H321" s="453">
        <f>E321</f>
        <v>0.15612949485277217</v>
      </c>
    </row>
    <row r="327" spans="1:8" s="495" customFormat="1" ht="19.5" x14ac:dyDescent="0.4">
      <c r="A327" s="495" t="s">
        <v>939</v>
      </c>
    </row>
    <row r="329" spans="1:8" x14ac:dyDescent="0.2">
      <c r="C329" s="433" t="s">
        <v>0</v>
      </c>
      <c r="G329" s="433" t="s">
        <v>920</v>
      </c>
    </row>
    <row r="351" spans="3:6" ht="14.25" x14ac:dyDescent="0.3">
      <c r="C351" s="481"/>
      <c r="D351" s="481"/>
      <c r="E351" s="481" t="s">
        <v>0</v>
      </c>
      <c r="F351" s="481" t="s">
        <v>920</v>
      </c>
    </row>
    <row r="352" spans="3:6" ht="14.25" x14ac:dyDescent="0.3">
      <c r="C352" s="479" t="s">
        <v>971</v>
      </c>
      <c r="D352" s="479" t="s">
        <v>747</v>
      </c>
      <c r="E352" s="482">
        <f>ROUND(E380,4)</f>
        <v>-0.97150000000000003</v>
      </c>
      <c r="F352" s="482">
        <f>ROUND(E457,4)</f>
        <v>-0.38819999999999999</v>
      </c>
    </row>
    <row r="353" spans="1:20" ht="14.25" x14ac:dyDescent="0.3">
      <c r="C353" s="479"/>
      <c r="D353" s="479" t="s">
        <v>15</v>
      </c>
      <c r="E353" s="482" t="str">
        <f>"("&amp;ROUND(E381,4)&amp;")"</f>
        <v>(2.8797)</v>
      </c>
      <c r="F353" s="482" t="str">
        <f>"("&amp;ROUND(E458,4)&amp;")"</f>
        <v>(0.8238)</v>
      </c>
    </row>
    <row r="354" spans="1:20" ht="14.25" x14ac:dyDescent="0.3">
      <c r="C354" s="479"/>
      <c r="D354" s="479" t="s">
        <v>973</v>
      </c>
      <c r="E354" s="482" t="str">
        <f>"["&amp;ROUND(E352-E381*_xlfn.T.INV.2T(0.05, $E$383),3) &amp;"; "&amp;ROUND(E352+E381*_xlfn.T.INV.2T(0.05, $E$383),3)&amp;"]"</f>
        <v>[-8.018; 6.075]</v>
      </c>
      <c r="F354" s="482" t="str">
        <f>"["&amp;ROUND(F352-E458*_xlfn.T.INV.2T(0.05, $E$460),3) &amp;"; "&amp;ROUND(F352+E458*_xlfn.T.INV.2T(0.05, $E$460),3)&amp;"]"</f>
        <v>[-2.288; 1.512]</v>
      </c>
      <c r="G354" s="521" t="str">
        <f>E354</f>
        <v>[-8.018; 6.075]</v>
      </c>
      <c r="I354" s="521" t="str">
        <f>F354</f>
        <v>[-2.288; 1.512]</v>
      </c>
    </row>
    <row r="355" spans="1:20" ht="14.25" x14ac:dyDescent="0.3">
      <c r="C355" s="479"/>
      <c r="D355" s="479" t="s">
        <v>919</v>
      </c>
      <c r="E355" s="482">
        <f>ROUND(E386,4)</f>
        <v>0.74729999999999996</v>
      </c>
      <c r="F355" s="482">
        <f>ROUND(E463,4)</f>
        <v>0.65010000000000001</v>
      </c>
    </row>
    <row r="356" spans="1:20" ht="14.25" x14ac:dyDescent="0.3">
      <c r="C356" s="479" t="s">
        <v>972</v>
      </c>
      <c r="D356" s="479" t="s">
        <v>747</v>
      </c>
      <c r="E356" s="482">
        <f>ROUND(D380,4)</f>
        <v>-2.1899999999999999E-2</v>
      </c>
      <c r="F356" s="482">
        <f>ROUND(D457,4)</f>
        <v>-5.1999999999999998E-3</v>
      </c>
    </row>
    <row r="357" spans="1:20" ht="14.25" x14ac:dyDescent="0.3">
      <c r="C357" s="479"/>
      <c r="D357" s="479" t="s">
        <v>15</v>
      </c>
      <c r="E357" s="482" t="str">
        <f>"("&amp;ROUND(D381,4)&amp;")"</f>
        <v>(0.0234)</v>
      </c>
      <c r="F357" s="482" t="str">
        <f>"("&amp;ROUND(D458,4)&amp;")"</f>
        <v>(0.0149)</v>
      </c>
    </row>
    <row r="358" spans="1:20" ht="14.25" x14ac:dyDescent="0.3">
      <c r="C358" s="479"/>
      <c r="D358" s="479" t="s">
        <v>973</v>
      </c>
      <c r="E358" s="482" t="str">
        <f>"["&amp;ROUND(E356-D381*_xlfn.T.INV.2T(0.05, $E$383),3) &amp;"; "&amp;ROUND(E356+D381*_xlfn.T.INV.2T(0.05, $E$383),3)&amp;"]"</f>
        <v>[-0.079; 0.035]</v>
      </c>
      <c r="F358" s="482" t="str">
        <f>"["&amp;ROUND(F356-D458*_xlfn.T.INV.2T(0.05, $E$460),3) &amp;"; "&amp;ROUND(F356+D458*_xlfn.T.INV.2T(0.05, $E$460),3)&amp;"]"</f>
        <v>[-0.04; 0.029]</v>
      </c>
      <c r="G358" s="521" t="str">
        <f>E358</f>
        <v>[-0.079; 0.035]</v>
      </c>
      <c r="I358" s="521" t="str">
        <f>F358</f>
        <v>[-0.04; 0.029]</v>
      </c>
    </row>
    <row r="359" spans="1:20" ht="14.25" x14ac:dyDescent="0.3">
      <c r="C359" s="480"/>
      <c r="D359" s="480" t="s">
        <v>919</v>
      </c>
      <c r="E359" s="483">
        <f>ROUND(D386,4)</f>
        <v>0.38579999999999998</v>
      </c>
      <c r="F359" s="483">
        <f>ROUND(D463,4)</f>
        <v>0.73440000000000005</v>
      </c>
    </row>
    <row r="364" spans="1:20" s="477" customFormat="1" ht="19.5" x14ac:dyDescent="0.4">
      <c r="A364" s="477" t="s">
        <v>0</v>
      </c>
    </row>
    <row r="366" spans="1:20" x14ac:dyDescent="0.2">
      <c r="C366" s="433" t="s">
        <v>0</v>
      </c>
      <c r="I366" s="433" t="s">
        <v>909</v>
      </c>
    </row>
    <row r="367" spans="1:20" ht="12.75" x14ac:dyDescent="0.25">
      <c r="C367" s="434" t="s">
        <v>10</v>
      </c>
      <c r="D367" s="435" t="s">
        <v>2</v>
      </c>
      <c r="E367" s="436" t="s">
        <v>15</v>
      </c>
      <c r="F367" s="436" t="s">
        <v>4</v>
      </c>
      <c r="G367" s="436" t="s">
        <v>970</v>
      </c>
      <c r="I367" s="437" t="s">
        <v>293</v>
      </c>
      <c r="J367" s="438" t="s">
        <v>15</v>
      </c>
      <c r="K367" s="438" t="str">
        <f>"FAT-PET MRA ("&amp;TEXT(D380,"0.0%")&amp;")"</f>
        <v>FAT-PET MRA (-2.2%)</v>
      </c>
      <c r="L367" s="438" t="s">
        <v>910</v>
      </c>
      <c r="M367" s="438" t="str">
        <f>"PWA ("&amp;TEXT(D376,"0.0%")&amp;")"</f>
        <v>PWA (-3.2%)</v>
      </c>
      <c r="N367" s="438" t="str">
        <f>"FAT-PET MRA ("&amp;TEXT(D380,"0.0%")&amp;")"</f>
        <v>FAT-PET MRA (-2.2%)</v>
      </c>
      <c r="P367" s="505" t="s">
        <v>978</v>
      </c>
      <c r="Q367" s="505" t="s">
        <v>979</v>
      </c>
    </row>
    <row r="368" spans="1:20" ht="12.75" x14ac:dyDescent="0.2">
      <c r="C368" s="439" t="s">
        <v>240</v>
      </c>
      <c r="D368" s="484">
        <f>'Standardizing estimates'!D7</f>
        <v>-3.0820447444083188E-3</v>
      </c>
      <c r="E368" s="485">
        <f>'Standardizing estimates'!E7</f>
        <v>8.2187859850888501E-3</v>
      </c>
      <c r="F368" s="486">
        <f>'Standardizing estimates'!F7</f>
        <v>121.67247106984857</v>
      </c>
      <c r="G368" s="519">
        <f>D368/E368</f>
        <v>-0.375</v>
      </c>
      <c r="I368" s="440">
        <f t="shared" ref="I368:I399" si="29">$D$380+J368*$E$380</f>
        <v>-2.1912097494807888E-2</v>
      </c>
      <c r="J368" s="441">
        <v>0</v>
      </c>
      <c r="K368" s="442">
        <v>1000000</v>
      </c>
      <c r="L368" s="443"/>
      <c r="M368" s="444" t="s">
        <v>911</v>
      </c>
      <c r="N368" s="443"/>
      <c r="P368" s="522">
        <f>F368/E368</f>
        <v>14804.190216243138</v>
      </c>
      <c r="Q368" s="524">
        <f>G368/E368</f>
        <v>-45.627176651193217</v>
      </c>
      <c r="R368" s="526"/>
      <c r="S368" s="470"/>
      <c r="T368" s="471"/>
    </row>
    <row r="369" spans="3:20" ht="12.75" x14ac:dyDescent="0.2">
      <c r="C369" s="439" t="s">
        <v>269</v>
      </c>
      <c r="D369" s="484">
        <f>'Standardizing estimates'!D8</f>
        <v>-4.0159765066823672E-2</v>
      </c>
      <c r="E369" s="485">
        <f>'Standardizing estimates'!E8</f>
        <v>3.9495967297124108E-3</v>
      </c>
      <c r="F369" s="486">
        <f>'Standardizing estimates'!F8</f>
        <v>253.19040611845321</v>
      </c>
      <c r="G369" s="519">
        <f t="shared" ref="G369:G375" si="30">D369/E369</f>
        <v>-10.168067226890756</v>
      </c>
      <c r="I369" s="440">
        <f t="shared" si="29"/>
        <v>-3.1626678122281489E-2</v>
      </c>
      <c r="J369" s="445">
        <f>J368+0.01</f>
        <v>0.01</v>
      </c>
      <c r="K369" s="446">
        <f t="shared" ref="K369:K400" si="31">1/J369</f>
        <v>100</v>
      </c>
      <c r="L369" s="443"/>
      <c r="M369" s="443"/>
      <c r="N369" s="443"/>
      <c r="P369" s="522">
        <f t="shared" ref="P369:P375" si="32">F369/E369</f>
        <v>64105.381750427274</v>
      </c>
      <c r="Q369" s="524">
        <f t="shared" ref="Q369:Q375" si="33">G369/E369</f>
        <v>-2574.4570706162049</v>
      </c>
      <c r="R369" s="526"/>
      <c r="S369" s="470"/>
      <c r="T369" s="471"/>
    </row>
    <row r="370" spans="3:20" ht="12.75" x14ac:dyDescent="0.2">
      <c r="C370" s="439" t="s">
        <v>412</v>
      </c>
      <c r="D370" s="484">
        <f>'Standardizing estimates'!D9</f>
        <v>0.11715264654310653</v>
      </c>
      <c r="E370" s="485">
        <f>'Standardizing estimates'!E9</f>
        <v>1.4418787266843881E-2</v>
      </c>
      <c r="F370" s="486">
        <f>'Standardizing estimates'!F9</f>
        <v>69.353960322273991</v>
      </c>
      <c r="G370" s="519">
        <f t="shared" si="30"/>
        <v>8.125</v>
      </c>
      <c r="I370" s="440">
        <f t="shared" si="29"/>
        <v>-4.1341258749755083E-2</v>
      </c>
      <c r="J370" s="445">
        <f t="shared" ref="J370:J418" si="34">J369+0.01</f>
        <v>0.02</v>
      </c>
      <c r="K370" s="446">
        <f t="shared" si="31"/>
        <v>50</v>
      </c>
      <c r="L370" s="443"/>
      <c r="M370" s="443"/>
      <c r="N370" s="443"/>
      <c r="P370" s="522">
        <f t="shared" si="32"/>
        <v>4809.9718123835555</v>
      </c>
      <c r="Q370" s="524">
        <f t="shared" si="33"/>
        <v>563.50092761847623</v>
      </c>
      <c r="R370" s="526"/>
      <c r="S370" s="470"/>
      <c r="T370" s="471"/>
    </row>
    <row r="371" spans="3:20" ht="12.75" x14ac:dyDescent="0.2">
      <c r="C371" s="439" t="s">
        <v>629</v>
      </c>
      <c r="D371" s="484">
        <f>'Standardizing estimates'!D10</f>
        <v>-7.5420107976104989E-2</v>
      </c>
      <c r="E371" s="485">
        <f>'Standardizing estimates'!E10</f>
        <v>1.9724465629278657E-2</v>
      </c>
      <c r="F371" s="486">
        <f>'Standardizing estimates'!F10</f>
        <v>50.698458391471817</v>
      </c>
      <c r="G371" s="519">
        <f t="shared" si="30"/>
        <v>-3.8236832061068706</v>
      </c>
      <c r="I371" s="440">
        <f t="shared" si="29"/>
        <v>-5.1055839377228684E-2</v>
      </c>
      <c r="J371" s="445">
        <f t="shared" si="34"/>
        <v>0.03</v>
      </c>
      <c r="K371" s="446">
        <f t="shared" si="31"/>
        <v>33.333333333333336</v>
      </c>
      <c r="L371" s="443"/>
      <c r="M371" s="443"/>
      <c r="N371" s="443"/>
      <c r="P371" s="522">
        <f t="shared" si="32"/>
        <v>2570.3336832717991</v>
      </c>
      <c r="Q371" s="524">
        <f t="shared" si="33"/>
        <v>-193.85484392697873</v>
      </c>
      <c r="R371" s="526"/>
      <c r="S371" s="470"/>
      <c r="T371" s="471"/>
    </row>
    <row r="372" spans="3:20" ht="12.75" x14ac:dyDescent="0.2">
      <c r="C372" s="439" t="s">
        <v>688</v>
      </c>
      <c r="D372" s="484">
        <f>'Standardizing estimates'!D11</f>
        <v>-0.3534582598710535</v>
      </c>
      <c r="E372" s="485">
        <f>'Standardizing estimates'!E11</f>
        <v>9.0853199654610597E-2</v>
      </c>
      <c r="F372" s="486">
        <f>'Standardizing estimates'!F11</f>
        <v>11.006767002170761</v>
      </c>
      <c r="G372" s="519">
        <f t="shared" si="30"/>
        <v>-3.8904327113934096</v>
      </c>
      <c r="I372" s="440">
        <f t="shared" si="29"/>
        <v>-6.0770420004702286E-2</v>
      </c>
      <c r="J372" s="445">
        <f t="shared" si="34"/>
        <v>0.04</v>
      </c>
      <c r="K372" s="446">
        <f t="shared" si="31"/>
        <v>25</v>
      </c>
      <c r="L372" s="443"/>
      <c r="M372" s="443"/>
      <c r="N372" s="443"/>
      <c r="P372" s="522">
        <f t="shared" si="32"/>
        <v>121.14891984007514</v>
      </c>
      <c r="Q372" s="524">
        <f t="shared" si="33"/>
        <v>-42.821086391930706</v>
      </c>
      <c r="R372" s="526"/>
      <c r="S372" s="470"/>
      <c r="T372" s="471"/>
    </row>
    <row r="373" spans="3:20" ht="12.75" x14ac:dyDescent="0.2">
      <c r="C373" s="439" t="s">
        <v>696</v>
      </c>
      <c r="D373" s="484">
        <f>'Standardizing estimates'!D12</f>
        <v>-2.4009081653636168E-2</v>
      </c>
      <c r="E373" s="485">
        <f>'Standardizing estimates'!E12</f>
        <v>5.5315054827894576E-3</v>
      </c>
      <c r="F373" s="486">
        <f>'Standardizing estimates'!F12</f>
        <v>180.78261028780804</v>
      </c>
      <c r="G373" s="519">
        <f t="shared" si="30"/>
        <v>-4.3404244519574693</v>
      </c>
      <c r="I373" s="440">
        <f t="shared" si="29"/>
        <v>-7.0485000632175887E-2</v>
      </c>
      <c r="J373" s="445">
        <f t="shared" si="34"/>
        <v>0.05</v>
      </c>
      <c r="K373" s="446">
        <f t="shared" si="31"/>
        <v>20</v>
      </c>
      <c r="L373" s="443"/>
      <c r="M373" s="443"/>
      <c r="N373" s="443"/>
      <c r="P373" s="522">
        <f t="shared" si="32"/>
        <v>32682.352182473478</v>
      </c>
      <c r="Q373" s="524">
        <f t="shared" si="33"/>
        <v>-784.67326218189999</v>
      </c>
      <c r="R373" s="526"/>
      <c r="S373" s="470"/>
      <c r="T373" s="471"/>
    </row>
    <row r="374" spans="3:20" ht="12.75" x14ac:dyDescent="0.2">
      <c r="C374" s="439" t="s">
        <v>766</v>
      </c>
      <c r="D374" s="484">
        <f>'Standardizing estimates'!D13</f>
        <v>-0.16329011082141937</v>
      </c>
      <c r="E374" s="485">
        <f>'Standardizing estimates'!E13</f>
        <v>4.523271767906354E-2</v>
      </c>
      <c r="F374" s="486">
        <f>'Standardizing estimates'!F13</f>
        <v>22.107891175039015</v>
      </c>
      <c r="G374" s="519">
        <f t="shared" si="30"/>
        <v>-3.61</v>
      </c>
      <c r="I374" s="440">
        <f t="shared" si="29"/>
        <v>-8.0199581259649488E-2</v>
      </c>
      <c r="J374" s="445">
        <f t="shared" si="34"/>
        <v>6.0000000000000005E-2</v>
      </c>
      <c r="K374" s="446">
        <f t="shared" si="31"/>
        <v>16.666666666666664</v>
      </c>
      <c r="L374" s="443"/>
      <c r="M374" s="443"/>
      <c r="N374" s="443"/>
      <c r="P374" s="522">
        <f t="shared" si="32"/>
        <v>488.75885220736791</v>
      </c>
      <c r="Q374" s="524">
        <f t="shared" si="33"/>
        <v>-79.809487141890841</v>
      </c>
      <c r="R374" s="526"/>
      <c r="S374" s="470"/>
      <c r="T374" s="471"/>
    </row>
    <row r="375" spans="3:20" ht="12.75" x14ac:dyDescent="0.2">
      <c r="C375" s="439" t="s">
        <v>781</v>
      </c>
      <c r="D375" s="484">
        <f>'Standardizing estimates'!D14</f>
        <v>-0.16869018010788994</v>
      </c>
      <c r="E375" s="485">
        <f>'Standardizing estimates'!E14</f>
        <v>2.8115030017981657E-2</v>
      </c>
      <c r="F375" s="486">
        <f>'Standardizing estimates'!F14</f>
        <v>35.568164051769656</v>
      </c>
      <c r="G375" s="519">
        <f t="shared" si="30"/>
        <v>-6</v>
      </c>
      <c r="I375" s="440">
        <f t="shared" si="29"/>
        <v>-8.991416188712309E-2</v>
      </c>
      <c r="J375" s="445">
        <f t="shared" si="34"/>
        <v>7.0000000000000007E-2</v>
      </c>
      <c r="K375" s="446">
        <f t="shared" si="31"/>
        <v>14.285714285714285</v>
      </c>
      <c r="L375" s="443"/>
      <c r="M375" s="443"/>
      <c r="N375" s="443"/>
      <c r="P375" s="523">
        <f t="shared" si="32"/>
        <v>1265.0942940135992</v>
      </c>
      <c r="Q375" s="525">
        <f t="shared" si="33"/>
        <v>-213.40898431061794</v>
      </c>
      <c r="R375" s="526"/>
      <c r="S375" s="470"/>
      <c r="T375" s="471"/>
    </row>
    <row r="376" spans="3:20" ht="14.25" x14ac:dyDescent="0.3">
      <c r="C376" s="505" t="s">
        <v>912</v>
      </c>
      <c r="D376" s="527">
        <f>SUMPRODUCT(F368:F375,D368:D375)/SUM(F368:F375)</f>
        <v>-3.2352540409668055E-2</v>
      </c>
      <c r="E376" s="481"/>
      <c r="F376" s="481"/>
      <c r="G376" s="481"/>
      <c r="I376" s="440">
        <f t="shared" si="29"/>
        <v>-9.9628742514596691E-2</v>
      </c>
      <c r="J376" s="445">
        <f t="shared" si="34"/>
        <v>0.08</v>
      </c>
      <c r="K376" s="446">
        <f t="shared" si="31"/>
        <v>12.5</v>
      </c>
      <c r="L376" s="443"/>
      <c r="M376" s="443"/>
      <c r="N376" s="443"/>
      <c r="P376" s="449">
        <f>SUMPRODUCT(P368:P375,D368:D375)/SUM(P368:P375)</f>
        <v>-2.7895971929816927E-2</v>
      </c>
      <c r="Q376" s="470"/>
      <c r="R376" s="470"/>
      <c r="S376" s="470"/>
      <c r="T376" s="471"/>
    </row>
    <row r="377" spans="3:20" x14ac:dyDescent="0.2">
      <c r="I377" s="440">
        <f t="shared" si="29"/>
        <v>-0.10934332314207026</v>
      </c>
      <c r="J377" s="445">
        <f t="shared" si="34"/>
        <v>0.09</v>
      </c>
      <c r="K377" s="446">
        <f t="shared" si="31"/>
        <v>11.111111111111111</v>
      </c>
      <c r="L377" s="443"/>
      <c r="M377" s="443"/>
      <c r="N377" s="443"/>
      <c r="P377" s="471"/>
      <c r="Q377" s="470"/>
      <c r="R377" s="470"/>
      <c r="S377" s="470"/>
      <c r="T377" s="471"/>
    </row>
    <row r="378" spans="3:20" x14ac:dyDescent="0.2">
      <c r="C378" s="433" t="s">
        <v>977</v>
      </c>
      <c r="I378" s="440">
        <f t="shared" si="29"/>
        <v>-0.11905790376954387</v>
      </c>
      <c r="J378" s="445">
        <f t="shared" si="34"/>
        <v>9.9999999999999992E-2</v>
      </c>
      <c r="K378" s="446">
        <f t="shared" si="31"/>
        <v>10</v>
      </c>
      <c r="L378" s="443"/>
      <c r="M378" s="443"/>
      <c r="N378" s="443"/>
      <c r="P378" s="433" t="s">
        <v>976</v>
      </c>
      <c r="Q378" s="470"/>
      <c r="R378" s="470"/>
      <c r="S378" s="470"/>
      <c r="T378" s="471"/>
    </row>
    <row r="379" spans="3:20" x14ac:dyDescent="0.2">
      <c r="C379" s="438"/>
      <c r="D379" s="438" t="s">
        <v>914</v>
      </c>
      <c r="E379" s="438" t="s">
        <v>913</v>
      </c>
      <c r="I379" s="440">
        <f t="shared" si="29"/>
        <v>-0.12877248439701747</v>
      </c>
      <c r="J379" s="445">
        <f t="shared" si="34"/>
        <v>0.10999999999999999</v>
      </c>
      <c r="K379" s="446">
        <f t="shared" si="31"/>
        <v>9.0909090909090917</v>
      </c>
      <c r="L379" s="443"/>
      <c r="M379" s="443"/>
      <c r="N379" s="443"/>
      <c r="P379" s="438"/>
      <c r="Q379" s="438" t="s">
        <v>914</v>
      </c>
      <c r="R379" s="438" t="s">
        <v>913</v>
      </c>
      <c r="S379" s="470"/>
      <c r="T379" s="471"/>
    </row>
    <row r="380" spans="3:20" x14ac:dyDescent="0.2">
      <c r="C380" s="443" t="s">
        <v>747</v>
      </c>
      <c r="D380" s="520" cm="1">
        <f t="array" ref="D380:E384">LINEST(G368:G375,F368:F375,,TRUE())</f>
        <v>-2.1912097494807888E-2</v>
      </c>
      <c r="E380" s="520">
        <v>-0.97145806274735991</v>
      </c>
      <c r="I380" s="440">
        <f t="shared" si="29"/>
        <v>-0.13848706502449107</v>
      </c>
      <c r="J380" s="445">
        <f t="shared" si="34"/>
        <v>0.11999999999999998</v>
      </c>
      <c r="K380" s="446">
        <f t="shared" si="31"/>
        <v>8.3333333333333339</v>
      </c>
      <c r="L380" s="443"/>
      <c r="M380" s="443"/>
      <c r="N380" s="443"/>
      <c r="P380" s="443" t="s">
        <v>747</v>
      </c>
      <c r="Q380" s="520" cm="1">
        <f t="array" ref="Q380:R384">LINEST(Q368:Q375,P368:P375,,TRUE())</f>
        <v>-3.8451004391357714E-2</v>
      </c>
      <c r="R380" s="520">
        <v>159.44330669943395</v>
      </c>
      <c r="S380" s="470"/>
      <c r="T380" s="471"/>
    </row>
    <row r="381" spans="3:20" x14ac:dyDescent="0.2">
      <c r="C381" s="443" t="s">
        <v>15</v>
      </c>
      <c r="D381" s="450">
        <v>2.3430059948786126E-2</v>
      </c>
      <c r="E381" s="450">
        <v>2.8796967712747357</v>
      </c>
      <c r="I381" s="440">
        <f t="shared" si="29"/>
        <v>-0.14820164565196464</v>
      </c>
      <c r="J381" s="445">
        <f t="shared" si="34"/>
        <v>0.12999999999999998</v>
      </c>
      <c r="K381" s="446">
        <f t="shared" si="31"/>
        <v>7.6923076923076934</v>
      </c>
      <c r="L381" s="443"/>
      <c r="M381" s="443"/>
      <c r="N381" s="443"/>
      <c r="P381" s="443" t="s">
        <v>15</v>
      </c>
      <c r="Q381" s="450">
        <v>6.4777860913452423E-3</v>
      </c>
      <c r="R381" s="450">
        <v>168.73974767840019</v>
      </c>
      <c r="S381" s="470"/>
      <c r="T381" s="471"/>
    </row>
    <row r="382" spans="3:20" x14ac:dyDescent="0.2">
      <c r="C382" s="443" t="s">
        <v>915</v>
      </c>
      <c r="D382" s="450">
        <v>0.12722492108700159</v>
      </c>
      <c r="E382" s="450">
        <v>5.3214818292213861</v>
      </c>
      <c r="I382" s="440">
        <f t="shared" si="29"/>
        <v>-0.15791622627943824</v>
      </c>
      <c r="J382" s="445">
        <f t="shared" si="34"/>
        <v>0.13999999999999999</v>
      </c>
      <c r="K382" s="446">
        <f t="shared" si="31"/>
        <v>7.1428571428571432</v>
      </c>
      <c r="L382" s="443"/>
      <c r="M382" s="443"/>
      <c r="N382" s="443"/>
      <c r="P382" s="443" t="s">
        <v>915</v>
      </c>
      <c r="Q382" s="450">
        <v>0.85448907744519498</v>
      </c>
      <c r="R382" s="450">
        <v>388.82313843236165</v>
      </c>
      <c r="S382" s="470"/>
      <c r="T382" s="471"/>
    </row>
    <row r="383" spans="3:20" x14ac:dyDescent="0.2">
      <c r="C383" s="443" t="s">
        <v>916</v>
      </c>
      <c r="D383" s="450">
        <v>0.87462342242027202</v>
      </c>
      <c r="E383" s="450">
        <v>6</v>
      </c>
      <c r="I383" s="440">
        <f t="shared" si="29"/>
        <v>-0.16763080690691187</v>
      </c>
      <c r="J383" s="445">
        <f t="shared" si="34"/>
        <v>0.15</v>
      </c>
      <c r="K383" s="446">
        <f t="shared" si="31"/>
        <v>6.666666666666667</v>
      </c>
      <c r="L383" s="443"/>
      <c r="M383" s="443"/>
      <c r="N383" s="443"/>
      <c r="P383" s="443" t="s">
        <v>916</v>
      </c>
      <c r="Q383" s="450">
        <v>35.23401800122717</v>
      </c>
      <c r="R383" s="450">
        <v>6</v>
      </c>
      <c r="S383" s="470"/>
      <c r="T383" s="471"/>
    </row>
    <row r="384" spans="3:20" x14ac:dyDescent="0.2">
      <c r="C384" s="443" t="s">
        <v>917</v>
      </c>
      <c r="D384" s="450">
        <v>24.767733763900566</v>
      </c>
      <c r="E384" s="450">
        <v>169.90901315240035</v>
      </c>
      <c r="I384" s="440">
        <f t="shared" si="29"/>
        <v>-0.17734538753438547</v>
      </c>
      <c r="J384" s="445">
        <f t="shared" si="34"/>
        <v>0.16</v>
      </c>
      <c r="K384" s="446">
        <f t="shared" si="31"/>
        <v>6.25</v>
      </c>
      <c r="L384" s="443"/>
      <c r="M384" s="443"/>
      <c r="N384" s="443"/>
      <c r="P384" s="443" t="s">
        <v>917</v>
      </c>
      <c r="Q384" s="446">
        <v>5326799.799118435</v>
      </c>
      <c r="R384" s="446">
        <v>907100.59788234893</v>
      </c>
      <c r="S384" s="470"/>
      <c r="T384" s="471"/>
    </row>
    <row r="385" spans="3:20" x14ac:dyDescent="0.2">
      <c r="C385" s="443" t="s">
        <v>918</v>
      </c>
      <c r="D385" s="450">
        <f>D380/D381</f>
        <v>-0.93521303584812721</v>
      </c>
      <c r="E385" s="450">
        <f>E380/E381</f>
        <v>-0.33734734588646681</v>
      </c>
      <c r="I385" s="440">
        <f t="shared" si="29"/>
        <v>-0.18705996816185907</v>
      </c>
      <c r="J385" s="445">
        <f t="shared" si="34"/>
        <v>0.17</v>
      </c>
      <c r="K385" s="446">
        <f t="shared" si="31"/>
        <v>5.8823529411764701</v>
      </c>
      <c r="L385" s="443"/>
      <c r="M385" s="443"/>
      <c r="N385" s="443"/>
      <c r="P385" s="443" t="s">
        <v>918</v>
      </c>
      <c r="Q385" s="450">
        <f>Q380/Q381</f>
        <v>-5.9358249638299787</v>
      </c>
      <c r="R385" s="450">
        <f>R380/R381</f>
        <v>0.94490663221398041</v>
      </c>
      <c r="S385" s="470"/>
      <c r="T385" s="471"/>
    </row>
    <row r="386" spans="3:20" x14ac:dyDescent="0.2">
      <c r="C386" s="451" t="s">
        <v>919</v>
      </c>
      <c r="D386" s="452">
        <f>_xlfn.T.DIST.2T(ABS(D385),COUNT(D368:D375)-2)</f>
        <v>0.38577287161956109</v>
      </c>
      <c r="E386" s="452">
        <f>_xlfn.T.DIST.2T(ABS(E385),COUNT(D368:D375)-2)</f>
        <v>0.74734363272785176</v>
      </c>
      <c r="I386" s="440">
        <f t="shared" si="29"/>
        <v>-0.19677454878933268</v>
      </c>
      <c r="J386" s="445">
        <f t="shared" si="34"/>
        <v>0.18000000000000002</v>
      </c>
      <c r="K386" s="446">
        <f t="shared" si="31"/>
        <v>5.5555555555555545</v>
      </c>
      <c r="L386" s="443"/>
      <c r="M386" s="443"/>
      <c r="N386" s="443"/>
      <c r="P386" s="451" t="s">
        <v>919</v>
      </c>
      <c r="Q386" s="452">
        <f>_xlfn.T.DIST.2T(ABS(Q385),COUNT(Q368:Q375)-2)</f>
        <v>1.0204458704645707E-3</v>
      </c>
      <c r="R386" s="452">
        <f>_xlfn.T.DIST.2T(ABS(R385),COUNT(Q368:Q375)-2)</f>
        <v>0.38118553412045003</v>
      </c>
      <c r="S386" s="470"/>
      <c r="T386" s="471"/>
    </row>
    <row r="387" spans="3:20" x14ac:dyDescent="0.2">
      <c r="I387" s="440">
        <f t="shared" si="29"/>
        <v>-0.20648912941680631</v>
      </c>
      <c r="J387" s="445">
        <f t="shared" si="34"/>
        <v>0.19000000000000003</v>
      </c>
      <c r="K387" s="446">
        <f t="shared" si="31"/>
        <v>5.2631578947368416</v>
      </c>
      <c r="L387" s="443"/>
      <c r="M387" s="443"/>
      <c r="N387" s="443"/>
      <c r="P387" s="471"/>
      <c r="Q387" s="470"/>
      <c r="R387" s="470"/>
      <c r="S387" s="470"/>
      <c r="T387" s="471"/>
    </row>
    <row r="388" spans="3:20" x14ac:dyDescent="0.2">
      <c r="I388" s="440">
        <f t="shared" si="29"/>
        <v>-0.21620371004427991</v>
      </c>
      <c r="J388" s="445">
        <f t="shared" si="34"/>
        <v>0.20000000000000004</v>
      </c>
      <c r="K388" s="446">
        <f t="shared" si="31"/>
        <v>4.9999999999999991</v>
      </c>
      <c r="L388" s="443"/>
      <c r="M388" s="443"/>
      <c r="N388" s="443"/>
      <c r="P388" s="471"/>
      <c r="Q388" s="470"/>
      <c r="R388" s="470"/>
      <c r="S388" s="470"/>
      <c r="T388" s="471"/>
    </row>
    <row r="389" spans="3:20" x14ac:dyDescent="0.2">
      <c r="I389" s="440">
        <f t="shared" si="29"/>
        <v>-0.22591829067175351</v>
      </c>
      <c r="J389" s="445">
        <f t="shared" si="34"/>
        <v>0.21000000000000005</v>
      </c>
      <c r="K389" s="446">
        <f t="shared" si="31"/>
        <v>4.761904761904761</v>
      </c>
      <c r="L389" s="443"/>
      <c r="M389" s="443"/>
      <c r="N389" s="443"/>
      <c r="P389" s="471"/>
      <c r="Q389" s="470"/>
      <c r="R389" s="470"/>
      <c r="S389" s="470"/>
      <c r="T389" s="471"/>
    </row>
    <row r="390" spans="3:20" x14ac:dyDescent="0.2">
      <c r="I390" s="440">
        <f t="shared" si="29"/>
        <v>-0.23563287129922711</v>
      </c>
      <c r="J390" s="445">
        <f t="shared" si="34"/>
        <v>0.22000000000000006</v>
      </c>
      <c r="K390" s="446">
        <f t="shared" si="31"/>
        <v>4.5454545454545441</v>
      </c>
      <c r="L390" s="443"/>
      <c r="M390" s="443"/>
      <c r="N390" s="443"/>
      <c r="P390" s="471"/>
      <c r="Q390" s="470"/>
      <c r="R390" s="470"/>
      <c r="S390" s="470"/>
      <c r="T390" s="471"/>
    </row>
    <row r="391" spans="3:20" x14ac:dyDescent="0.2">
      <c r="I391" s="440">
        <f t="shared" si="29"/>
        <v>-0.24534745192670071</v>
      </c>
      <c r="J391" s="445">
        <f t="shared" si="34"/>
        <v>0.23000000000000007</v>
      </c>
      <c r="K391" s="446">
        <f t="shared" si="31"/>
        <v>4.3478260869565206</v>
      </c>
      <c r="L391" s="443"/>
      <c r="M391" s="443"/>
      <c r="N391" s="443"/>
      <c r="P391" s="471"/>
      <c r="Q391" s="470"/>
      <c r="R391" s="470"/>
      <c r="S391" s="470"/>
      <c r="T391" s="471"/>
    </row>
    <row r="392" spans="3:20" x14ac:dyDescent="0.2">
      <c r="I392" s="440">
        <f t="shared" si="29"/>
        <v>-0.25506203255417437</v>
      </c>
      <c r="J392" s="445">
        <f t="shared" si="34"/>
        <v>0.24000000000000007</v>
      </c>
      <c r="K392" s="446">
        <f t="shared" si="31"/>
        <v>4.1666666666666652</v>
      </c>
      <c r="L392" s="443"/>
      <c r="M392" s="443"/>
      <c r="N392" s="443"/>
      <c r="P392" s="471"/>
      <c r="Q392" s="470"/>
      <c r="R392" s="470"/>
      <c r="S392" s="470"/>
      <c r="T392" s="471"/>
    </row>
    <row r="393" spans="3:20" x14ac:dyDescent="0.2">
      <c r="I393" s="440">
        <f t="shared" si="29"/>
        <v>-0.26477661318164791</v>
      </c>
      <c r="J393" s="445">
        <f t="shared" si="34"/>
        <v>0.25000000000000006</v>
      </c>
      <c r="K393" s="446">
        <f t="shared" si="31"/>
        <v>3.9999999999999991</v>
      </c>
      <c r="L393" s="443"/>
      <c r="M393" s="443"/>
      <c r="N393" s="443"/>
      <c r="P393" s="471"/>
      <c r="Q393" s="470"/>
      <c r="R393" s="470"/>
      <c r="S393" s="470"/>
      <c r="T393" s="471"/>
    </row>
    <row r="394" spans="3:20" x14ac:dyDescent="0.2">
      <c r="I394" s="440">
        <f t="shared" si="29"/>
        <v>-0.27449119380912151</v>
      </c>
      <c r="J394" s="445">
        <f t="shared" si="34"/>
        <v>0.26000000000000006</v>
      </c>
      <c r="K394" s="446">
        <f t="shared" si="31"/>
        <v>3.8461538461538454</v>
      </c>
      <c r="L394" s="443"/>
      <c r="M394" s="443"/>
      <c r="N394" s="443"/>
      <c r="P394" s="471"/>
      <c r="Q394" s="470"/>
      <c r="R394" s="470"/>
      <c r="S394" s="470"/>
      <c r="T394" s="471"/>
    </row>
    <row r="395" spans="3:20" x14ac:dyDescent="0.2">
      <c r="I395" s="440">
        <f t="shared" si="29"/>
        <v>-0.28420577443659512</v>
      </c>
      <c r="J395" s="445">
        <f t="shared" si="34"/>
        <v>0.27000000000000007</v>
      </c>
      <c r="K395" s="446">
        <f t="shared" si="31"/>
        <v>3.7037037037037028</v>
      </c>
      <c r="L395" s="443"/>
      <c r="M395" s="443"/>
      <c r="N395" s="443"/>
      <c r="P395" s="471"/>
      <c r="Q395" s="470"/>
      <c r="R395" s="470"/>
      <c r="S395" s="470"/>
      <c r="T395" s="471"/>
    </row>
    <row r="396" spans="3:20" x14ac:dyDescent="0.2">
      <c r="I396" s="440">
        <f t="shared" si="29"/>
        <v>-0.29392035506406872</v>
      </c>
      <c r="J396" s="445">
        <f t="shared" si="34"/>
        <v>0.28000000000000008</v>
      </c>
      <c r="K396" s="446">
        <f t="shared" si="31"/>
        <v>3.5714285714285703</v>
      </c>
      <c r="L396" s="443"/>
      <c r="M396" s="443"/>
      <c r="N396" s="443"/>
      <c r="P396" s="471"/>
      <c r="Q396" s="470"/>
      <c r="R396" s="470"/>
      <c r="S396" s="470"/>
      <c r="T396" s="471"/>
    </row>
    <row r="397" spans="3:20" x14ac:dyDescent="0.2">
      <c r="I397" s="440">
        <f t="shared" si="29"/>
        <v>-0.30363493569154232</v>
      </c>
      <c r="J397" s="445">
        <f t="shared" si="34"/>
        <v>0.29000000000000009</v>
      </c>
      <c r="K397" s="446">
        <f t="shared" si="31"/>
        <v>3.4482758620689644</v>
      </c>
      <c r="L397" s="443"/>
      <c r="M397" s="443"/>
      <c r="N397" s="443"/>
      <c r="P397" s="471"/>
      <c r="Q397" s="470"/>
      <c r="R397" s="470"/>
      <c r="S397" s="470"/>
      <c r="T397" s="471"/>
    </row>
    <row r="398" spans="3:20" x14ac:dyDescent="0.2">
      <c r="I398" s="440">
        <f t="shared" si="29"/>
        <v>-0.31334951631901597</v>
      </c>
      <c r="J398" s="445">
        <f t="shared" si="34"/>
        <v>0.3000000000000001</v>
      </c>
      <c r="K398" s="446">
        <f t="shared" si="31"/>
        <v>3.3333333333333321</v>
      </c>
      <c r="L398" s="443"/>
      <c r="M398" s="443"/>
      <c r="N398" s="443"/>
      <c r="P398" s="471"/>
      <c r="Q398" s="470"/>
      <c r="R398" s="470"/>
      <c r="S398" s="470"/>
      <c r="T398" s="471"/>
    </row>
    <row r="399" spans="3:20" x14ac:dyDescent="0.2">
      <c r="I399" s="440">
        <f t="shared" si="29"/>
        <v>-0.32306409694648958</v>
      </c>
      <c r="J399" s="445">
        <f t="shared" si="34"/>
        <v>0.31000000000000011</v>
      </c>
      <c r="K399" s="446">
        <f t="shared" si="31"/>
        <v>3.2258064516129021</v>
      </c>
      <c r="L399" s="443"/>
      <c r="M399" s="443"/>
      <c r="N399" s="443"/>
      <c r="P399" s="471"/>
      <c r="Q399" s="470"/>
      <c r="R399" s="470"/>
      <c r="S399" s="470"/>
      <c r="T399" s="471"/>
    </row>
    <row r="400" spans="3:20" x14ac:dyDescent="0.2">
      <c r="I400" s="440">
        <f t="shared" ref="I400:I418" si="35">$D$380+J400*$E$380</f>
        <v>-0.33277867757396318</v>
      </c>
      <c r="J400" s="445">
        <f t="shared" si="34"/>
        <v>0.32000000000000012</v>
      </c>
      <c r="K400" s="446">
        <f t="shared" si="31"/>
        <v>3.1249999999999987</v>
      </c>
      <c r="L400" s="443"/>
      <c r="M400" s="443"/>
      <c r="N400" s="443"/>
      <c r="P400" s="471"/>
      <c r="Q400" s="470"/>
      <c r="R400" s="470"/>
      <c r="S400" s="470"/>
      <c r="T400" s="471"/>
    </row>
    <row r="401" spans="9:20" x14ac:dyDescent="0.2">
      <c r="I401" s="440">
        <f t="shared" si="35"/>
        <v>-0.34249325820143678</v>
      </c>
      <c r="J401" s="445">
        <f t="shared" si="34"/>
        <v>0.33000000000000013</v>
      </c>
      <c r="K401" s="446">
        <f t="shared" ref="K401:K418" si="36">1/J401</f>
        <v>3.0303030303030289</v>
      </c>
      <c r="L401" s="443"/>
      <c r="M401" s="443"/>
      <c r="N401" s="443"/>
      <c r="P401" s="471"/>
      <c r="Q401" s="470"/>
      <c r="R401" s="470"/>
      <c r="S401" s="470"/>
      <c r="T401" s="471"/>
    </row>
    <row r="402" spans="9:20" x14ac:dyDescent="0.2">
      <c r="I402" s="440">
        <f t="shared" si="35"/>
        <v>-0.35220783882891038</v>
      </c>
      <c r="J402" s="445">
        <f t="shared" si="34"/>
        <v>0.34000000000000014</v>
      </c>
      <c r="K402" s="446">
        <f t="shared" si="36"/>
        <v>2.9411764705882342</v>
      </c>
      <c r="L402" s="443"/>
      <c r="M402" s="443"/>
      <c r="N402" s="443"/>
      <c r="P402" s="471"/>
      <c r="Q402" s="470"/>
      <c r="R402" s="470"/>
      <c r="S402" s="470"/>
      <c r="T402" s="471"/>
    </row>
    <row r="403" spans="9:20" x14ac:dyDescent="0.2">
      <c r="I403" s="440">
        <f t="shared" si="35"/>
        <v>-0.36192241945638398</v>
      </c>
      <c r="J403" s="445">
        <f t="shared" si="34"/>
        <v>0.35000000000000014</v>
      </c>
      <c r="K403" s="446">
        <f t="shared" si="36"/>
        <v>2.8571428571428559</v>
      </c>
      <c r="L403" s="443"/>
      <c r="M403" s="443"/>
      <c r="N403" s="443"/>
      <c r="P403" s="471"/>
      <c r="Q403" s="470"/>
      <c r="R403" s="470"/>
      <c r="S403" s="470"/>
      <c r="T403" s="471"/>
    </row>
    <row r="404" spans="9:20" x14ac:dyDescent="0.2">
      <c r="I404" s="440">
        <f t="shared" si="35"/>
        <v>-0.37163700008385758</v>
      </c>
      <c r="J404" s="445">
        <f t="shared" si="34"/>
        <v>0.36000000000000015</v>
      </c>
      <c r="K404" s="446">
        <f t="shared" si="36"/>
        <v>2.7777777777777768</v>
      </c>
      <c r="L404" s="443"/>
      <c r="M404" s="443"/>
      <c r="N404" s="443"/>
      <c r="P404" s="471"/>
      <c r="Q404" s="470"/>
      <c r="R404" s="470"/>
      <c r="S404" s="470"/>
      <c r="T404" s="471"/>
    </row>
    <row r="405" spans="9:20" x14ac:dyDescent="0.2">
      <c r="I405" s="440">
        <f t="shared" si="35"/>
        <v>-0.38135158071133118</v>
      </c>
      <c r="J405" s="445">
        <f t="shared" si="34"/>
        <v>0.37000000000000016</v>
      </c>
      <c r="K405" s="446">
        <f t="shared" si="36"/>
        <v>2.7027027027027013</v>
      </c>
      <c r="L405" s="443"/>
      <c r="M405" s="443"/>
      <c r="N405" s="443"/>
      <c r="P405" s="471"/>
      <c r="Q405" s="470"/>
      <c r="R405" s="470"/>
      <c r="S405" s="470"/>
      <c r="T405" s="471"/>
    </row>
    <row r="406" spans="9:20" x14ac:dyDescent="0.2">
      <c r="I406" s="440">
        <f t="shared" si="35"/>
        <v>-0.39106616133880479</v>
      </c>
      <c r="J406" s="445">
        <f t="shared" si="34"/>
        <v>0.38000000000000017</v>
      </c>
      <c r="K406" s="446">
        <f t="shared" si="36"/>
        <v>2.6315789473684199</v>
      </c>
      <c r="L406" s="443"/>
      <c r="M406" s="443"/>
      <c r="N406" s="443"/>
      <c r="P406" s="471"/>
      <c r="Q406" s="470"/>
      <c r="R406" s="470"/>
      <c r="S406" s="470"/>
      <c r="T406" s="471"/>
    </row>
    <row r="407" spans="9:20" x14ac:dyDescent="0.2">
      <c r="I407" s="440">
        <f t="shared" si="35"/>
        <v>-0.40078074196627844</v>
      </c>
      <c r="J407" s="445">
        <f t="shared" si="34"/>
        <v>0.39000000000000018</v>
      </c>
      <c r="K407" s="446">
        <f t="shared" si="36"/>
        <v>2.564102564102563</v>
      </c>
      <c r="L407" s="443"/>
      <c r="M407" s="443"/>
      <c r="N407" s="443"/>
      <c r="P407" s="471"/>
      <c r="Q407" s="470"/>
      <c r="R407" s="470"/>
      <c r="S407" s="470"/>
      <c r="T407" s="471"/>
    </row>
    <row r="408" spans="9:20" x14ac:dyDescent="0.2">
      <c r="I408" s="440">
        <f t="shared" si="35"/>
        <v>-0.41049532259375204</v>
      </c>
      <c r="J408" s="445">
        <f t="shared" si="34"/>
        <v>0.40000000000000019</v>
      </c>
      <c r="K408" s="446">
        <f t="shared" si="36"/>
        <v>2.4999999999999987</v>
      </c>
      <c r="L408" s="443"/>
      <c r="M408" s="443"/>
      <c r="N408" s="443"/>
      <c r="P408" s="471"/>
      <c r="Q408" s="470"/>
      <c r="R408" s="470"/>
      <c r="S408" s="470"/>
      <c r="T408" s="471"/>
    </row>
    <row r="409" spans="9:20" x14ac:dyDescent="0.2">
      <c r="I409" s="440">
        <f t="shared" si="35"/>
        <v>-0.42020990322122564</v>
      </c>
      <c r="J409" s="445">
        <f t="shared" si="34"/>
        <v>0.4100000000000002</v>
      </c>
      <c r="K409" s="446">
        <f t="shared" si="36"/>
        <v>2.4390243902439011</v>
      </c>
      <c r="L409" s="443"/>
      <c r="M409" s="443"/>
      <c r="N409" s="443"/>
      <c r="P409" s="471"/>
      <c r="Q409" s="470"/>
      <c r="R409" s="470"/>
      <c r="S409" s="470"/>
      <c r="T409" s="471"/>
    </row>
    <row r="410" spans="9:20" x14ac:dyDescent="0.2">
      <c r="I410" s="440">
        <f t="shared" si="35"/>
        <v>-0.42992448384869925</v>
      </c>
      <c r="J410" s="445">
        <f t="shared" si="34"/>
        <v>0.42000000000000021</v>
      </c>
      <c r="K410" s="446">
        <f t="shared" si="36"/>
        <v>2.3809523809523796</v>
      </c>
      <c r="L410" s="443"/>
      <c r="M410" s="443"/>
      <c r="N410" s="443"/>
      <c r="P410" s="471"/>
      <c r="Q410" s="470"/>
      <c r="R410" s="470"/>
      <c r="S410" s="470"/>
      <c r="T410" s="471"/>
    </row>
    <row r="411" spans="9:20" x14ac:dyDescent="0.2">
      <c r="I411" s="440">
        <f t="shared" si="35"/>
        <v>-0.43963906447617285</v>
      </c>
      <c r="J411" s="445">
        <f t="shared" si="34"/>
        <v>0.43000000000000022</v>
      </c>
      <c r="K411" s="446">
        <f t="shared" si="36"/>
        <v>2.325581395348836</v>
      </c>
      <c r="L411" s="443"/>
      <c r="M411" s="443"/>
      <c r="N411" s="443"/>
      <c r="P411" s="471"/>
      <c r="Q411" s="470"/>
      <c r="R411" s="470"/>
      <c r="S411" s="470"/>
      <c r="T411" s="471"/>
    </row>
    <row r="412" spans="9:20" x14ac:dyDescent="0.2">
      <c r="I412" s="440">
        <f t="shared" si="35"/>
        <v>-0.44935364510364645</v>
      </c>
      <c r="J412" s="445">
        <f t="shared" si="34"/>
        <v>0.44000000000000022</v>
      </c>
      <c r="K412" s="446">
        <f t="shared" si="36"/>
        <v>2.2727272727272716</v>
      </c>
      <c r="L412" s="443"/>
      <c r="M412" s="443"/>
      <c r="N412" s="443"/>
      <c r="P412" s="471"/>
      <c r="Q412" s="470"/>
      <c r="R412" s="470"/>
      <c r="S412" s="470"/>
      <c r="T412" s="471"/>
    </row>
    <row r="413" spans="9:20" x14ac:dyDescent="0.2">
      <c r="I413" s="440">
        <f t="shared" si="35"/>
        <v>-0.45906822573112005</v>
      </c>
      <c r="J413" s="445">
        <f t="shared" si="34"/>
        <v>0.45000000000000023</v>
      </c>
      <c r="K413" s="446">
        <f t="shared" si="36"/>
        <v>2.222222222222221</v>
      </c>
      <c r="L413" s="443"/>
      <c r="M413" s="443"/>
      <c r="N413" s="443"/>
      <c r="P413" s="471"/>
      <c r="Q413" s="470"/>
      <c r="R413" s="470"/>
      <c r="S413" s="470"/>
      <c r="T413" s="471"/>
    </row>
    <row r="414" spans="9:20" x14ac:dyDescent="0.2">
      <c r="I414" s="440">
        <f t="shared" si="35"/>
        <v>-0.46878280635859365</v>
      </c>
      <c r="J414" s="445">
        <f t="shared" si="34"/>
        <v>0.46000000000000024</v>
      </c>
      <c r="K414" s="446">
        <f t="shared" si="36"/>
        <v>2.1739130434782599</v>
      </c>
      <c r="L414" s="443"/>
      <c r="M414" s="443"/>
      <c r="N414" s="443"/>
      <c r="P414" s="471"/>
      <c r="Q414" s="470"/>
      <c r="R414" s="470"/>
      <c r="S414" s="470"/>
      <c r="T414" s="471"/>
    </row>
    <row r="415" spans="9:20" x14ac:dyDescent="0.2">
      <c r="I415" s="440">
        <f t="shared" si="35"/>
        <v>-0.47849738698606731</v>
      </c>
      <c r="J415" s="445">
        <f t="shared" si="34"/>
        <v>0.47000000000000025</v>
      </c>
      <c r="K415" s="446">
        <f t="shared" si="36"/>
        <v>2.1276595744680842</v>
      </c>
      <c r="L415" s="443"/>
      <c r="M415" s="443"/>
      <c r="N415" s="443"/>
      <c r="P415" s="471"/>
      <c r="Q415" s="470"/>
      <c r="R415" s="470"/>
      <c r="S415" s="470"/>
      <c r="T415" s="471"/>
    </row>
    <row r="416" spans="9:20" x14ac:dyDescent="0.2">
      <c r="I416" s="440">
        <f t="shared" si="35"/>
        <v>-0.48821196761354091</v>
      </c>
      <c r="J416" s="445">
        <f t="shared" si="34"/>
        <v>0.48000000000000026</v>
      </c>
      <c r="K416" s="446">
        <f t="shared" si="36"/>
        <v>2.0833333333333321</v>
      </c>
      <c r="L416" s="443"/>
      <c r="M416" s="443"/>
      <c r="N416" s="443"/>
      <c r="P416" s="471"/>
      <c r="Q416" s="470"/>
      <c r="R416" s="470"/>
      <c r="S416" s="470"/>
      <c r="T416" s="471"/>
    </row>
    <row r="417" spans="9:20" x14ac:dyDescent="0.2">
      <c r="I417" s="440">
        <f t="shared" si="35"/>
        <v>-0.49792654824101451</v>
      </c>
      <c r="J417" s="445">
        <f t="shared" si="34"/>
        <v>0.49000000000000027</v>
      </c>
      <c r="K417" s="446">
        <f t="shared" si="36"/>
        <v>2.040816326530611</v>
      </c>
      <c r="L417" s="443"/>
      <c r="M417" s="443"/>
      <c r="N417" s="443"/>
      <c r="P417" s="471"/>
      <c r="Q417" s="470"/>
      <c r="R417" s="470"/>
      <c r="S417" s="470"/>
      <c r="T417" s="471"/>
    </row>
    <row r="418" spans="9:20" x14ac:dyDescent="0.2">
      <c r="I418" s="453">
        <f t="shared" si="35"/>
        <v>-0.50764112886848811</v>
      </c>
      <c r="J418" s="454">
        <f t="shared" si="34"/>
        <v>0.50000000000000022</v>
      </c>
      <c r="K418" s="455">
        <f t="shared" si="36"/>
        <v>1.9999999999999991</v>
      </c>
      <c r="L418" s="451"/>
      <c r="M418" s="451"/>
      <c r="N418" s="451"/>
      <c r="P418" s="471"/>
      <c r="Q418" s="470"/>
      <c r="R418" s="470"/>
      <c r="S418" s="470"/>
      <c r="T418" s="471"/>
    </row>
    <row r="419" spans="9:20" x14ac:dyDescent="0.2">
      <c r="I419" s="456">
        <f t="shared" ref="I419:J426" si="37">D368</f>
        <v>-3.0820447444083188E-3</v>
      </c>
      <c r="J419" s="456">
        <f t="shared" si="37"/>
        <v>8.2187859850888501E-3</v>
      </c>
      <c r="K419" s="457"/>
      <c r="L419" s="457">
        <f t="shared" ref="L419:L426" si="38">F368</f>
        <v>121.67247106984857</v>
      </c>
      <c r="M419" s="443"/>
      <c r="N419" s="443"/>
    </row>
    <row r="420" spans="9:20" x14ac:dyDescent="0.2">
      <c r="I420" s="456">
        <f t="shared" si="37"/>
        <v>-4.0159765066823672E-2</v>
      </c>
      <c r="J420" s="456">
        <f t="shared" si="37"/>
        <v>3.9495967297124108E-3</v>
      </c>
      <c r="K420" s="458"/>
      <c r="L420" s="457">
        <f t="shared" si="38"/>
        <v>253.19040611845321</v>
      </c>
      <c r="M420" s="443"/>
      <c r="N420" s="443"/>
    </row>
    <row r="421" spans="9:20" x14ac:dyDescent="0.2">
      <c r="I421" s="456">
        <f t="shared" si="37"/>
        <v>0.11715264654310653</v>
      </c>
      <c r="J421" s="456">
        <f t="shared" si="37"/>
        <v>1.4418787266843881E-2</v>
      </c>
      <c r="K421" s="458"/>
      <c r="L421" s="457">
        <f t="shared" si="38"/>
        <v>69.353960322273991</v>
      </c>
      <c r="M421" s="443"/>
      <c r="N421" s="443"/>
    </row>
    <row r="422" spans="9:20" x14ac:dyDescent="0.2">
      <c r="I422" s="456">
        <f t="shared" si="37"/>
        <v>-7.5420107976104989E-2</v>
      </c>
      <c r="J422" s="456">
        <f t="shared" si="37"/>
        <v>1.9724465629278657E-2</v>
      </c>
      <c r="K422" s="458"/>
      <c r="L422" s="457">
        <f t="shared" si="38"/>
        <v>50.698458391471817</v>
      </c>
      <c r="M422" s="443"/>
      <c r="N422" s="443"/>
    </row>
    <row r="423" spans="9:20" x14ac:dyDescent="0.2">
      <c r="I423" s="456">
        <f t="shared" si="37"/>
        <v>-0.3534582598710535</v>
      </c>
      <c r="J423" s="456">
        <f t="shared" si="37"/>
        <v>9.0853199654610597E-2</v>
      </c>
      <c r="K423" s="458"/>
      <c r="L423" s="457">
        <f t="shared" si="38"/>
        <v>11.006767002170761</v>
      </c>
      <c r="M423" s="443"/>
      <c r="N423" s="443"/>
    </row>
    <row r="424" spans="9:20" x14ac:dyDescent="0.2">
      <c r="I424" s="456">
        <f t="shared" si="37"/>
        <v>-2.4009081653636168E-2</v>
      </c>
      <c r="J424" s="456">
        <f t="shared" si="37"/>
        <v>5.5315054827894576E-3</v>
      </c>
      <c r="K424" s="458"/>
      <c r="L424" s="457">
        <f t="shared" si="38"/>
        <v>180.78261028780804</v>
      </c>
      <c r="M424" s="443"/>
      <c r="N424" s="443"/>
    </row>
    <row r="425" spans="9:20" x14ac:dyDescent="0.2">
      <c r="I425" s="456">
        <f t="shared" si="37"/>
        <v>-0.16329011082141937</v>
      </c>
      <c r="J425" s="456">
        <f t="shared" si="37"/>
        <v>4.523271767906354E-2</v>
      </c>
      <c r="K425" s="458"/>
      <c r="L425" s="457">
        <f t="shared" si="38"/>
        <v>22.107891175039015</v>
      </c>
      <c r="M425" s="443"/>
      <c r="N425" s="443"/>
    </row>
    <row r="426" spans="9:20" x14ac:dyDescent="0.2">
      <c r="I426" s="459">
        <f t="shared" si="37"/>
        <v>-0.16869018010788994</v>
      </c>
      <c r="J426" s="459">
        <f t="shared" si="37"/>
        <v>2.8115030017981657E-2</v>
      </c>
      <c r="K426" s="460"/>
      <c r="L426" s="461">
        <f t="shared" si="38"/>
        <v>35.568164051769656</v>
      </c>
      <c r="M426" s="451"/>
      <c r="N426" s="451"/>
    </row>
    <row r="427" spans="9:20" x14ac:dyDescent="0.2">
      <c r="I427" s="462">
        <f>$D$376</f>
        <v>-3.2352540409668055E-2</v>
      </c>
      <c r="J427" s="445"/>
      <c r="K427" s="443"/>
      <c r="L427" s="443"/>
      <c r="M427" s="442">
        <v>0</v>
      </c>
      <c r="N427" s="443"/>
    </row>
    <row r="428" spans="9:20" x14ac:dyDescent="0.2">
      <c r="I428" s="463">
        <f>$D$376</f>
        <v>-3.2352540409668055E-2</v>
      </c>
      <c r="J428" s="454"/>
      <c r="K428" s="451"/>
      <c r="L428" s="451"/>
      <c r="M428" s="455">
        <f>MAX(K368:K418)</f>
        <v>1000000</v>
      </c>
      <c r="N428" s="451"/>
    </row>
    <row r="429" spans="9:20" x14ac:dyDescent="0.2">
      <c r="I429" s="462">
        <f>$D$380</f>
        <v>-2.1912097494807888E-2</v>
      </c>
      <c r="J429" s="445"/>
      <c r="K429" s="443"/>
      <c r="L429" s="443"/>
      <c r="M429" s="443"/>
      <c r="N429" s="464">
        <v>0</v>
      </c>
    </row>
    <row r="430" spans="9:20" x14ac:dyDescent="0.2">
      <c r="I430" s="463">
        <f>$D$380</f>
        <v>-2.1912097494807888E-2</v>
      </c>
      <c r="J430" s="454"/>
      <c r="K430" s="451"/>
      <c r="L430" s="451"/>
      <c r="M430" s="451"/>
      <c r="N430" s="455">
        <f>MAX(K368:K418)</f>
        <v>1000000</v>
      </c>
    </row>
    <row r="431" spans="9:20" x14ac:dyDescent="0.2">
      <c r="I431" s="449"/>
      <c r="J431" s="465"/>
    </row>
    <row r="432" spans="9:20" x14ac:dyDescent="0.2">
      <c r="I432" s="449"/>
      <c r="J432" s="465"/>
    </row>
    <row r="433" spans="1:20" x14ac:dyDescent="0.2">
      <c r="I433" s="449"/>
      <c r="J433" s="465"/>
    </row>
    <row r="434" spans="1:20" x14ac:dyDescent="0.2">
      <c r="I434" s="449"/>
      <c r="J434" s="465"/>
    </row>
    <row r="435" spans="1:20" x14ac:dyDescent="0.2">
      <c r="I435" s="449"/>
      <c r="J435" s="465"/>
    </row>
    <row r="436" spans="1:20" x14ac:dyDescent="0.2">
      <c r="I436" s="449"/>
      <c r="J436" s="465"/>
    </row>
    <row r="437" spans="1:20" s="477" customFormat="1" ht="19.5" x14ac:dyDescent="0.4">
      <c r="A437" s="477" t="s">
        <v>920</v>
      </c>
      <c r="I437" s="227"/>
      <c r="J437" s="478"/>
    </row>
    <row r="438" spans="1:20" x14ac:dyDescent="0.2">
      <c r="I438" s="449"/>
      <c r="J438" s="465"/>
    </row>
    <row r="439" spans="1:20" x14ac:dyDescent="0.2">
      <c r="I439" s="449"/>
      <c r="J439" s="465"/>
    </row>
    <row r="440" spans="1:20" x14ac:dyDescent="0.2">
      <c r="I440" s="449"/>
      <c r="J440" s="465"/>
    </row>
    <row r="441" spans="1:20" x14ac:dyDescent="0.2">
      <c r="C441" s="433" t="s">
        <v>920</v>
      </c>
      <c r="I441" s="433" t="s">
        <v>921</v>
      </c>
    </row>
    <row r="442" spans="1:20" ht="12.75" x14ac:dyDescent="0.25">
      <c r="C442" s="435" t="s">
        <v>10</v>
      </c>
      <c r="D442" s="435" t="s">
        <v>2</v>
      </c>
      <c r="E442" s="466" t="s">
        <v>15</v>
      </c>
      <c r="F442" s="435" t="s">
        <v>4</v>
      </c>
      <c r="G442" s="436" t="s">
        <v>970</v>
      </c>
      <c r="I442" s="437" t="s">
        <v>293</v>
      </c>
      <c r="J442" s="438" t="s">
        <v>15</v>
      </c>
      <c r="K442" s="438" t="str">
        <f>"FAT-PET MRA ("&amp;TEXT(D457,"0.0%")&amp;")"</f>
        <v>FAT-PET MRA (-0.5%)</v>
      </c>
      <c r="L442" s="438" t="s">
        <v>910</v>
      </c>
      <c r="M442" s="438" t="str">
        <f>"PWA ("&amp;TEXT(D453,"0.0%")&amp;")"</f>
        <v>PWA (-2.0%)</v>
      </c>
      <c r="N442" s="438" t="str">
        <f>"FAT-PET MRA ("&amp;TEXT(D457,"0.0%")&amp;")"</f>
        <v>FAT-PET MRA (-0.5%)</v>
      </c>
      <c r="P442" s="505" t="s">
        <v>978</v>
      </c>
      <c r="Q442" s="505" t="s">
        <v>979</v>
      </c>
    </row>
    <row r="443" spans="1:20" ht="12.75" x14ac:dyDescent="0.25">
      <c r="C443" s="467" t="s">
        <v>255</v>
      </c>
      <c r="D443" s="487">
        <f>'Standardizing estimates'!D173</f>
        <v>-0.17695473251028815</v>
      </c>
      <c r="E443" s="487">
        <f>'Standardizing estimates'!E173</f>
        <v>0.14259446883560367</v>
      </c>
      <c r="F443" s="488">
        <f>'Standardizing estimates'!F173</f>
        <v>7.0128947368421013</v>
      </c>
      <c r="G443" s="519">
        <f t="shared" ref="G443:G452" si="39">D443/E443</f>
        <v>-1.2409649122807016</v>
      </c>
      <c r="I443" s="440">
        <f>$D$457+J443*$E$457</f>
        <v>-5.236928355620148E-3</v>
      </c>
      <c r="J443" s="441">
        <v>0</v>
      </c>
      <c r="K443" s="442">
        <v>1000000</v>
      </c>
      <c r="L443" s="443"/>
      <c r="M443" s="444" t="s">
        <v>911</v>
      </c>
      <c r="N443" s="443"/>
      <c r="P443" s="522">
        <f>F443/E443</f>
        <v>49.180692590027647</v>
      </c>
      <c r="Q443" s="524">
        <f>G443/E443</f>
        <v>-8.7027563019390524</v>
      </c>
      <c r="R443" s="526"/>
      <c r="S443" s="471"/>
      <c r="T443" s="449"/>
    </row>
    <row r="444" spans="1:20" ht="12.75" x14ac:dyDescent="0.25">
      <c r="C444" s="467" t="s">
        <v>442</v>
      </c>
      <c r="D444" s="487">
        <f>'Standardizing estimates'!D174</f>
        <v>4.8995231350040705E-2</v>
      </c>
      <c r="E444" s="487">
        <f>'Standardizing estimates'!E174</f>
        <v>2.8033413309875559E-2</v>
      </c>
      <c r="F444" s="488">
        <f>'Standardizing estimates'!F174</f>
        <v>35.671717494627096</v>
      </c>
      <c r="G444" s="519">
        <f t="shared" si="39"/>
        <v>1.7477440513025488</v>
      </c>
      <c r="I444" s="440">
        <f t="shared" ref="I444:I493" si="40">$D$457+J444*$E$457</f>
        <v>-1.3000869951469391E-2</v>
      </c>
      <c r="J444" s="445">
        <f>J443+0.02</f>
        <v>0.02</v>
      </c>
      <c r="K444" s="446">
        <f t="shared" ref="K444:K475" si="41">1/J444</f>
        <v>50</v>
      </c>
      <c r="L444" s="443"/>
      <c r="M444" s="443"/>
      <c r="N444" s="443"/>
      <c r="P444" s="522">
        <f t="shared" ref="P444:P449" si="42">F444/E444</f>
        <v>1272.4714290164848</v>
      </c>
      <c r="Q444" s="524">
        <f>G444/E444</f>
        <v>62.345032050979562</v>
      </c>
      <c r="R444" s="526"/>
      <c r="S444" s="471"/>
      <c r="T444" s="449"/>
    </row>
    <row r="445" spans="1:20" ht="12.75" x14ac:dyDescent="0.25">
      <c r="C445" s="467" t="s">
        <v>583</v>
      </c>
      <c r="D445" s="487">
        <f>'Standardizing estimates'!D175</f>
        <v>0.13071364795918367</v>
      </c>
      <c r="E445" s="487">
        <f>'Standardizing estimates'!E175</f>
        <v>6.5675637755102018E-2</v>
      </c>
      <c r="F445" s="488">
        <f>'Standardizing estimates'!F175</f>
        <v>15.226346240121817</v>
      </c>
      <c r="G445" s="519">
        <f t="shared" si="39"/>
        <v>1.990291262135923</v>
      </c>
      <c r="I445" s="440">
        <f t="shared" si="40"/>
        <v>-2.0764811547318632E-2</v>
      </c>
      <c r="J445" s="445">
        <f t="shared" ref="J445:J493" si="43">J444+0.02</f>
        <v>0.04</v>
      </c>
      <c r="K445" s="446">
        <f t="shared" si="41"/>
        <v>25</v>
      </c>
      <c r="L445" s="443"/>
      <c r="M445" s="443"/>
      <c r="N445" s="443"/>
      <c r="P445" s="522">
        <f t="shared" si="42"/>
        <v>231.84161982407178</v>
      </c>
      <c r="Q445" s="524">
        <f t="shared" ref="Q445:Q452" si="44">G445/E445</f>
        <v>30.304863875970614</v>
      </c>
      <c r="R445" s="526"/>
      <c r="S445" s="471"/>
      <c r="T445" s="449"/>
    </row>
    <row r="446" spans="1:20" ht="12.75" x14ac:dyDescent="0.25">
      <c r="C446" s="467" t="s">
        <v>676</v>
      </c>
      <c r="D446" s="487">
        <f>'Standardizing estimates'!D177</f>
        <v>4.5999999999999999E-2</v>
      </c>
      <c r="E446" s="487">
        <f>'Standardizing estimates'!E177</f>
        <v>0.14799999999999999</v>
      </c>
      <c r="F446" s="488">
        <f>'Standardizing estimates'!F177</f>
        <v>6.756756756756757</v>
      </c>
      <c r="G446" s="519">
        <f t="shared" si="39"/>
        <v>0.3108108108108108</v>
      </c>
      <c r="I446" s="440">
        <f t="shared" si="40"/>
        <v>-2.852875314316787E-2</v>
      </c>
      <c r="J446" s="445">
        <f t="shared" si="43"/>
        <v>0.06</v>
      </c>
      <c r="K446" s="446">
        <f t="shared" si="41"/>
        <v>16.666666666666668</v>
      </c>
      <c r="L446" s="443"/>
      <c r="M446" s="443"/>
      <c r="N446" s="443"/>
      <c r="P446" s="522">
        <f t="shared" si="42"/>
        <v>45.653761869978091</v>
      </c>
      <c r="Q446" s="524">
        <f t="shared" si="44"/>
        <v>2.1000730460189918</v>
      </c>
      <c r="R446" s="526"/>
      <c r="S446" s="471"/>
      <c r="T446" s="449"/>
    </row>
    <row r="447" spans="1:20" ht="12.75" x14ac:dyDescent="0.25">
      <c r="C447" s="467" t="s">
        <v>703</v>
      </c>
      <c r="D447" s="487">
        <f>'Standardizing estimates'!D178</f>
        <v>0.15612949485277217</v>
      </c>
      <c r="E447" s="487">
        <f>'Standardizing estimates'!E178</f>
        <v>8.7208602498503457E-2</v>
      </c>
      <c r="F447" s="488">
        <f>'Standardizing estimates'!F178</f>
        <v>11.466758683779625</v>
      </c>
      <c r="G447" s="519">
        <f t="shared" si="39"/>
        <v>1.7902992408971514</v>
      </c>
      <c r="I447" s="440">
        <f t="shared" si="40"/>
        <v>-3.6292694739017119E-2</v>
      </c>
      <c r="J447" s="445">
        <f t="shared" si="43"/>
        <v>0.08</v>
      </c>
      <c r="K447" s="446">
        <f t="shared" si="41"/>
        <v>12.5</v>
      </c>
      <c r="L447" s="443"/>
      <c r="M447" s="443"/>
      <c r="N447" s="443"/>
      <c r="P447" s="522">
        <f t="shared" si="42"/>
        <v>131.48655471203543</v>
      </c>
      <c r="Q447" s="524">
        <f t="shared" si="44"/>
        <v>20.528929367121481</v>
      </c>
      <c r="R447" s="526"/>
      <c r="S447" s="471"/>
      <c r="T447" s="449"/>
    </row>
    <row r="448" spans="1:20" ht="12.75" x14ac:dyDescent="0.25">
      <c r="C448" s="467" t="s">
        <v>274</v>
      </c>
      <c r="D448" s="487">
        <f>'Standardizing estimates'!D181</f>
        <v>-0.32151610007036957</v>
      </c>
      <c r="E448" s="487">
        <f>'Standardizing estimates'!E181</f>
        <v>0.17576213470513535</v>
      </c>
      <c r="F448" s="488">
        <f>'Standardizing estimates'!F181</f>
        <v>5.6895075931891395</v>
      </c>
      <c r="G448" s="519">
        <f t="shared" si="39"/>
        <v>-1.8292682926829269</v>
      </c>
      <c r="I448" s="440">
        <f t="shared" si="40"/>
        <v>-4.405663633486636E-2</v>
      </c>
      <c r="J448" s="445">
        <f t="shared" si="43"/>
        <v>0.1</v>
      </c>
      <c r="K448" s="446">
        <f t="shared" si="41"/>
        <v>10</v>
      </c>
      <c r="L448" s="443"/>
      <c r="M448" s="443"/>
      <c r="N448" s="443"/>
      <c r="P448" s="522">
        <f t="shared" si="42"/>
        <v>32.370496652956874</v>
      </c>
      <c r="Q448" s="524">
        <f t="shared" si="44"/>
        <v>-10.407635841199646</v>
      </c>
      <c r="R448" s="526"/>
      <c r="S448" s="471"/>
      <c r="T448" s="449"/>
    </row>
    <row r="449" spans="3:20" ht="12.75" x14ac:dyDescent="0.25">
      <c r="C449" s="467" t="s">
        <v>304</v>
      </c>
      <c r="D449" s="487">
        <f>'Standardizing estimates'!D182</f>
        <v>-0.01</v>
      </c>
      <c r="E449" s="487">
        <f>'Standardizing estimates'!E182</f>
        <v>5.9171597633136102E-3</v>
      </c>
      <c r="F449" s="488">
        <f>'Standardizing estimates'!F182</f>
        <v>168.99999999999997</v>
      </c>
      <c r="G449" s="519">
        <f t="shared" si="39"/>
        <v>-1.6899999999999997</v>
      </c>
      <c r="I449" s="440">
        <f t="shared" si="40"/>
        <v>-5.1820577930715601E-2</v>
      </c>
      <c r="J449" s="445">
        <f t="shared" si="43"/>
        <v>0.12000000000000001</v>
      </c>
      <c r="K449" s="446">
        <f t="shared" si="41"/>
        <v>8.3333333333333321</v>
      </c>
      <c r="L449" s="443"/>
      <c r="M449" s="443"/>
      <c r="N449" s="443"/>
      <c r="P449" s="522">
        <f t="shared" si="42"/>
        <v>28560.999999999993</v>
      </c>
      <c r="Q449" s="524">
        <f t="shared" si="44"/>
        <v>-285.6099999999999</v>
      </c>
      <c r="R449" s="526"/>
      <c r="S449" s="471"/>
      <c r="T449" s="449"/>
    </row>
    <row r="450" spans="3:20" ht="12.75" x14ac:dyDescent="0.25">
      <c r="C450" s="467" t="s">
        <v>438</v>
      </c>
      <c r="D450" s="487">
        <f>'Standardizing estimates'!D184</f>
        <v>-0.35</v>
      </c>
      <c r="E450" s="487">
        <f>'Standardizing estimates'!E184</f>
        <v>6.968641114982578E-2</v>
      </c>
      <c r="F450" s="488">
        <f>'Standardizing estimates'!F184</f>
        <v>14.350000000000001</v>
      </c>
      <c r="G450" s="519">
        <f t="shared" si="39"/>
        <v>-5.0225</v>
      </c>
      <c r="I450" s="440">
        <f t="shared" si="40"/>
        <v>-5.9584519526564843E-2</v>
      </c>
      <c r="J450" s="445">
        <f t="shared" si="43"/>
        <v>0.14000000000000001</v>
      </c>
      <c r="K450" s="446">
        <f t="shared" si="41"/>
        <v>7.1428571428571423</v>
      </c>
      <c r="L450" s="443"/>
      <c r="M450" s="443"/>
      <c r="N450" s="443"/>
      <c r="P450" s="522">
        <f t="shared" ref="P450:P451" si="45">F450/E450</f>
        <v>205.92250000000004</v>
      </c>
      <c r="Q450" s="524">
        <f t="shared" si="44"/>
        <v>-72.072874999999996</v>
      </c>
      <c r="R450" s="526"/>
      <c r="S450" s="471"/>
      <c r="T450" s="449"/>
    </row>
    <row r="451" spans="3:20" ht="12.75" x14ac:dyDescent="0.25">
      <c r="C451" s="467" t="s">
        <v>729</v>
      </c>
      <c r="D451" s="487">
        <f>'Standardizing estimates'!D185</f>
        <v>-6.0069444444444453E-2</v>
      </c>
      <c r="E451" s="487">
        <f>'Standardizing estimates'!E185</f>
        <v>0.24514577421869621</v>
      </c>
      <c r="F451" s="488">
        <f>'Standardizing estimates'!F185</f>
        <v>4.0792055387742199</v>
      </c>
      <c r="G451" s="519">
        <f t="shared" si="39"/>
        <v>-0.24503561048886813</v>
      </c>
      <c r="I451" s="440">
        <f t="shared" si="40"/>
        <v>-6.7348461122414091E-2</v>
      </c>
      <c r="J451" s="445">
        <f t="shared" si="43"/>
        <v>0.16</v>
      </c>
      <c r="K451" s="446">
        <f t="shared" si="41"/>
        <v>6.25</v>
      </c>
      <c r="L451" s="443"/>
      <c r="M451" s="443"/>
      <c r="N451" s="443"/>
      <c r="P451" s="522">
        <f t="shared" si="45"/>
        <v>16.639917827566276</v>
      </c>
      <c r="Q451" s="524">
        <f t="shared" si="44"/>
        <v>-0.9995506195031133</v>
      </c>
      <c r="R451" s="470"/>
      <c r="S451" s="471"/>
      <c r="T451" s="449"/>
    </row>
    <row r="452" spans="3:20" ht="12.75" x14ac:dyDescent="0.25">
      <c r="C452" s="467" t="s">
        <v>575</v>
      </c>
      <c r="D452" s="487">
        <f>'Standardizing estimates'!D186</f>
        <v>-0.40389417076968986</v>
      </c>
      <c r="E452" s="487">
        <f>'Standardizing estimates'!E186</f>
        <v>0.36129664144631723</v>
      </c>
      <c r="F452" s="488">
        <f>'Standardizing estimates'!F186</f>
        <v>2.7678087346643205</v>
      </c>
      <c r="G452" s="519">
        <f t="shared" si="39"/>
        <v>-1.1179018137363503</v>
      </c>
      <c r="I452" s="440">
        <f t="shared" si="40"/>
        <v>-7.5112402718263319E-2</v>
      </c>
      <c r="J452" s="445">
        <f t="shared" si="43"/>
        <v>0.18</v>
      </c>
      <c r="K452" s="446">
        <f t="shared" si="41"/>
        <v>5.5555555555555554</v>
      </c>
      <c r="L452" s="443"/>
      <c r="M452" s="443"/>
      <c r="N452" s="443"/>
      <c r="P452" s="523">
        <f t="shared" ref="P452" si="46">F452/E452</f>
        <v>7.6607651916841073</v>
      </c>
      <c r="Q452" s="525">
        <f t="shared" si="44"/>
        <v>-3.0941384045565568</v>
      </c>
      <c r="R452" s="470"/>
      <c r="S452" s="471"/>
      <c r="T452" s="449"/>
    </row>
    <row r="453" spans="3:20" x14ac:dyDescent="0.2">
      <c r="C453" s="437" t="s">
        <v>912</v>
      </c>
      <c r="D453" s="473">
        <f>SUMPRODUCT($F$443:$F$452,D443:D452)/SUM($F$443:$F$452)</f>
        <v>-1.9507778246493915E-2</v>
      </c>
      <c r="E453" s="447"/>
      <c r="F453" s="448"/>
      <c r="G453" s="448"/>
      <c r="I453" s="440">
        <f t="shared" si="40"/>
        <v>-8.287634431411256E-2</v>
      </c>
      <c r="J453" s="445">
        <f t="shared" si="43"/>
        <v>0.19999999999999998</v>
      </c>
      <c r="K453" s="446">
        <f t="shared" si="41"/>
        <v>5</v>
      </c>
      <c r="L453" s="443"/>
      <c r="M453" s="443"/>
      <c r="N453" s="443"/>
      <c r="P453" s="449">
        <f>SUMPRODUCT($P$443:$P$452,D443:D452)/SUM($P$443:$P$452)</f>
        <v>-8.6930051090610121E-3</v>
      </c>
    </row>
    <row r="454" spans="3:20" x14ac:dyDescent="0.2">
      <c r="I454" s="440">
        <f t="shared" si="40"/>
        <v>-9.0640285909961801E-2</v>
      </c>
      <c r="J454" s="445">
        <f t="shared" si="43"/>
        <v>0.21999999999999997</v>
      </c>
      <c r="K454" s="446">
        <f t="shared" si="41"/>
        <v>4.5454545454545459</v>
      </c>
      <c r="L454" s="443"/>
      <c r="M454" s="443"/>
      <c r="N454" s="443"/>
    </row>
    <row r="455" spans="3:20" x14ac:dyDescent="0.2">
      <c r="C455" s="433" t="s">
        <v>977</v>
      </c>
      <c r="I455" s="440">
        <f t="shared" si="40"/>
        <v>-9.8404227505811029E-2</v>
      </c>
      <c r="J455" s="445">
        <f t="shared" si="43"/>
        <v>0.23999999999999996</v>
      </c>
      <c r="K455" s="446">
        <f t="shared" si="41"/>
        <v>4.166666666666667</v>
      </c>
      <c r="L455" s="443"/>
      <c r="M455" s="443"/>
      <c r="N455" s="443"/>
      <c r="P455" s="433" t="s">
        <v>976</v>
      </c>
      <c r="Q455" s="470"/>
      <c r="R455" s="470"/>
    </row>
    <row r="456" spans="3:20" x14ac:dyDescent="0.2">
      <c r="C456" s="438"/>
      <c r="D456" s="438" t="s">
        <v>914</v>
      </c>
      <c r="E456" s="438" t="s">
        <v>913</v>
      </c>
      <c r="I456" s="440">
        <f t="shared" si="40"/>
        <v>-0.10616816910166027</v>
      </c>
      <c r="J456" s="445">
        <f t="shared" si="43"/>
        <v>0.25999999999999995</v>
      </c>
      <c r="K456" s="446">
        <f t="shared" si="41"/>
        <v>3.8461538461538467</v>
      </c>
      <c r="L456" s="443"/>
      <c r="M456" s="443"/>
      <c r="N456" s="443"/>
      <c r="P456" s="438"/>
      <c r="Q456" s="438" t="s">
        <v>914</v>
      </c>
      <c r="R456" s="438" t="s">
        <v>913</v>
      </c>
    </row>
    <row r="457" spans="3:20" x14ac:dyDescent="0.2">
      <c r="C457" s="443" t="s">
        <v>747</v>
      </c>
      <c r="D457" s="450" cm="1">
        <f t="array" ref="D457:E461">LINEST(G443:G452,F443:F452,,TRUE())</f>
        <v>-5.236928355620148E-3</v>
      </c>
      <c r="E457" s="450">
        <v>-0.3881970797924621</v>
      </c>
      <c r="I457" s="440">
        <f t="shared" si="40"/>
        <v>-0.11393211069750953</v>
      </c>
      <c r="J457" s="445">
        <f t="shared" si="43"/>
        <v>0.27999999999999997</v>
      </c>
      <c r="K457" s="446">
        <f t="shared" si="41"/>
        <v>3.5714285714285716</v>
      </c>
      <c r="L457" s="443"/>
      <c r="M457" s="443"/>
      <c r="N457" s="443"/>
      <c r="P457" s="443" t="s">
        <v>747</v>
      </c>
      <c r="Q457" s="520" cm="1">
        <f t="array" ref="Q457:R461">LINEST(Q443:Q452,P443:P452,,TRUE())</f>
        <v>-1.0042982379380993E-2</v>
      </c>
      <c r="R457" s="520">
        <v>4.1247512958054848</v>
      </c>
    </row>
    <row r="458" spans="3:20" x14ac:dyDescent="0.2">
      <c r="C458" s="443" t="s">
        <v>15</v>
      </c>
      <c r="D458" s="450">
        <v>1.4903566738862846E-2</v>
      </c>
      <c r="E458" s="450">
        <v>0.82380774829431236</v>
      </c>
      <c r="I458" s="440">
        <f t="shared" si="40"/>
        <v>-0.12169605229335877</v>
      </c>
      <c r="J458" s="445">
        <f t="shared" si="43"/>
        <v>0.3</v>
      </c>
      <c r="K458" s="446">
        <f t="shared" si="41"/>
        <v>3.3333333333333335</v>
      </c>
      <c r="L458" s="443"/>
      <c r="M458" s="443"/>
      <c r="N458" s="443"/>
      <c r="P458" s="443" t="s">
        <v>15</v>
      </c>
      <c r="Q458" s="450">
        <v>1.4454602290145564E-3</v>
      </c>
      <c r="R458" s="450">
        <v>13.068984871556042</v>
      </c>
    </row>
    <row r="459" spans="3:20" x14ac:dyDescent="0.2">
      <c r="C459" s="443" t="s">
        <v>915</v>
      </c>
      <c r="D459" s="450">
        <v>1.5199562155053187E-2</v>
      </c>
      <c r="E459" s="450">
        <v>2.2678256352148005</v>
      </c>
      <c r="I459" s="440">
        <f t="shared" si="40"/>
        <v>-0.12945999388920804</v>
      </c>
      <c r="J459" s="445">
        <f t="shared" si="43"/>
        <v>0.32</v>
      </c>
      <c r="K459" s="446">
        <f t="shared" si="41"/>
        <v>3.125</v>
      </c>
      <c r="L459" s="443"/>
      <c r="M459" s="443"/>
      <c r="N459" s="443"/>
      <c r="P459" s="443" t="s">
        <v>915</v>
      </c>
      <c r="Q459" s="450">
        <v>0.8578383833128248</v>
      </c>
      <c r="R459" s="450">
        <v>38.896396116248944</v>
      </c>
    </row>
    <row r="460" spans="3:20" x14ac:dyDescent="0.2">
      <c r="C460" s="443" t="s">
        <v>916</v>
      </c>
      <c r="D460" s="450">
        <v>0.12347323637113412</v>
      </c>
      <c r="E460" s="450">
        <v>8</v>
      </c>
      <c r="I460" s="440">
        <f t="shared" si="40"/>
        <v>-0.13722393548505726</v>
      </c>
      <c r="J460" s="445">
        <f t="shared" si="43"/>
        <v>0.34</v>
      </c>
      <c r="K460" s="446">
        <f t="shared" si="41"/>
        <v>2.9411764705882351</v>
      </c>
      <c r="L460" s="443"/>
      <c r="M460" s="443"/>
      <c r="N460" s="443"/>
      <c r="P460" s="443" t="s">
        <v>916</v>
      </c>
      <c r="Q460" s="450">
        <v>48.273980181330508</v>
      </c>
      <c r="R460" s="450">
        <v>8</v>
      </c>
    </row>
    <row r="461" spans="3:20" x14ac:dyDescent="0.2">
      <c r="C461" s="443" t="s">
        <v>917</v>
      </c>
      <c r="D461" s="450">
        <v>0.6350269430701232</v>
      </c>
      <c r="E461" s="450">
        <v>41.144264893899312</v>
      </c>
      <c r="I461" s="440">
        <f t="shared" si="40"/>
        <v>-0.14498787708090652</v>
      </c>
      <c r="J461" s="445">
        <f t="shared" si="43"/>
        <v>0.36000000000000004</v>
      </c>
      <c r="K461" s="446">
        <f t="shared" si="41"/>
        <v>2.7777777777777772</v>
      </c>
      <c r="L461" s="443"/>
      <c r="M461" s="443"/>
      <c r="N461" s="443"/>
      <c r="P461" s="443" t="s">
        <v>917</v>
      </c>
      <c r="Q461" s="446">
        <v>73035.135014538697</v>
      </c>
      <c r="R461" s="446">
        <v>12103.437046657167</v>
      </c>
    </row>
    <row r="462" spans="3:20" x14ac:dyDescent="0.2">
      <c r="C462" s="443" t="s">
        <v>918</v>
      </c>
      <c r="D462" s="450">
        <f>D457/D458</f>
        <v>-0.35138758710451684</v>
      </c>
      <c r="E462" s="450">
        <f>E457/E458</f>
        <v>-0.47122290436842962</v>
      </c>
      <c r="I462" s="440">
        <f t="shared" si="40"/>
        <v>-0.15275181867675577</v>
      </c>
      <c r="J462" s="445">
        <f t="shared" si="43"/>
        <v>0.38000000000000006</v>
      </c>
      <c r="K462" s="446">
        <f t="shared" si="41"/>
        <v>2.6315789473684208</v>
      </c>
      <c r="L462" s="443"/>
      <c r="M462" s="443"/>
      <c r="N462" s="443"/>
      <c r="P462" s="443" t="s">
        <v>918</v>
      </c>
      <c r="Q462" s="450">
        <f>Q457/Q458</f>
        <v>-6.9479479115297442</v>
      </c>
      <c r="R462" s="450">
        <f>R457/R458</f>
        <v>0.31561374784225121</v>
      </c>
    </row>
    <row r="463" spans="3:20" x14ac:dyDescent="0.2">
      <c r="C463" s="451" t="s">
        <v>919</v>
      </c>
      <c r="D463" s="452">
        <f>_xlfn.T.DIST.2T(ABS(D462),COUNT(D443:D452)-2)</f>
        <v>0.73437268196216232</v>
      </c>
      <c r="E463" s="452">
        <f>_xlfn.T.DIST.2T(ABS(E462),COUNT(D443:D452)-2)</f>
        <v>0.65006432455079954</v>
      </c>
      <c r="I463" s="440">
        <f t="shared" si="40"/>
        <v>-0.160515760272605</v>
      </c>
      <c r="J463" s="445">
        <f t="shared" si="43"/>
        <v>0.40000000000000008</v>
      </c>
      <c r="K463" s="446">
        <f t="shared" si="41"/>
        <v>2.4999999999999996</v>
      </c>
      <c r="L463" s="443"/>
      <c r="M463" s="443"/>
      <c r="N463" s="443"/>
      <c r="P463" s="451" t="s">
        <v>919</v>
      </c>
      <c r="Q463" s="452">
        <f>_xlfn.T.DIST.2T(ABS(Q462),COUNT(Q443:Q450)-2)</f>
        <v>4.4097174546425019E-4</v>
      </c>
      <c r="R463" s="452">
        <f>_xlfn.T.DIST.2T(ABS(R462),COUNT(Q443:Q450)-2)</f>
        <v>0.7629852926809586</v>
      </c>
    </row>
    <row r="464" spans="3:20" x14ac:dyDescent="0.2">
      <c r="I464" s="440">
        <f t="shared" si="40"/>
        <v>-0.16827970186845426</v>
      </c>
      <c r="J464" s="445">
        <f t="shared" si="43"/>
        <v>0.4200000000000001</v>
      </c>
      <c r="K464" s="446">
        <f t="shared" si="41"/>
        <v>2.3809523809523805</v>
      </c>
      <c r="L464" s="443"/>
      <c r="M464" s="443"/>
      <c r="N464" s="443"/>
    </row>
    <row r="465" spans="9:14" x14ac:dyDescent="0.2">
      <c r="I465" s="440">
        <f t="shared" si="40"/>
        <v>-0.17604364346430351</v>
      </c>
      <c r="J465" s="445">
        <f t="shared" si="43"/>
        <v>0.44000000000000011</v>
      </c>
      <c r="K465" s="446">
        <f t="shared" si="41"/>
        <v>2.272727272727272</v>
      </c>
      <c r="L465" s="443"/>
      <c r="M465" s="443"/>
      <c r="N465" s="443"/>
    </row>
    <row r="466" spans="9:14" x14ac:dyDescent="0.2">
      <c r="I466" s="440">
        <f t="shared" si="40"/>
        <v>-0.18380758506015277</v>
      </c>
      <c r="J466" s="445">
        <f t="shared" si="43"/>
        <v>0.46000000000000013</v>
      </c>
      <c r="K466" s="446">
        <f t="shared" si="41"/>
        <v>2.1739130434782603</v>
      </c>
      <c r="L466" s="443"/>
      <c r="M466" s="443"/>
      <c r="N466" s="443"/>
    </row>
    <row r="467" spans="9:14" x14ac:dyDescent="0.2">
      <c r="I467" s="440">
        <f t="shared" si="40"/>
        <v>-0.19157152665600202</v>
      </c>
      <c r="J467" s="445">
        <f t="shared" si="43"/>
        <v>0.48000000000000015</v>
      </c>
      <c r="K467" s="446">
        <f t="shared" si="41"/>
        <v>2.0833333333333326</v>
      </c>
      <c r="L467" s="443"/>
      <c r="M467" s="443"/>
      <c r="N467" s="443"/>
    </row>
    <row r="468" spans="9:14" x14ac:dyDescent="0.2">
      <c r="I468" s="440">
        <f t="shared" si="40"/>
        <v>-0.19933546825185125</v>
      </c>
      <c r="J468" s="445">
        <f t="shared" si="43"/>
        <v>0.50000000000000011</v>
      </c>
      <c r="K468" s="446">
        <f t="shared" si="41"/>
        <v>1.9999999999999996</v>
      </c>
      <c r="L468" s="443"/>
      <c r="M468" s="443"/>
      <c r="N468" s="443"/>
    </row>
    <row r="469" spans="9:14" x14ac:dyDescent="0.2">
      <c r="I469" s="440">
        <f t="shared" si="40"/>
        <v>-0.20709940984770048</v>
      </c>
      <c r="J469" s="445">
        <f t="shared" si="43"/>
        <v>0.52000000000000013</v>
      </c>
      <c r="K469" s="446">
        <f t="shared" si="41"/>
        <v>1.9230769230769227</v>
      </c>
      <c r="L469" s="443"/>
      <c r="M469" s="443"/>
      <c r="N469" s="443"/>
    </row>
    <row r="470" spans="9:14" x14ac:dyDescent="0.2">
      <c r="I470" s="440">
        <f t="shared" si="40"/>
        <v>-0.21486335144354973</v>
      </c>
      <c r="J470" s="445">
        <f t="shared" si="43"/>
        <v>0.54000000000000015</v>
      </c>
      <c r="K470" s="446">
        <f t="shared" si="41"/>
        <v>1.8518518518518514</v>
      </c>
      <c r="L470" s="443"/>
      <c r="M470" s="443"/>
      <c r="N470" s="443"/>
    </row>
    <row r="471" spans="9:14" x14ac:dyDescent="0.2">
      <c r="I471" s="440">
        <f t="shared" si="40"/>
        <v>-0.22262729303939899</v>
      </c>
      <c r="J471" s="445">
        <f t="shared" si="43"/>
        <v>0.56000000000000016</v>
      </c>
      <c r="K471" s="446">
        <f t="shared" si="41"/>
        <v>1.7857142857142851</v>
      </c>
      <c r="L471" s="443"/>
      <c r="M471" s="443"/>
      <c r="N471" s="443"/>
    </row>
    <row r="472" spans="9:14" x14ac:dyDescent="0.2">
      <c r="I472" s="440">
        <f t="shared" si="40"/>
        <v>-0.23039123463524824</v>
      </c>
      <c r="J472" s="445">
        <f t="shared" si="43"/>
        <v>0.58000000000000018</v>
      </c>
      <c r="K472" s="446">
        <f t="shared" si="41"/>
        <v>1.7241379310344822</v>
      </c>
      <c r="L472" s="443"/>
      <c r="M472" s="443"/>
      <c r="N472" s="443"/>
    </row>
    <row r="473" spans="9:14" x14ac:dyDescent="0.2">
      <c r="I473" s="440">
        <f t="shared" si="40"/>
        <v>-0.23815517623109747</v>
      </c>
      <c r="J473" s="445">
        <f t="shared" si="43"/>
        <v>0.6000000000000002</v>
      </c>
      <c r="K473" s="446">
        <f t="shared" si="41"/>
        <v>1.6666666666666661</v>
      </c>
      <c r="L473" s="443"/>
      <c r="M473" s="443"/>
      <c r="N473" s="443"/>
    </row>
    <row r="474" spans="9:14" x14ac:dyDescent="0.2">
      <c r="I474" s="440">
        <f t="shared" si="40"/>
        <v>-0.24591911782694673</v>
      </c>
      <c r="J474" s="445">
        <f t="shared" si="43"/>
        <v>0.62000000000000022</v>
      </c>
      <c r="K474" s="446">
        <f t="shared" si="41"/>
        <v>1.6129032258064511</v>
      </c>
      <c r="L474" s="443"/>
      <c r="M474" s="443"/>
      <c r="N474" s="443"/>
    </row>
    <row r="475" spans="9:14" x14ac:dyDescent="0.2">
      <c r="I475" s="440">
        <f t="shared" si="40"/>
        <v>-0.25368305942279601</v>
      </c>
      <c r="J475" s="445">
        <f t="shared" si="43"/>
        <v>0.64000000000000024</v>
      </c>
      <c r="K475" s="446">
        <f t="shared" si="41"/>
        <v>1.5624999999999993</v>
      </c>
      <c r="L475" s="443"/>
      <c r="M475" s="443"/>
      <c r="N475" s="443"/>
    </row>
    <row r="476" spans="9:14" x14ac:dyDescent="0.2">
      <c r="I476" s="440">
        <f t="shared" si="40"/>
        <v>-0.26144700101864526</v>
      </c>
      <c r="J476" s="445">
        <f t="shared" si="43"/>
        <v>0.66000000000000025</v>
      </c>
      <c r="K476" s="446">
        <f t="shared" ref="K476:K493" si="47">1/J476</f>
        <v>1.5151515151515145</v>
      </c>
      <c r="L476" s="443"/>
      <c r="M476" s="443"/>
      <c r="N476" s="443"/>
    </row>
    <row r="477" spans="9:14" x14ac:dyDescent="0.2">
      <c r="I477" s="440">
        <f t="shared" si="40"/>
        <v>-0.26921094261449452</v>
      </c>
      <c r="J477" s="445">
        <f t="shared" si="43"/>
        <v>0.68000000000000027</v>
      </c>
      <c r="K477" s="446">
        <f t="shared" si="47"/>
        <v>1.4705882352941171</v>
      </c>
      <c r="L477" s="443"/>
      <c r="M477" s="443"/>
      <c r="N477" s="443"/>
    </row>
    <row r="478" spans="9:14" x14ac:dyDescent="0.2">
      <c r="I478" s="440">
        <f t="shared" si="40"/>
        <v>-0.27697488421034377</v>
      </c>
      <c r="J478" s="445">
        <f t="shared" si="43"/>
        <v>0.70000000000000029</v>
      </c>
      <c r="K478" s="446">
        <f t="shared" si="47"/>
        <v>1.4285714285714279</v>
      </c>
      <c r="L478" s="443"/>
      <c r="M478" s="443"/>
      <c r="N478" s="443"/>
    </row>
    <row r="479" spans="9:14" x14ac:dyDescent="0.2">
      <c r="I479" s="440">
        <f t="shared" si="40"/>
        <v>-0.28473882580619303</v>
      </c>
      <c r="J479" s="445">
        <f t="shared" si="43"/>
        <v>0.72000000000000031</v>
      </c>
      <c r="K479" s="446">
        <f t="shared" si="47"/>
        <v>1.3888888888888884</v>
      </c>
      <c r="L479" s="443"/>
      <c r="M479" s="443"/>
      <c r="N479" s="443"/>
    </row>
    <row r="480" spans="9:14" x14ac:dyDescent="0.2">
      <c r="I480" s="440">
        <f t="shared" si="40"/>
        <v>-0.29250276740204223</v>
      </c>
      <c r="J480" s="445">
        <f t="shared" si="43"/>
        <v>0.74000000000000032</v>
      </c>
      <c r="K480" s="446">
        <f t="shared" si="47"/>
        <v>1.3513513513513506</v>
      </c>
      <c r="L480" s="443"/>
      <c r="M480" s="443"/>
      <c r="N480" s="443"/>
    </row>
    <row r="481" spans="9:14" x14ac:dyDescent="0.2">
      <c r="I481" s="440">
        <f t="shared" si="40"/>
        <v>-0.30026670899789148</v>
      </c>
      <c r="J481" s="445">
        <f t="shared" si="43"/>
        <v>0.76000000000000034</v>
      </c>
      <c r="K481" s="446">
        <f t="shared" si="47"/>
        <v>1.31578947368421</v>
      </c>
      <c r="L481" s="443"/>
      <c r="M481" s="443"/>
      <c r="N481" s="443"/>
    </row>
    <row r="482" spans="9:14" x14ac:dyDescent="0.2">
      <c r="I482" s="440">
        <f t="shared" si="40"/>
        <v>-0.30803065059374074</v>
      </c>
      <c r="J482" s="445">
        <f t="shared" si="43"/>
        <v>0.78000000000000036</v>
      </c>
      <c r="K482" s="446">
        <f t="shared" si="47"/>
        <v>1.2820512820512815</v>
      </c>
      <c r="L482" s="443"/>
      <c r="M482" s="443"/>
      <c r="N482" s="443"/>
    </row>
    <row r="483" spans="9:14" x14ac:dyDescent="0.2">
      <c r="I483" s="440">
        <f t="shared" si="40"/>
        <v>-0.31579459218959</v>
      </c>
      <c r="J483" s="445">
        <f t="shared" si="43"/>
        <v>0.80000000000000038</v>
      </c>
      <c r="K483" s="446">
        <f t="shared" si="47"/>
        <v>1.2499999999999993</v>
      </c>
      <c r="L483" s="443"/>
      <c r="M483" s="443"/>
      <c r="N483" s="443"/>
    </row>
    <row r="484" spans="9:14" x14ac:dyDescent="0.2">
      <c r="I484" s="440">
        <f t="shared" si="40"/>
        <v>-0.32355853378543925</v>
      </c>
      <c r="J484" s="445">
        <f t="shared" si="43"/>
        <v>0.8200000000000004</v>
      </c>
      <c r="K484" s="446">
        <f t="shared" si="47"/>
        <v>1.2195121951219505</v>
      </c>
      <c r="L484" s="443"/>
      <c r="M484" s="443"/>
      <c r="N484" s="443"/>
    </row>
    <row r="485" spans="9:14" x14ac:dyDescent="0.2">
      <c r="I485" s="440">
        <f t="shared" si="40"/>
        <v>-0.33132247538128851</v>
      </c>
      <c r="J485" s="445">
        <f t="shared" si="43"/>
        <v>0.84000000000000041</v>
      </c>
      <c r="K485" s="446">
        <f t="shared" si="47"/>
        <v>1.1904761904761898</v>
      </c>
      <c r="L485" s="443"/>
      <c r="M485" s="443"/>
      <c r="N485" s="443"/>
    </row>
    <row r="486" spans="9:14" x14ac:dyDescent="0.2">
      <c r="I486" s="440">
        <f t="shared" si="40"/>
        <v>-0.33908641697713776</v>
      </c>
      <c r="J486" s="445">
        <f t="shared" si="43"/>
        <v>0.86000000000000043</v>
      </c>
      <c r="K486" s="446">
        <f t="shared" si="47"/>
        <v>1.162790697674418</v>
      </c>
      <c r="L486" s="443"/>
      <c r="M486" s="443"/>
      <c r="N486" s="443"/>
    </row>
    <row r="487" spans="9:14" x14ac:dyDescent="0.2">
      <c r="I487" s="440">
        <f t="shared" si="40"/>
        <v>-0.34685035857298702</v>
      </c>
      <c r="J487" s="445">
        <f t="shared" si="43"/>
        <v>0.88000000000000045</v>
      </c>
      <c r="K487" s="446">
        <f t="shared" si="47"/>
        <v>1.1363636363636358</v>
      </c>
      <c r="L487" s="443"/>
      <c r="M487" s="443"/>
      <c r="N487" s="443"/>
    </row>
    <row r="488" spans="9:14" x14ac:dyDescent="0.2">
      <c r="I488" s="440">
        <f t="shared" si="40"/>
        <v>-0.35461430016883622</v>
      </c>
      <c r="J488" s="445">
        <f t="shared" si="43"/>
        <v>0.90000000000000047</v>
      </c>
      <c r="K488" s="446">
        <f t="shared" si="47"/>
        <v>1.1111111111111105</v>
      </c>
      <c r="L488" s="443"/>
      <c r="M488" s="443"/>
      <c r="N488" s="443"/>
    </row>
    <row r="489" spans="9:14" x14ac:dyDescent="0.2">
      <c r="I489" s="440">
        <f t="shared" si="40"/>
        <v>-0.36237824176468547</v>
      </c>
      <c r="J489" s="445">
        <f t="shared" si="43"/>
        <v>0.92000000000000048</v>
      </c>
      <c r="K489" s="446">
        <f t="shared" si="47"/>
        <v>1.0869565217391299</v>
      </c>
      <c r="L489" s="443"/>
      <c r="M489" s="443"/>
      <c r="N489" s="443"/>
    </row>
    <row r="490" spans="9:14" x14ac:dyDescent="0.2">
      <c r="I490" s="440">
        <f t="shared" si="40"/>
        <v>-0.37014218336053473</v>
      </c>
      <c r="J490" s="445">
        <f t="shared" si="43"/>
        <v>0.9400000000000005</v>
      </c>
      <c r="K490" s="446">
        <f t="shared" si="47"/>
        <v>1.0638297872340421</v>
      </c>
      <c r="L490" s="443"/>
      <c r="M490" s="443"/>
      <c r="N490" s="443"/>
    </row>
    <row r="491" spans="9:14" x14ac:dyDescent="0.2">
      <c r="I491" s="440">
        <f t="shared" si="40"/>
        <v>-0.37790612495638398</v>
      </c>
      <c r="J491" s="445">
        <f t="shared" si="43"/>
        <v>0.96000000000000052</v>
      </c>
      <c r="K491" s="446">
        <f t="shared" si="47"/>
        <v>1.0416666666666661</v>
      </c>
      <c r="L491" s="443"/>
      <c r="M491" s="443"/>
      <c r="N491" s="443"/>
    </row>
    <row r="492" spans="9:14" x14ac:dyDescent="0.2">
      <c r="I492" s="440">
        <f t="shared" si="40"/>
        <v>-0.38567006655223324</v>
      </c>
      <c r="J492" s="445">
        <f t="shared" si="43"/>
        <v>0.98000000000000054</v>
      </c>
      <c r="K492" s="446">
        <f t="shared" si="47"/>
        <v>1.0204081632653055</v>
      </c>
      <c r="L492" s="443"/>
      <c r="M492" s="443"/>
      <c r="N492" s="443"/>
    </row>
    <row r="493" spans="9:14" x14ac:dyDescent="0.2">
      <c r="I493" s="453">
        <f t="shared" si="40"/>
        <v>-0.39343400814808244</v>
      </c>
      <c r="J493" s="454">
        <f t="shared" si="43"/>
        <v>1.0000000000000004</v>
      </c>
      <c r="K493" s="455">
        <f t="shared" si="47"/>
        <v>0.99999999999999956</v>
      </c>
      <c r="L493" s="451"/>
      <c r="M493" s="451"/>
      <c r="N493" s="451"/>
    </row>
    <row r="494" spans="9:14" x14ac:dyDescent="0.2">
      <c r="I494" s="462">
        <f t="shared" ref="I494:J499" si="48">D443</f>
        <v>-0.17695473251028815</v>
      </c>
      <c r="J494" s="468">
        <f t="shared" si="48"/>
        <v>0.14259446883560367</v>
      </c>
      <c r="K494" s="457"/>
      <c r="L494" s="457">
        <f t="shared" ref="L494:L499" si="49">F443</f>
        <v>7.0128947368421013</v>
      </c>
      <c r="M494" s="443"/>
      <c r="N494" s="443"/>
    </row>
    <row r="495" spans="9:14" x14ac:dyDescent="0.2">
      <c r="I495" s="462">
        <f t="shared" si="48"/>
        <v>4.8995231350040705E-2</v>
      </c>
      <c r="J495" s="468">
        <f t="shared" si="48"/>
        <v>2.8033413309875559E-2</v>
      </c>
      <c r="K495" s="458"/>
      <c r="L495" s="457">
        <f t="shared" si="49"/>
        <v>35.671717494627096</v>
      </c>
      <c r="M495" s="443"/>
      <c r="N495" s="443"/>
    </row>
    <row r="496" spans="9:14" x14ac:dyDescent="0.2">
      <c r="I496" s="462">
        <f t="shared" si="48"/>
        <v>0.13071364795918367</v>
      </c>
      <c r="J496" s="468">
        <f t="shared" si="48"/>
        <v>6.5675637755102018E-2</v>
      </c>
      <c r="K496" s="458"/>
      <c r="L496" s="457">
        <f t="shared" si="49"/>
        <v>15.226346240121817</v>
      </c>
      <c r="M496" s="443"/>
      <c r="N496" s="443"/>
    </row>
    <row r="497" spans="9:14" x14ac:dyDescent="0.2">
      <c r="I497" s="462">
        <f t="shared" si="48"/>
        <v>4.5999999999999999E-2</v>
      </c>
      <c r="J497" s="468">
        <f t="shared" si="48"/>
        <v>0.14799999999999999</v>
      </c>
      <c r="K497" s="458"/>
      <c r="L497" s="457">
        <f t="shared" si="49"/>
        <v>6.756756756756757</v>
      </c>
      <c r="M497" s="443"/>
      <c r="N497" s="443"/>
    </row>
    <row r="498" spans="9:14" x14ac:dyDescent="0.2">
      <c r="I498" s="462">
        <f t="shared" si="48"/>
        <v>0.15612949485277217</v>
      </c>
      <c r="J498" s="468">
        <f t="shared" si="48"/>
        <v>8.7208602498503457E-2</v>
      </c>
      <c r="K498" s="458"/>
      <c r="L498" s="457">
        <f t="shared" si="49"/>
        <v>11.466758683779625</v>
      </c>
      <c r="M498" s="443"/>
      <c r="N498" s="443"/>
    </row>
    <row r="499" spans="9:14" x14ac:dyDescent="0.2">
      <c r="I499" s="462">
        <f t="shared" si="48"/>
        <v>-0.32151610007036957</v>
      </c>
      <c r="J499" s="468">
        <f t="shared" si="48"/>
        <v>0.17576213470513535</v>
      </c>
      <c r="K499" s="458"/>
      <c r="L499" s="457">
        <f t="shared" si="49"/>
        <v>5.6895075931891395</v>
      </c>
      <c r="M499" s="443"/>
      <c r="N499" s="443"/>
    </row>
    <row r="500" spans="9:14" x14ac:dyDescent="0.2">
      <c r="I500" s="462">
        <f>D449</f>
        <v>-0.01</v>
      </c>
      <c r="J500" s="468"/>
      <c r="K500" s="458"/>
      <c r="L500" s="457"/>
      <c r="M500" s="443"/>
      <c r="N500" s="443"/>
    </row>
    <row r="501" spans="9:14" x14ac:dyDescent="0.2">
      <c r="I501" s="462">
        <f>D450</f>
        <v>-0.35</v>
      </c>
      <c r="J501" s="468"/>
      <c r="K501" s="458"/>
      <c r="L501" s="457"/>
      <c r="M501" s="443"/>
      <c r="N501" s="443"/>
    </row>
    <row r="502" spans="9:14" x14ac:dyDescent="0.2">
      <c r="I502" s="462">
        <f>D451</f>
        <v>-6.0069444444444453E-2</v>
      </c>
      <c r="J502" s="468">
        <f>E449</f>
        <v>5.9171597633136102E-3</v>
      </c>
      <c r="K502" s="458"/>
      <c r="L502" s="457">
        <f>F449</f>
        <v>168.99999999999997</v>
      </c>
      <c r="M502" s="443"/>
      <c r="N502" s="443"/>
    </row>
    <row r="503" spans="9:14" x14ac:dyDescent="0.2">
      <c r="I503" s="459">
        <f>D452</f>
        <v>-0.40389417076968986</v>
      </c>
      <c r="J503" s="469">
        <f>E450</f>
        <v>6.968641114982578E-2</v>
      </c>
      <c r="K503" s="460"/>
      <c r="L503" s="461">
        <f>F450</f>
        <v>14.350000000000001</v>
      </c>
      <c r="M503" s="451"/>
      <c r="N503" s="451"/>
    </row>
    <row r="504" spans="9:14" x14ac:dyDescent="0.2">
      <c r="I504" s="462">
        <f>$D$453</f>
        <v>-1.9507778246493915E-2</v>
      </c>
      <c r="J504" s="445"/>
      <c r="K504" s="443"/>
      <c r="L504" s="443"/>
      <c r="M504" s="442">
        <v>0</v>
      </c>
      <c r="N504" s="443"/>
    </row>
    <row r="505" spans="9:14" x14ac:dyDescent="0.2">
      <c r="I505" s="463">
        <f>$D$453</f>
        <v>-1.9507778246493915E-2</v>
      </c>
      <c r="J505" s="454"/>
      <c r="K505" s="451"/>
      <c r="L505" s="451"/>
      <c r="M505" s="455">
        <f>MAX(K443:K493)</f>
        <v>1000000</v>
      </c>
      <c r="N505" s="451"/>
    </row>
    <row r="506" spans="9:14" x14ac:dyDescent="0.2">
      <c r="I506" s="462">
        <f>$D$457</f>
        <v>-5.236928355620148E-3</v>
      </c>
      <c r="J506" s="445"/>
      <c r="K506" s="443"/>
      <c r="L506" s="443"/>
      <c r="M506" s="443"/>
      <c r="N506" s="464">
        <v>0</v>
      </c>
    </row>
    <row r="507" spans="9:14" x14ac:dyDescent="0.2">
      <c r="I507" s="463">
        <f>$D$457</f>
        <v>-5.236928355620148E-3</v>
      </c>
      <c r="J507" s="454"/>
      <c r="K507" s="451"/>
      <c r="L507" s="451"/>
      <c r="M507" s="451"/>
      <c r="N507" s="455">
        <f>MAX(K443:K493)</f>
        <v>1000000</v>
      </c>
    </row>
  </sheetData>
  <pageMargins left="0.70866141732283472" right="0.70866141732283472" top="0.74803149606299213" bottom="0.74803149606299213" header="0.31496062992125984" footer="0.31496062992125984"/>
  <pageSetup paperSize="9" orientation="portrait" verticalDpi="4" r:id="rId1"/>
  <headerFooter>
    <oddHeader>&amp;L&amp;D</oddHeader>
    <oddFooter xml:space="preserve">&amp;L  &amp;G&amp;C&amp;8&amp;Z&amp;F {&amp;A}
  &amp;RSide &amp;P/&amp;N
  </oddFooter>
  </headerFooter>
  <drawing r:id="rId2"/>
  <legacyDrawingHF r:id="rId3"/>
  <picture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8244-8E18-4A09-88C5-B3F7C75AB765}">
  <sheetPr codeName="Sheet1"/>
  <dimension ref="A1:AD49"/>
  <sheetViews>
    <sheetView showGridLines="0" zoomScale="85" zoomScaleNormal="85" workbookViewId="0">
      <pane ySplit="1" topLeftCell="A2" activePane="bottomLeft" state="frozen"/>
      <selection activeCell="Q1" sqref="Q1"/>
      <selection pane="bottomLeft" activeCell="C4" sqref="C4"/>
    </sheetView>
  </sheetViews>
  <sheetFormatPr defaultColWidth="9.140625" defaultRowHeight="14.25" x14ac:dyDescent="0.3"/>
  <cols>
    <col min="1" max="1" width="1.5703125" style="3" customWidth="1"/>
    <col min="2" max="2" width="2.42578125" style="3" customWidth="1"/>
    <col min="3" max="3" width="30.28515625" style="3" customWidth="1"/>
    <col min="4" max="5" width="14.42578125" style="3" customWidth="1"/>
    <col min="6" max="7" width="9.140625" style="3" customWidth="1"/>
    <col min="8" max="8" width="9.140625" style="3"/>
    <col min="9" max="9" width="10.5703125" style="3" bestFit="1" customWidth="1"/>
    <col min="10" max="11" width="9.140625" style="3"/>
    <col min="12" max="12" width="10.85546875" style="3" bestFit="1" customWidth="1"/>
    <col min="13" max="18" width="9.140625" style="3"/>
    <col min="19" max="20" width="9.140625" style="3" customWidth="1"/>
    <col min="21" max="16384" width="9.140625" style="3"/>
  </cols>
  <sheetData>
    <row r="1" spans="1:30" s="2" customFormat="1" ht="22.5" x14ac:dyDescent="0.45">
      <c r="A1" s="1"/>
      <c r="B1"/>
      <c r="C1" t="str">
        <f ca="1">IFERROR(MID(CELL("filename",A1),FIND("]",CELL("filename",A1))+1,256),"Gem projektmappen og navngiv dit ark")</f>
        <v>Input</v>
      </c>
      <c r="D1"/>
      <c r="E1"/>
      <c r="F1"/>
      <c r="G1"/>
      <c r="H1"/>
      <c r="I1"/>
      <c r="J1"/>
      <c r="K1"/>
      <c r="L1"/>
      <c r="M1"/>
      <c r="N1"/>
      <c r="O1"/>
      <c r="P1"/>
      <c r="Q1"/>
      <c r="R1"/>
      <c r="S1"/>
      <c r="T1"/>
      <c r="U1"/>
      <c r="V1"/>
      <c r="W1"/>
      <c r="X1"/>
      <c r="Y1"/>
      <c r="Z1"/>
      <c r="AA1"/>
      <c r="AB1"/>
      <c r="AC1"/>
      <c r="AD1"/>
    </row>
    <row r="3" spans="1:30" x14ac:dyDescent="0.3">
      <c r="C3" s="5" t="s">
        <v>792</v>
      </c>
      <c r="D3" s="5" t="s">
        <v>793</v>
      </c>
      <c r="U3" s="4" t="s">
        <v>794</v>
      </c>
      <c r="X3" s="4" t="s">
        <v>795</v>
      </c>
      <c r="AA3" s="4" t="s">
        <v>33</v>
      </c>
      <c r="AD3" s="4" t="s">
        <v>796</v>
      </c>
    </row>
    <row r="4" spans="1:30" x14ac:dyDescent="0.3">
      <c r="C4" s="6" t="s">
        <v>200</v>
      </c>
      <c r="D4" s="6">
        <v>0</v>
      </c>
      <c r="F4" s="5" t="s">
        <v>797</v>
      </c>
      <c r="H4" s="5" t="s">
        <v>798</v>
      </c>
      <c r="J4" s="5" t="s">
        <v>22</v>
      </c>
      <c r="L4" s="100" t="s">
        <v>799</v>
      </c>
      <c r="N4" s="5" t="s">
        <v>800</v>
      </c>
      <c r="P4" s="5" t="s">
        <v>801</v>
      </c>
      <c r="Q4" s="5" t="s">
        <v>802</v>
      </c>
      <c r="R4" s="5" t="s">
        <v>803</v>
      </c>
      <c r="U4" s="5"/>
      <c r="V4" s="5" t="s">
        <v>804</v>
      </c>
      <c r="X4" s="100" t="s">
        <v>805</v>
      </c>
      <c r="Y4" s="5" t="s">
        <v>806</v>
      </c>
      <c r="AA4" s="5" t="s">
        <v>807</v>
      </c>
      <c r="AB4" s="5" t="s">
        <v>808</v>
      </c>
      <c r="AD4" s="5" t="s">
        <v>807</v>
      </c>
    </row>
    <row r="5" spans="1:30" x14ac:dyDescent="0.3">
      <c r="C5" s="6" t="s">
        <v>809</v>
      </c>
      <c r="D5" s="6">
        <v>0</v>
      </c>
      <c r="F5" s="6" t="s">
        <v>241</v>
      </c>
      <c r="H5" s="6" t="s">
        <v>810</v>
      </c>
      <c r="J5" s="6" t="s">
        <v>41</v>
      </c>
      <c r="L5" s="101" t="s">
        <v>42</v>
      </c>
      <c r="N5" s="6" t="s">
        <v>811</v>
      </c>
      <c r="P5" s="6" t="s">
        <v>43</v>
      </c>
      <c r="Q5" s="6">
        <v>1</v>
      </c>
      <c r="R5" t="str">
        <f>IF(Q5=1,"Verified","Unverified")</f>
        <v>Verified</v>
      </c>
      <c r="T5" s="4"/>
      <c r="U5" s="5" t="s">
        <v>812</v>
      </c>
      <c r="V5" s="181">
        <v>43982</v>
      </c>
      <c r="X5" s="101" t="s">
        <v>130</v>
      </c>
      <c r="Y5" s="6">
        <v>1</v>
      </c>
      <c r="AA5" s="6" t="s">
        <v>44</v>
      </c>
      <c r="AB5" s="6">
        <v>1</v>
      </c>
      <c r="AD5" s="6" t="s">
        <v>42</v>
      </c>
    </row>
    <row r="6" spans="1:30" x14ac:dyDescent="0.3">
      <c r="C6" s="6" t="s">
        <v>813</v>
      </c>
      <c r="D6" s="6">
        <v>0</v>
      </c>
      <c r="F6" s="6" t="s">
        <v>145</v>
      </c>
      <c r="H6" s="6" t="s">
        <v>814</v>
      </c>
      <c r="J6" s="6" t="s">
        <v>54</v>
      </c>
      <c r="L6" s="101" t="s">
        <v>50</v>
      </c>
      <c r="N6" s="6" t="s">
        <v>815</v>
      </c>
      <c r="P6" s="6" t="s">
        <v>124</v>
      </c>
      <c r="Q6" s="6">
        <v>1</v>
      </c>
      <c r="R6" t="str">
        <f t="shared" ref="R6:R14" si="0">IF(Q6=1,"Verified","Unverified")</f>
        <v>Verified</v>
      </c>
      <c r="T6" s="4"/>
      <c r="X6" s="101" t="s">
        <v>39</v>
      </c>
      <c r="Y6" s="6">
        <v>0</v>
      </c>
      <c r="AA6" s="6" t="s">
        <v>55</v>
      </c>
      <c r="AB6" s="6">
        <v>1</v>
      </c>
      <c r="AD6" s="6" t="s">
        <v>50</v>
      </c>
    </row>
    <row r="7" spans="1:30" x14ac:dyDescent="0.3">
      <c r="C7" s="6" t="s">
        <v>816</v>
      </c>
      <c r="D7" s="6">
        <v>0</v>
      </c>
      <c r="F7" s="6" t="s">
        <v>136</v>
      </c>
      <c r="H7" s="6" t="s">
        <v>817</v>
      </c>
      <c r="J7" s="6" t="s">
        <v>818</v>
      </c>
      <c r="L7" s="7" t="s">
        <v>819</v>
      </c>
      <c r="N7" s="6" t="s">
        <v>820</v>
      </c>
      <c r="P7" s="6" t="s">
        <v>129</v>
      </c>
      <c r="Q7" s="6">
        <v>1</v>
      </c>
      <c r="R7" t="str">
        <f t="shared" si="0"/>
        <v>Verified</v>
      </c>
      <c r="V7" s="18"/>
      <c r="X7" s="101" t="s">
        <v>132</v>
      </c>
      <c r="Y7" s="6">
        <v>0</v>
      </c>
      <c r="AA7" s="6" t="s">
        <v>57</v>
      </c>
      <c r="AB7" s="6">
        <v>1</v>
      </c>
      <c r="AD7" s="7"/>
    </row>
    <row r="8" spans="1:30" x14ac:dyDescent="0.3">
      <c r="C8" s="6" t="s">
        <v>821</v>
      </c>
      <c r="D8" s="6">
        <v>0</v>
      </c>
      <c r="F8" s="7" t="s">
        <v>822</v>
      </c>
      <c r="H8" s="6" t="s">
        <v>823</v>
      </c>
      <c r="J8" s="7"/>
      <c r="N8" s="6" t="s">
        <v>824</v>
      </c>
      <c r="P8" s="6" t="s">
        <v>77</v>
      </c>
      <c r="Q8" s="6">
        <v>0</v>
      </c>
      <c r="R8" t="str">
        <f t="shared" si="0"/>
        <v>Unverified</v>
      </c>
      <c r="X8" s="6" t="s">
        <v>46</v>
      </c>
      <c r="Y8" s="6">
        <v>1</v>
      </c>
      <c r="AA8" s="6" t="s">
        <v>126</v>
      </c>
      <c r="AB8" s="6">
        <v>1</v>
      </c>
    </row>
    <row r="9" spans="1:30" x14ac:dyDescent="0.3">
      <c r="C9" s="6" t="s">
        <v>56</v>
      </c>
      <c r="D9" s="6">
        <v>0</v>
      </c>
      <c r="H9" s="7" t="s">
        <v>822</v>
      </c>
      <c r="N9" s="6" t="s">
        <v>825</v>
      </c>
      <c r="P9" s="6" t="s">
        <v>123</v>
      </c>
      <c r="Q9" s="6">
        <v>0</v>
      </c>
      <c r="R9" t="str">
        <f t="shared" si="0"/>
        <v>Unverified</v>
      </c>
      <c r="X9" s="6" t="s">
        <v>201</v>
      </c>
      <c r="Y9" s="6">
        <v>1</v>
      </c>
      <c r="AA9" s="7" t="s">
        <v>48</v>
      </c>
      <c r="AB9" s="7">
        <v>0</v>
      </c>
    </row>
    <row r="10" spans="1:30" x14ac:dyDescent="0.3">
      <c r="C10" s="6" t="s">
        <v>826</v>
      </c>
      <c r="D10" s="6">
        <v>0</v>
      </c>
      <c r="N10" s="6" t="s">
        <v>827</v>
      </c>
      <c r="P10" s="6" t="s">
        <v>134</v>
      </c>
      <c r="Q10" s="6">
        <v>0</v>
      </c>
      <c r="R10" t="str">
        <f t="shared" si="0"/>
        <v>Unverified</v>
      </c>
      <c r="X10" s="7" t="s">
        <v>49</v>
      </c>
      <c r="Y10" s="7">
        <v>0</v>
      </c>
    </row>
    <row r="11" spans="1:30" x14ac:dyDescent="0.3">
      <c r="C11" s="6" t="s">
        <v>40</v>
      </c>
      <c r="D11" s="6">
        <v>1</v>
      </c>
      <c r="N11" s="6" t="s">
        <v>828</v>
      </c>
      <c r="P11" s="6" t="s">
        <v>131</v>
      </c>
      <c r="Q11" s="6">
        <v>1</v>
      </c>
      <c r="R11" t="str">
        <f t="shared" si="0"/>
        <v>Verified</v>
      </c>
      <c r="T11" s="4"/>
    </row>
    <row r="12" spans="1:30" x14ac:dyDescent="0.3">
      <c r="C12" s="6" t="s">
        <v>133</v>
      </c>
      <c r="D12" s="6">
        <v>1</v>
      </c>
      <c r="N12" s="6" t="s">
        <v>829</v>
      </c>
      <c r="P12" s="6"/>
      <c r="Q12" s="6"/>
      <c r="R12" t="str">
        <f t="shared" si="0"/>
        <v>Unverified</v>
      </c>
    </row>
    <row r="13" spans="1:30" x14ac:dyDescent="0.3">
      <c r="C13" s="6" t="s">
        <v>125</v>
      </c>
      <c r="D13" s="6">
        <v>1</v>
      </c>
      <c r="N13" s="6" t="s">
        <v>830</v>
      </c>
      <c r="P13" s="6"/>
      <c r="Q13" s="6"/>
      <c r="R13" t="str">
        <f t="shared" si="0"/>
        <v>Unverified</v>
      </c>
    </row>
    <row r="14" spans="1:30" x14ac:dyDescent="0.3">
      <c r="C14" s="6" t="s">
        <v>47</v>
      </c>
      <c r="D14" s="6">
        <v>1</v>
      </c>
      <c r="F14" s="5" t="s">
        <v>831</v>
      </c>
      <c r="G14" s="5"/>
      <c r="H14" s="98" t="s">
        <v>49</v>
      </c>
      <c r="N14" s="6" t="s">
        <v>832</v>
      </c>
      <c r="P14" s="7"/>
      <c r="Q14" s="7"/>
      <c r="R14" s="12" t="str">
        <f t="shared" si="0"/>
        <v>Unverified</v>
      </c>
    </row>
    <row r="15" spans="1:30" x14ac:dyDescent="0.3">
      <c r="C15" s="6" t="s">
        <v>53</v>
      </c>
      <c r="D15" s="6">
        <v>1</v>
      </c>
      <c r="N15" s="7" t="s">
        <v>833</v>
      </c>
    </row>
    <row r="16" spans="1:30" x14ac:dyDescent="0.3">
      <c r="C16" s="6" t="s">
        <v>128</v>
      </c>
      <c r="D16" s="6">
        <v>1</v>
      </c>
      <c r="F16" s="4" t="s">
        <v>834</v>
      </c>
    </row>
    <row r="17" spans="3:8" x14ac:dyDescent="0.3">
      <c r="C17" s="6" t="s">
        <v>835</v>
      </c>
      <c r="D17" s="6">
        <v>0</v>
      </c>
      <c r="F17" s="5" t="s">
        <v>836</v>
      </c>
      <c r="G17" s="5" t="s">
        <v>306</v>
      </c>
      <c r="H17" s="5" t="s">
        <v>837</v>
      </c>
    </row>
    <row r="18" spans="3:8" x14ac:dyDescent="0.3">
      <c r="C18" s="6" t="s">
        <v>127</v>
      </c>
      <c r="D18" s="6">
        <v>1</v>
      </c>
      <c r="F18" s="24">
        <v>0.05</v>
      </c>
      <c r="G18" s="6">
        <v>1.96</v>
      </c>
      <c r="H18" s="6" t="s">
        <v>838</v>
      </c>
    </row>
    <row r="19" spans="3:8" x14ac:dyDescent="0.3">
      <c r="C19" s="6" t="s">
        <v>839</v>
      </c>
      <c r="D19" s="6">
        <v>0</v>
      </c>
      <c r="F19" s="25">
        <v>0.01</v>
      </c>
      <c r="G19" s="7">
        <v>2.58</v>
      </c>
      <c r="H19" s="7" t="s">
        <v>840</v>
      </c>
    </row>
    <row r="20" spans="3:8" x14ac:dyDescent="0.3">
      <c r="C20" s="6" t="s">
        <v>841</v>
      </c>
      <c r="D20" s="6">
        <v>1</v>
      </c>
    </row>
    <row r="21" spans="3:8" x14ac:dyDescent="0.3">
      <c r="C21" s="6" t="s">
        <v>842</v>
      </c>
      <c r="D21" s="6">
        <v>1</v>
      </c>
    </row>
    <row r="22" spans="3:8" x14ac:dyDescent="0.3">
      <c r="C22" s="6" t="s">
        <v>843</v>
      </c>
      <c r="D22" s="6">
        <v>0</v>
      </c>
    </row>
    <row r="23" spans="3:8" x14ac:dyDescent="0.3">
      <c r="C23" s="6" t="s">
        <v>202</v>
      </c>
      <c r="D23" s="6">
        <v>0</v>
      </c>
    </row>
    <row r="24" spans="3:8" x14ac:dyDescent="0.3">
      <c r="C24" s="6" t="s">
        <v>844</v>
      </c>
      <c r="D24" s="6">
        <v>0</v>
      </c>
    </row>
    <row r="25" spans="3:8" x14ac:dyDescent="0.3">
      <c r="C25" s="6"/>
      <c r="D25" s="6"/>
    </row>
    <row r="26" spans="3:8" x14ac:dyDescent="0.3">
      <c r="C26" s="6"/>
      <c r="D26" s="6"/>
    </row>
    <row r="27" spans="3:8" x14ac:dyDescent="0.3">
      <c r="C27" s="6"/>
      <c r="D27" s="6"/>
    </row>
    <row r="28" spans="3:8" x14ac:dyDescent="0.3">
      <c r="C28" s="7"/>
      <c r="D28" s="7"/>
    </row>
    <row r="39" spans="9:9" x14ac:dyDescent="0.3">
      <c r="I39" s="15"/>
    </row>
    <row r="40" spans="9:9" x14ac:dyDescent="0.3">
      <c r="I40" s="15"/>
    </row>
    <row r="41" spans="9:9" x14ac:dyDescent="0.3">
      <c r="I41" s="15"/>
    </row>
    <row r="42" spans="9:9" x14ac:dyDescent="0.3">
      <c r="I42" s="15"/>
    </row>
    <row r="43" spans="9:9" x14ac:dyDescent="0.3">
      <c r="I43" s="15"/>
    </row>
    <row r="44" spans="9:9" x14ac:dyDescent="0.3">
      <c r="I44" s="15"/>
    </row>
    <row r="45" spans="9:9" x14ac:dyDescent="0.3">
      <c r="I45" s="15"/>
    </row>
    <row r="46" spans="9:9" x14ac:dyDescent="0.3">
      <c r="I46" s="15"/>
    </row>
    <row r="47" spans="9:9" x14ac:dyDescent="0.3">
      <c r="I47" s="15"/>
    </row>
    <row r="48" spans="9:9" x14ac:dyDescent="0.3">
      <c r="I48" s="15"/>
    </row>
    <row r="49" spans="9:9" x14ac:dyDescent="0.3">
      <c r="I49" s="15"/>
    </row>
  </sheetData>
  <sortState xmlns:xlrd2="http://schemas.microsoft.com/office/spreadsheetml/2017/richdata2" ref="H3:H33">
    <sortCondition ref="H3:H33"/>
  </sortState>
  <conditionalFormatting sqref="A1">
    <cfRule type="cellIs" dxfId="0" priority="1" operator="equal">
      <formula>0</formula>
    </cfRule>
  </conditionalFormatting>
  <pageMargins left="0.70866141732283472" right="0.70866141732283472" top="0.74803149606299213" bottom="0.74803149606299213" header="0.31496062992125984" footer="0.31496062992125984"/>
  <pageSetup paperSize="9" orientation="portrait" verticalDpi="4" r:id="rId1"/>
  <headerFooter>
    <oddHeader>&amp;L&amp;D</oddHeader>
    <oddFooter xml:space="preserve">&amp;L  &amp;G&amp;C&amp;8&amp;Z&amp;F {&amp;A}
  &amp;RSide &amp;P/&amp;N
  </oddFooter>
  </headerFooter>
  <legacyDrawingHF r:id="rId2"/>
  <pictur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7E4678A55A8841419609DB9A67A922E3" ma:contentTypeVersion="18" ma:contentTypeDescription="Opret et nyt dokument." ma:contentTypeScope="" ma:versionID="3cbfaed0d0b7661952f7312e8934a27d">
  <xsd:schema xmlns:xsd="http://www.w3.org/2001/XMLSchema" xmlns:xs="http://www.w3.org/2001/XMLSchema" xmlns:p="http://schemas.microsoft.com/office/2006/metadata/properties" xmlns:ns2="b9026cd5-e387-4bc3-80c7-befc6aae2729" xmlns:ns3="2e4014e2-c2ef-4471-9e12-3a6f874bbbc5" targetNamespace="http://schemas.microsoft.com/office/2006/metadata/properties" ma:root="true" ma:fieldsID="50094a8f32a90ac4236848d2f85f5dd0" ns2:_="" ns3:_="">
    <xsd:import namespace="b9026cd5-e387-4bc3-80c7-befc6aae2729"/>
    <xsd:import namespace="2e4014e2-c2ef-4471-9e12-3a6f874bbbc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026cd5-e387-4bc3-80c7-befc6aae27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25f9f937-afeb-4f6c-abd2-ef4b7001b8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e4014e2-c2ef-4471-9e12-3a6f874bbbc5" elementFormDefault="qualified">
    <xsd:import namespace="http://schemas.microsoft.com/office/2006/documentManagement/types"/>
    <xsd:import namespace="http://schemas.microsoft.com/office/infopath/2007/PartnerControls"/>
    <xsd:element name="SharedWithUsers" ma:index="16"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lt med detaljer" ma:internalName="SharedWithDetails" ma:readOnly="true">
      <xsd:simpleType>
        <xsd:restriction base="dms:Note">
          <xsd:maxLength value="255"/>
        </xsd:restriction>
      </xsd:simpleType>
    </xsd:element>
    <xsd:element name="TaxCatchAll" ma:index="23" nillable="true" ma:displayName="Taxonomy Catch All Column" ma:hidden="true" ma:list="{d44d8776-4e3d-4657-9c59-ced35a33713f}" ma:internalName="TaxCatchAll" ma:showField="CatchAllData" ma:web="2e4014e2-c2ef-4471-9e12-3a6f874bbb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e4014e2-c2ef-4471-9e12-3a6f874bbbc5" xsi:nil="true"/>
    <lcf76f155ced4ddcb4097134ff3c332f xmlns="b9026cd5-e387-4bc3-80c7-befc6aae2729">
      <Terms xmlns="http://schemas.microsoft.com/office/infopath/2007/PartnerControls"/>
    </lcf76f155ced4ddcb4097134ff3c332f>
    <SharedWithUsers xmlns="2e4014e2-c2ef-4471-9e12-3a6f874bbbc5">
      <UserInfo>
        <DisplayName>Gabriel Kjær-Westermann  | CEPOS |</DisplayName>
        <AccountId>440</AccountId>
        <AccountType/>
      </UserInfo>
      <UserInfo>
        <DisplayName>Jonas Herby | CEPOS |</DisplayName>
        <AccountId>17</AccountId>
        <AccountType/>
      </UserInfo>
    </SharedWithUsers>
  </documentManagement>
</p:properties>
</file>

<file path=customXml/itemProps1.xml><?xml version="1.0" encoding="utf-8"?>
<ds:datastoreItem xmlns:ds="http://schemas.openxmlformats.org/officeDocument/2006/customXml" ds:itemID="{0056ACF7-3945-425B-BE50-8DCE51219871}">
  <ds:schemaRefs>
    <ds:schemaRef ds:uri="http://schemas.microsoft.com/sharepoint/v3/contenttype/forms"/>
  </ds:schemaRefs>
</ds:datastoreItem>
</file>

<file path=customXml/itemProps2.xml><?xml version="1.0" encoding="utf-8"?>
<ds:datastoreItem xmlns:ds="http://schemas.openxmlformats.org/officeDocument/2006/customXml" ds:itemID="{AE1EA5A1-3FF8-489C-AA22-4AC986CDFB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9026cd5-e387-4bc3-80c7-befc6aae2729"/>
    <ds:schemaRef ds:uri="2e4014e2-c2ef-4471-9e12-3a6f874bb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4D20F1-AC88-4A8F-B614-E515D293EAF8}">
  <ds:schemaRefs>
    <ds:schemaRef ds:uri="http://www.w3.org/XML/1998/namespace"/>
    <ds:schemaRef ds:uri="2e4014e2-c2ef-4471-9e12-3a6f874bbbc5"/>
    <ds:schemaRef ds:uri="http://schemas.microsoft.com/office/2006/documentManagement/types"/>
    <ds:schemaRef ds:uri="b9026cd5-e387-4bc3-80c7-befc6aae2729"/>
    <ds:schemaRef ds:uri="http://purl.org/dc/elements/1.1/"/>
    <ds:schemaRef ds:uri="http://purl.org/dc/terms/"/>
    <ds:schemaRef ds:uri="http://purl.org/dc/dcmitype/"/>
    <ds:schemaRef ds:uri="http://schemas.microsoft.com/office/2006/metadata/properties"/>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Standardizing estimates</vt:lpstr>
      <vt:lpstr>Selective reporting</vt:lpstr>
      <vt:lpstr>Input</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Incentive</dc:title>
  <dc:subject/>
  <dc:creator>Jonas Herby | CEPOS |</dc:creator>
  <cp:keywords/>
  <dc:description/>
  <cp:lastModifiedBy>Jonas Herby | CEPOS |</cp:lastModifiedBy>
  <cp:revision/>
  <dcterms:created xsi:type="dcterms:W3CDTF">2008-05-16T08:48:56Z</dcterms:created>
  <dcterms:modified xsi:type="dcterms:W3CDTF">2024-10-08T07:39:54Z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0x0101007E4678A55A8841419609DB9A67A922E3</vt:lpwstr>
  </property>
  <property fmtid="{D5CDD505-2E9C-101B-9397-08002B2CF9AE}" pid="3" name="MediaServiceImageTags">
    <vt:lpwstr/>
  </property>
</Properties>
</file>