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ml.chartshapes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ml.chartshapes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theme/themeOverride17.xml" ContentType="application/vnd.openxmlformats-officedocument.themeOverride+xml"/>
  <Override PartName="/xl/drawings/drawing23.xml" ContentType="application/vnd.openxmlformats-officedocument.drawingml.chartshapes+xml"/>
  <Override PartName="/xl/charts/chart19.xml" ContentType="application/vnd.openxmlformats-officedocument.drawingml.chart+xml"/>
  <Override PartName="/xl/theme/themeOverride18.xml" ContentType="application/vnd.openxmlformats-officedocument.themeOverride+xml"/>
  <Override PartName="/xl/drawings/drawing24.xml" ContentType="application/vnd.openxmlformats-officedocument.drawingml.chartshapes+xml"/>
  <Override PartName="/xl/charts/chart20.xml" ContentType="application/vnd.openxmlformats-officedocument.drawingml.chart+xml"/>
  <Override PartName="/xl/theme/themeOverride19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theme/themeOverride20.xml" ContentType="application/vnd.openxmlformats-officedocument.themeOverride+xml"/>
  <Override PartName="/xl/drawings/drawing27.xml" ContentType="application/vnd.openxmlformats-officedocument.drawingml.chartshapes+xml"/>
  <Override PartName="/xl/charts/chart22.xml" ContentType="application/vnd.openxmlformats-officedocument.drawingml.chart+xml"/>
  <Override PartName="/xl/theme/themeOverride21.xml" ContentType="application/vnd.openxmlformats-officedocument.themeOverride+xml"/>
  <Override PartName="/xl/drawings/drawing28.xml" ContentType="application/vnd.openxmlformats-officedocument.drawingml.chartshapes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drawings/drawing29.xml" ContentType="application/vnd.openxmlformats-officedocument.drawingml.chartshapes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drawings/drawing30.xml" ContentType="application/vnd.openxmlformats-officedocument.drawingml.chartshapes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theme/themeOverride25.xml" ContentType="application/vnd.openxmlformats-officedocument.themeOverrid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theme/themeOverride26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theme/themeOverride27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theme/themeOverride28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theme/themeOverride29.xml" ContentType="application/vnd.openxmlformats-officedocument.themeOverride+xml"/>
  <Override PartName="/xl/drawings/drawing36.xml" ContentType="application/vnd.openxmlformats-officedocument.drawingml.chartshapes+xml"/>
  <Override PartName="/xl/charts/chart31.xml" ContentType="application/vnd.openxmlformats-officedocument.drawingml.chart+xml"/>
  <Override PartName="/xl/theme/themeOverride30.xml" ContentType="application/vnd.openxmlformats-officedocument.themeOverride+xml"/>
  <Override PartName="/xl/drawings/drawing37.xml" ContentType="application/vnd.openxmlformats-officedocument.drawingml.chartshapes+xml"/>
  <Override PartName="/xl/charts/chart32.xml" ContentType="application/vnd.openxmlformats-officedocument.drawingml.chart+xml"/>
  <Override PartName="/xl/theme/themeOverride31.xml" ContentType="application/vnd.openxmlformats-officedocument.themeOverride+xml"/>
  <Override PartName="/xl/drawings/drawing38.xml" ContentType="application/vnd.openxmlformats-officedocument.drawingml.chartshapes+xml"/>
  <Override PartName="/xl/charts/chart33.xml" ContentType="application/vnd.openxmlformats-officedocument.drawingml.chart+xml"/>
  <Override PartName="/xl/theme/themeOverride32.xml" ContentType="application/vnd.openxmlformats-officedocument.themeOverride+xml"/>
  <Override PartName="/xl/drawings/drawing39.xml" ContentType="application/vnd.openxmlformats-officedocument.drawingml.chartshapes+xml"/>
  <Override PartName="/xl/charts/chart34.xml" ContentType="application/vnd.openxmlformats-officedocument.drawingml.chart+xml"/>
  <Override PartName="/xl/theme/themeOverride33.xml" ContentType="application/vnd.openxmlformats-officedocument.themeOverride+xml"/>
  <Override PartName="/xl/drawings/drawing40.xml" ContentType="application/vnd.openxmlformats-officedocument.drawingml.chartshapes+xml"/>
  <Override PartName="/xl/charts/chart35.xml" ContentType="application/vnd.openxmlformats-officedocument.drawingml.chart+xml"/>
  <Override PartName="/xl/theme/themeOverride34.xml" ContentType="application/vnd.openxmlformats-officedocument.themeOverride+xml"/>
  <Override PartName="/xl/drawings/drawing41.xml" ContentType="application/vnd.openxmlformats-officedocument.drawingml.chartshapes+xml"/>
  <Override PartName="/xl/charts/chart36.xml" ContentType="application/vnd.openxmlformats-officedocument.drawingml.chart+xml"/>
  <Override PartName="/xl/theme/themeOverride35.xml" ContentType="application/vnd.openxmlformats-officedocument.themeOverride+xml"/>
  <Override PartName="/xl/drawings/drawing42.xml" ContentType="application/vnd.openxmlformats-officedocument.drawingml.chartshapes+xml"/>
  <Override PartName="/xl/charts/chart37.xml" ContentType="application/vnd.openxmlformats-officedocument.drawingml.chart+xml"/>
  <Override PartName="/xl/theme/themeOverride36.xml" ContentType="application/vnd.openxmlformats-officedocument.themeOverride+xml"/>
  <Override PartName="/xl/drawings/drawing43.xml" ContentType="application/vnd.openxmlformats-officedocument.drawingml.chartshapes+xml"/>
  <Override PartName="/xl/charts/chart38.xml" ContentType="application/vnd.openxmlformats-officedocument.drawingml.chart+xml"/>
  <Override PartName="/xl/theme/themeOverride37.xml" ContentType="application/vnd.openxmlformats-officedocument.themeOverride+xml"/>
  <Override PartName="/xl/drawings/drawing44.xml" ContentType="application/vnd.openxmlformats-officedocument.drawingml.chartshapes+xml"/>
  <Override PartName="/xl/charts/chart39.xml" ContentType="application/vnd.openxmlformats-officedocument.drawingml.chart+xml"/>
  <Override PartName="/xl/theme/themeOverride38.xml" ContentType="application/vnd.openxmlformats-officedocument.themeOverride+xml"/>
  <Override PartName="/xl/drawings/drawing45.xml" ContentType="application/vnd.openxmlformats-officedocument.drawingml.chartshapes+xml"/>
  <Override PartName="/xl/charts/chart40.xml" ContentType="application/vnd.openxmlformats-officedocument.drawingml.chart+xml"/>
  <Override PartName="/xl/theme/themeOverride39.xml" ContentType="application/vnd.openxmlformats-officedocument.themeOverride+xml"/>
  <Override PartName="/xl/drawings/drawing46.xml" ContentType="application/vnd.openxmlformats-officedocument.drawingml.chartshapes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charts/chart42.xml" ContentType="application/vnd.openxmlformats-officedocument.drawingml.chart+xml"/>
  <Override PartName="/xl/theme/themeOverride40.xml" ContentType="application/vnd.openxmlformats-officedocument.themeOverride+xml"/>
  <Override PartName="/xl/drawings/drawing4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365-my.sharepoint.com/personal/earpwjg_leeds_ac_uk/Documents/Backup/COMMS/PUBLICATIONS/GLOVER/EKTemp/EKTemp2025/TIPM EK 26/"/>
    </mc:Choice>
  </mc:AlternateContent>
  <xr:revisionPtr revIDLastSave="0" documentId="8_{CED3E77C-5543-4CDE-AE1D-FAC8D947060E}" xr6:coauthVersionLast="47" xr6:coauthVersionMax="47" xr10:uidLastSave="{00000000-0000-0000-0000-000000000000}"/>
  <bookViews>
    <workbookView xWindow="-110" yWindow="-110" windowWidth="19420" windowHeight="10300" tabRatio="782" xr2:uid="{00000000-000D-0000-FFFF-FFFF00000000}"/>
  </bookViews>
  <sheets>
    <sheet name="EK Model" sheetId="62" r:id="rId1"/>
    <sheet name="Control" sheetId="44" r:id="rId2"/>
    <sheet name="1e-5M" sheetId="36" r:id="rId3"/>
    <sheet name="0.0001M" sheetId="37" r:id="rId4"/>
    <sheet name="0.001M" sheetId="34" r:id="rId5"/>
    <sheet name="0.01M" sheetId="38" r:id="rId6"/>
    <sheet name="0.1M" sheetId="43" r:id="rId7"/>
    <sheet name="0.5M" sheetId="39" r:id="rId8"/>
    <sheet name="1M" sheetId="40" r:id="rId9"/>
    <sheet name="Fig1" sheetId="46" r:id="rId10"/>
    <sheet name="Fig2" sheetId="47" r:id="rId11"/>
    <sheet name="Fig3" sheetId="60" r:id="rId12"/>
    <sheet name="Vinogradov0.5M" sheetId="41" r:id="rId13"/>
    <sheet name="Vinogradov0.01M" sheetId="42" r:id="rId14"/>
    <sheet name="Supplementary Graphs" sheetId="35" r:id="rId15"/>
    <sheet name="Sensitivity" sheetId="48" r:id="rId16"/>
    <sheet name="pH Calculator" sheetId="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0" l="1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8" i="34"/>
  <c r="G7" i="34"/>
  <c r="G6" i="34"/>
  <c r="G5" i="34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5" i="36"/>
  <c r="H5" i="36"/>
  <c r="I5" i="36" s="1"/>
  <c r="C19" i="48"/>
  <c r="C18" i="48"/>
  <c r="C17" i="48"/>
  <c r="C16" i="48"/>
  <c r="C15" i="48"/>
  <c r="C14" i="48"/>
  <c r="C13" i="48"/>
  <c r="B30" i="44" l="1"/>
  <c r="B23" i="44"/>
  <c r="B22" i="44"/>
  <c r="B20" i="44"/>
  <c r="B18" i="44"/>
  <c r="B25" i="44"/>
  <c r="B14" i="44"/>
  <c r="P43" i="36" l="1"/>
  <c r="P42" i="36"/>
  <c r="P42" i="37"/>
  <c r="P43" i="37"/>
  <c r="P42" i="34"/>
  <c r="P43" i="34"/>
  <c r="P42" i="38"/>
  <c r="P43" i="38"/>
  <c r="P42" i="43"/>
  <c r="P43" i="43"/>
  <c r="P42" i="39"/>
  <c r="P43" i="39"/>
  <c r="P42" i="40"/>
  <c r="P43" i="40"/>
  <c r="T37" i="39"/>
  <c r="XFD6" i="46" l="1"/>
  <c r="P41" i="36"/>
  <c r="P41" i="37"/>
  <c r="P41" i="34"/>
  <c r="P41" i="43"/>
  <c r="P41" i="39"/>
  <c r="P41" i="40"/>
  <c r="B37" i="39" l="1"/>
  <c r="B38" i="39"/>
  <c r="P41" i="38" l="1"/>
  <c r="N5" i="38" l="1"/>
  <c r="D5" i="38" l="1"/>
  <c r="D7" i="38"/>
  <c r="D9" i="38"/>
  <c r="D6" i="38"/>
  <c r="D8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AV38" i="43" l="1"/>
  <c r="AV37" i="43"/>
  <c r="B31" i="40" l="1"/>
  <c r="B31" i="39"/>
  <c r="B31" i="43"/>
  <c r="B31" i="34"/>
  <c r="B31" i="37"/>
  <c r="B31" i="36"/>
  <c r="B31" i="38"/>
  <c r="A9" i="48"/>
  <c r="A8" i="48"/>
  <c r="A7" i="48"/>
  <c r="A6" i="48"/>
  <c r="A5" i="48"/>
  <c r="A4" i="48"/>
  <c r="A3" i="48"/>
  <c r="AS38" i="40"/>
  <c r="AR38" i="40"/>
  <c r="AQ38" i="40"/>
  <c r="AP38" i="40"/>
  <c r="AO38" i="40"/>
  <c r="AM38" i="40"/>
  <c r="AL38" i="40"/>
  <c r="AK38" i="40"/>
  <c r="AI38" i="40"/>
  <c r="AH38" i="40"/>
  <c r="AG38" i="40"/>
  <c r="AF38" i="40"/>
  <c r="AE38" i="40"/>
  <c r="AD38" i="40"/>
  <c r="AC38" i="40"/>
  <c r="AB38" i="40"/>
  <c r="AA38" i="40"/>
  <c r="Z38" i="40"/>
  <c r="X38" i="40"/>
  <c r="W38" i="40"/>
  <c r="V38" i="40"/>
  <c r="U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AS38" i="39"/>
  <c r="AR38" i="39"/>
  <c r="AQ38" i="39"/>
  <c r="AP38" i="39"/>
  <c r="AO38" i="39"/>
  <c r="AM38" i="39"/>
  <c r="AL38" i="39"/>
  <c r="AK38" i="39"/>
  <c r="AI38" i="39"/>
  <c r="AH38" i="39"/>
  <c r="AG38" i="39"/>
  <c r="AF38" i="39"/>
  <c r="AE38" i="39"/>
  <c r="AD38" i="39"/>
  <c r="AC38" i="39"/>
  <c r="AB38" i="39"/>
  <c r="AA38" i="39"/>
  <c r="Z38" i="39"/>
  <c r="X38" i="39"/>
  <c r="W38" i="39"/>
  <c r="V38" i="39"/>
  <c r="U38" i="39"/>
  <c r="S38" i="39"/>
  <c r="R38" i="39"/>
  <c r="Q38" i="39"/>
  <c r="P38" i="39"/>
  <c r="O38" i="39"/>
  <c r="N38" i="39"/>
  <c r="M38" i="39"/>
  <c r="L38" i="39"/>
  <c r="K38" i="39"/>
  <c r="J38" i="39"/>
  <c r="I38" i="39"/>
  <c r="H38" i="39"/>
  <c r="G38" i="39"/>
  <c r="AS38" i="43"/>
  <c r="AR38" i="43"/>
  <c r="AQ38" i="43"/>
  <c r="AP38" i="43"/>
  <c r="AO38" i="43"/>
  <c r="AM38" i="43"/>
  <c r="AL38" i="43"/>
  <c r="AK38" i="43"/>
  <c r="AI38" i="43"/>
  <c r="AH38" i="43"/>
  <c r="AG38" i="43"/>
  <c r="AF38" i="43"/>
  <c r="AE38" i="43"/>
  <c r="AD38" i="43"/>
  <c r="AC38" i="43"/>
  <c r="AB38" i="43"/>
  <c r="AA38" i="43"/>
  <c r="Z38" i="43"/>
  <c r="X38" i="43"/>
  <c r="W38" i="43"/>
  <c r="V38" i="43"/>
  <c r="U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AS38" i="34"/>
  <c r="AR38" i="34"/>
  <c r="AQ38" i="34"/>
  <c r="AP38" i="34"/>
  <c r="AO38" i="34"/>
  <c r="AM38" i="34"/>
  <c r="AL38" i="34"/>
  <c r="AK38" i="34"/>
  <c r="AI38" i="34"/>
  <c r="AH38" i="34"/>
  <c r="AG38" i="34"/>
  <c r="AF38" i="34"/>
  <c r="AE38" i="34"/>
  <c r="AD38" i="34"/>
  <c r="AC38" i="34"/>
  <c r="AB38" i="34"/>
  <c r="AA38" i="34"/>
  <c r="Z38" i="34"/>
  <c r="X38" i="34"/>
  <c r="W38" i="34"/>
  <c r="V38" i="34"/>
  <c r="U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AT38" i="37"/>
  <c r="AS38" i="37"/>
  <c r="AR38" i="37"/>
  <c r="AQ38" i="37"/>
  <c r="AP38" i="37"/>
  <c r="AN38" i="37"/>
  <c r="AM38" i="37"/>
  <c r="AL38" i="37"/>
  <c r="AJ38" i="37"/>
  <c r="AI38" i="37"/>
  <c r="AH38" i="37"/>
  <c r="AG38" i="37"/>
  <c r="AF38" i="37"/>
  <c r="AE38" i="37"/>
  <c r="AD38" i="37"/>
  <c r="AC38" i="37"/>
  <c r="AB38" i="37"/>
  <c r="AA38" i="37"/>
  <c r="X38" i="37"/>
  <c r="W38" i="37"/>
  <c r="V38" i="37"/>
  <c r="U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AS38" i="36"/>
  <c r="AR38" i="36"/>
  <c r="AQ38" i="36"/>
  <c r="AP38" i="36"/>
  <c r="AO38" i="36"/>
  <c r="AM38" i="36"/>
  <c r="AL38" i="36"/>
  <c r="AK38" i="36"/>
  <c r="AI38" i="36"/>
  <c r="AH38" i="36"/>
  <c r="AG38" i="36"/>
  <c r="AF38" i="36"/>
  <c r="AE38" i="36"/>
  <c r="AD38" i="36"/>
  <c r="AC38" i="36"/>
  <c r="AB38" i="36"/>
  <c r="AA38" i="36"/>
  <c r="Z38" i="36"/>
  <c r="X38" i="36"/>
  <c r="W38" i="36"/>
  <c r="V38" i="36"/>
  <c r="U38" i="36"/>
  <c r="S38" i="36"/>
  <c r="R38" i="36"/>
  <c r="Q38" i="36"/>
  <c r="P38" i="36"/>
  <c r="O38" i="36"/>
  <c r="N38" i="36"/>
  <c r="M38" i="36"/>
  <c r="L38" i="36"/>
  <c r="K38" i="36"/>
  <c r="J38" i="36"/>
  <c r="I38" i="36"/>
  <c r="H38" i="36"/>
  <c r="G38" i="36"/>
  <c r="H38" i="38"/>
  <c r="I38" i="38"/>
  <c r="J38" i="38"/>
  <c r="K38" i="38"/>
  <c r="L38" i="38"/>
  <c r="M38" i="38"/>
  <c r="N38" i="38"/>
  <c r="O38" i="38"/>
  <c r="P38" i="38"/>
  <c r="Q38" i="38"/>
  <c r="R38" i="38"/>
  <c r="S38" i="38"/>
  <c r="U38" i="38"/>
  <c r="V38" i="38"/>
  <c r="W38" i="38"/>
  <c r="X38" i="38"/>
  <c r="Z38" i="38"/>
  <c r="AA38" i="38"/>
  <c r="AB38" i="38"/>
  <c r="AC38" i="38"/>
  <c r="AD38" i="38"/>
  <c r="AE38" i="38"/>
  <c r="AF38" i="38"/>
  <c r="AG38" i="38"/>
  <c r="AH38" i="38"/>
  <c r="AI38" i="38"/>
  <c r="AK38" i="38"/>
  <c r="AL38" i="38"/>
  <c r="AM38" i="38"/>
  <c r="AO38" i="38"/>
  <c r="AP38" i="38"/>
  <c r="AQ38" i="38"/>
  <c r="AR38" i="38"/>
  <c r="AS38" i="38"/>
  <c r="G38" i="38"/>
  <c r="P5" i="38" l="1"/>
  <c r="P4" i="43"/>
  <c r="P4" i="40"/>
  <c r="P4" i="39"/>
  <c r="M5" i="38"/>
  <c r="F6" i="38" l="1"/>
  <c r="F7" i="38"/>
  <c r="F8" i="38"/>
  <c r="F9" i="38"/>
  <c r="F10" i="38"/>
  <c r="F11" i="38"/>
  <c r="F12" i="38"/>
  <c r="B49" i="44" l="1"/>
  <c r="B50" i="44"/>
  <c r="B46" i="44"/>
  <c r="C46" i="44"/>
  <c r="D46" i="44"/>
  <c r="E46" i="44"/>
  <c r="F46" i="44"/>
  <c r="B47" i="44"/>
  <c r="C47" i="44"/>
  <c r="B48" i="44"/>
  <c r="C48" i="44"/>
  <c r="D48" i="44"/>
  <c r="E48" i="44"/>
  <c r="C49" i="44"/>
  <c r="D49" i="44"/>
  <c r="E49" i="44"/>
  <c r="C50" i="44"/>
  <c r="D50" i="44"/>
  <c r="E50" i="44"/>
  <c r="B51" i="44"/>
  <c r="C51" i="44"/>
  <c r="D51" i="44"/>
  <c r="E51" i="44"/>
  <c r="A48" i="44"/>
  <c r="A49" i="44"/>
  <c r="A50" i="44"/>
  <c r="A51" i="44"/>
  <c r="F27" i="42"/>
  <c r="F49" i="44" s="1"/>
  <c r="F28" i="42"/>
  <c r="F50" i="44" s="1"/>
  <c r="F29" i="42"/>
  <c r="F51" i="44" s="1"/>
  <c r="F26" i="42"/>
  <c r="F48" i="44" s="1"/>
  <c r="B39" i="40" l="1"/>
  <c r="B37" i="40"/>
  <c r="B36" i="40"/>
  <c r="B34" i="40"/>
  <c r="B33" i="40"/>
  <c r="B32" i="40"/>
  <c r="B30" i="40"/>
  <c r="AF35" i="40" s="1"/>
  <c r="B29" i="40"/>
  <c r="AL31" i="40" s="1"/>
  <c r="B27" i="40"/>
  <c r="B28" i="40" s="1"/>
  <c r="B25" i="40"/>
  <c r="B26" i="40" s="1"/>
  <c r="B24" i="40"/>
  <c r="B20" i="40"/>
  <c r="B19" i="40"/>
  <c r="B18" i="40"/>
  <c r="B17" i="40"/>
  <c r="B39" i="39"/>
  <c r="B36" i="39"/>
  <c r="B34" i="39"/>
  <c r="B33" i="39"/>
  <c r="B32" i="39"/>
  <c r="B30" i="39"/>
  <c r="AF33" i="39" s="1"/>
  <c r="B29" i="39"/>
  <c r="AL33" i="39" s="1"/>
  <c r="B27" i="39"/>
  <c r="B28" i="39" s="1"/>
  <c r="B25" i="39"/>
  <c r="B26" i="39" s="1"/>
  <c r="B24" i="39"/>
  <c r="B20" i="39"/>
  <c r="B19" i="39"/>
  <c r="B18" i="39"/>
  <c r="B17" i="39"/>
  <c r="B39" i="43"/>
  <c r="B37" i="43"/>
  <c r="B36" i="43"/>
  <c r="B34" i="43"/>
  <c r="B33" i="43"/>
  <c r="B32" i="43"/>
  <c r="B30" i="43"/>
  <c r="AF35" i="43" s="1"/>
  <c r="B29" i="43"/>
  <c r="AL31" i="43" s="1"/>
  <c r="B27" i="43"/>
  <c r="B28" i="43" s="1"/>
  <c r="B25" i="43"/>
  <c r="B26" i="43" s="1"/>
  <c r="B24" i="43"/>
  <c r="B20" i="43"/>
  <c r="B19" i="43"/>
  <c r="B18" i="43"/>
  <c r="B17" i="43"/>
  <c r="B39" i="38"/>
  <c r="B37" i="38"/>
  <c r="B36" i="38"/>
  <c r="B34" i="38"/>
  <c r="B33" i="38"/>
  <c r="B32" i="38"/>
  <c r="B30" i="38"/>
  <c r="AF34" i="38" s="1"/>
  <c r="B29" i="38"/>
  <c r="AL35" i="38" s="1"/>
  <c r="B27" i="38"/>
  <c r="B28" i="38" s="1"/>
  <c r="B25" i="38"/>
  <c r="B26" i="38" s="1"/>
  <c r="B24" i="38"/>
  <c r="B20" i="38"/>
  <c r="B19" i="38"/>
  <c r="B18" i="38"/>
  <c r="B17" i="38"/>
  <c r="B39" i="34"/>
  <c r="B37" i="34"/>
  <c r="B36" i="34"/>
  <c r="B34" i="34"/>
  <c r="B33" i="34"/>
  <c r="B32" i="34"/>
  <c r="B30" i="34"/>
  <c r="B29" i="34"/>
  <c r="AL7" i="34" s="1"/>
  <c r="B27" i="34"/>
  <c r="B28" i="34" s="1"/>
  <c r="B25" i="34"/>
  <c r="B26" i="34" s="1"/>
  <c r="B24" i="34"/>
  <c r="B20" i="34"/>
  <c r="B19" i="34"/>
  <c r="B18" i="34"/>
  <c r="B17" i="34"/>
  <c r="B39" i="37"/>
  <c r="B37" i="37"/>
  <c r="B36" i="37"/>
  <c r="B34" i="37"/>
  <c r="B33" i="37"/>
  <c r="B32" i="37"/>
  <c r="B30" i="37"/>
  <c r="AG31" i="37" s="1"/>
  <c r="B29" i="37"/>
  <c r="AM31" i="37" s="1"/>
  <c r="B27" i="37"/>
  <c r="B28" i="37" s="1"/>
  <c r="B25" i="37"/>
  <c r="B26" i="37" s="1"/>
  <c r="B24" i="37"/>
  <c r="B20" i="37"/>
  <c r="B19" i="37"/>
  <c r="B18" i="37"/>
  <c r="B17" i="37"/>
  <c r="B37" i="36"/>
  <c r="B36" i="36"/>
  <c r="B34" i="36"/>
  <c r="B33" i="36"/>
  <c r="B32" i="36"/>
  <c r="B30" i="36"/>
  <c r="AF32" i="36" s="1"/>
  <c r="B29" i="36"/>
  <c r="AL32" i="36" s="1"/>
  <c r="B27" i="36"/>
  <c r="B28" i="36" s="1"/>
  <c r="B25" i="36"/>
  <c r="B26" i="36" s="1"/>
  <c r="B20" i="36"/>
  <c r="B19" i="36"/>
  <c r="B18" i="36"/>
  <c r="B17" i="36"/>
  <c r="B32" i="44"/>
  <c r="B28" i="44"/>
  <c r="B21" i="44"/>
  <c r="B19" i="44"/>
  <c r="B9" i="44"/>
  <c r="B8" i="44"/>
  <c r="B8" i="43" s="1"/>
  <c r="B7" i="44"/>
  <c r="B6" i="44"/>
  <c r="B6" i="40" s="1"/>
  <c r="N35" i="43"/>
  <c r="P35" i="43" s="1"/>
  <c r="M35" i="43"/>
  <c r="M37" i="43" s="1"/>
  <c r="K35" i="43"/>
  <c r="F35" i="43"/>
  <c r="N34" i="43"/>
  <c r="P34" i="43" s="1"/>
  <c r="M34" i="43"/>
  <c r="H34" i="43"/>
  <c r="J34" i="43" s="1"/>
  <c r="L34" i="43" s="1"/>
  <c r="F34" i="43"/>
  <c r="K34" i="43" s="1"/>
  <c r="N33" i="43"/>
  <c r="P33" i="43" s="1"/>
  <c r="M33" i="43"/>
  <c r="H33" i="43"/>
  <c r="J33" i="43" s="1"/>
  <c r="L33" i="43" s="1"/>
  <c r="F33" i="43"/>
  <c r="K33" i="43" s="1"/>
  <c r="N32" i="43"/>
  <c r="P32" i="43" s="1"/>
  <c r="M32" i="43"/>
  <c r="H32" i="43"/>
  <c r="J32" i="43" s="1"/>
  <c r="L32" i="43" s="1"/>
  <c r="F32" i="43"/>
  <c r="K32" i="43" s="1"/>
  <c r="N31" i="43"/>
  <c r="P31" i="43" s="1"/>
  <c r="M31" i="43"/>
  <c r="H31" i="43"/>
  <c r="F31" i="43"/>
  <c r="K31" i="43" s="1"/>
  <c r="N30" i="43"/>
  <c r="P30" i="43" s="1"/>
  <c r="M30" i="43"/>
  <c r="H30" i="43"/>
  <c r="J30" i="43" s="1"/>
  <c r="L30" i="43" s="1"/>
  <c r="F30" i="43"/>
  <c r="N29" i="43"/>
  <c r="P29" i="43" s="1"/>
  <c r="M29" i="43"/>
  <c r="H29" i="43"/>
  <c r="F29" i="43"/>
  <c r="N28" i="43"/>
  <c r="P28" i="43" s="1"/>
  <c r="M28" i="43"/>
  <c r="H28" i="43"/>
  <c r="J28" i="43" s="1"/>
  <c r="L28" i="43" s="1"/>
  <c r="F28" i="43"/>
  <c r="N27" i="43"/>
  <c r="P27" i="43" s="1"/>
  <c r="M27" i="43"/>
  <c r="H27" i="43"/>
  <c r="I27" i="43" s="1"/>
  <c r="F27" i="43"/>
  <c r="N26" i="43"/>
  <c r="P26" i="43" s="1"/>
  <c r="M26" i="43"/>
  <c r="H26" i="43"/>
  <c r="I26" i="43" s="1"/>
  <c r="F26" i="43"/>
  <c r="K26" i="43" s="1"/>
  <c r="Q25" i="43"/>
  <c r="R25" i="43" s="1"/>
  <c r="O25" i="43"/>
  <c r="N25" i="43"/>
  <c r="P25" i="43" s="1"/>
  <c r="M25" i="43"/>
  <c r="H25" i="43"/>
  <c r="J25" i="43" s="1"/>
  <c r="L25" i="43" s="1"/>
  <c r="F25" i="43"/>
  <c r="K25" i="43" s="1"/>
  <c r="N24" i="43"/>
  <c r="P24" i="43" s="1"/>
  <c r="M24" i="43"/>
  <c r="H24" i="43"/>
  <c r="F24" i="43"/>
  <c r="K24" i="43" s="1"/>
  <c r="N23" i="43"/>
  <c r="P23" i="43" s="1"/>
  <c r="M23" i="43"/>
  <c r="H23" i="43"/>
  <c r="F23" i="43"/>
  <c r="K23" i="43" s="1"/>
  <c r="N22" i="43"/>
  <c r="P22" i="43" s="1"/>
  <c r="M22" i="43"/>
  <c r="H22" i="43"/>
  <c r="J22" i="43" s="1"/>
  <c r="L22" i="43" s="1"/>
  <c r="F22" i="43"/>
  <c r="K22" i="43" s="1"/>
  <c r="N21" i="43"/>
  <c r="P21" i="43" s="1"/>
  <c r="M21" i="43"/>
  <c r="H21" i="43"/>
  <c r="J21" i="43" s="1"/>
  <c r="L21" i="43" s="1"/>
  <c r="F21" i="43"/>
  <c r="K21" i="43" s="1"/>
  <c r="N20" i="43"/>
  <c r="P20" i="43" s="1"/>
  <c r="M20" i="43"/>
  <c r="H20" i="43"/>
  <c r="F20" i="43"/>
  <c r="K20" i="43" s="1"/>
  <c r="N19" i="43"/>
  <c r="P19" i="43" s="1"/>
  <c r="M19" i="43"/>
  <c r="H19" i="43"/>
  <c r="I19" i="43" s="1"/>
  <c r="F19" i="43"/>
  <c r="N18" i="43"/>
  <c r="P18" i="43" s="1"/>
  <c r="M18" i="43"/>
  <c r="H18" i="43"/>
  <c r="I18" i="43" s="1"/>
  <c r="F18" i="43"/>
  <c r="O17" i="43"/>
  <c r="N17" i="43"/>
  <c r="P17" i="43" s="1"/>
  <c r="M17" i="43"/>
  <c r="H17" i="43"/>
  <c r="I17" i="43" s="1"/>
  <c r="F17" i="43"/>
  <c r="N16" i="43"/>
  <c r="P16" i="43" s="1"/>
  <c r="M16" i="43"/>
  <c r="H16" i="43"/>
  <c r="F16" i="43"/>
  <c r="N15" i="43"/>
  <c r="P15" i="43" s="1"/>
  <c r="M15" i="43"/>
  <c r="H15" i="43"/>
  <c r="I15" i="43" s="1"/>
  <c r="F15" i="43"/>
  <c r="N14" i="43"/>
  <c r="P14" i="43" s="1"/>
  <c r="M14" i="43"/>
  <c r="H14" i="43"/>
  <c r="I14" i="43" s="1"/>
  <c r="F14" i="43"/>
  <c r="N13" i="43"/>
  <c r="P13" i="43" s="1"/>
  <c r="M13" i="43"/>
  <c r="H13" i="43"/>
  <c r="I13" i="43" s="1"/>
  <c r="F13" i="43"/>
  <c r="N12" i="43"/>
  <c r="P12" i="43" s="1"/>
  <c r="M12" i="43"/>
  <c r="H12" i="43"/>
  <c r="F12" i="43"/>
  <c r="N11" i="43"/>
  <c r="P11" i="43" s="1"/>
  <c r="M11" i="43"/>
  <c r="H11" i="43"/>
  <c r="F11" i="43"/>
  <c r="N10" i="43"/>
  <c r="P10" i="43" s="1"/>
  <c r="M10" i="43"/>
  <c r="H10" i="43"/>
  <c r="F10" i="43"/>
  <c r="N9" i="43"/>
  <c r="P9" i="43" s="1"/>
  <c r="M9" i="43"/>
  <c r="H9" i="43"/>
  <c r="F9" i="43"/>
  <c r="Q8" i="43"/>
  <c r="R8" i="43" s="1"/>
  <c r="O8" i="43"/>
  <c r="N8" i="43"/>
  <c r="P8" i="43" s="1"/>
  <c r="M8" i="43"/>
  <c r="H8" i="43"/>
  <c r="F8" i="43"/>
  <c r="K8" i="43" s="1"/>
  <c r="N7" i="43"/>
  <c r="P7" i="43" s="1"/>
  <c r="M7" i="43"/>
  <c r="H7" i="43"/>
  <c r="J7" i="43" s="1"/>
  <c r="L7" i="43" s="1"/>
  <c r="F7" i="43"/>
  <c r="K7" i="43" s="1"/>
  <c r="N6" i="43"/>
  <c r="P6" i="43" s="1"/>
  <c r="M6" i="43"/>
  <c r="H6" i="43"/>
  <c r="I6" i="43" s="1"/>
  <c r="F6" i="43"/>
  <c r="K6" i="43" s="1"/>
  <c r="N5" i="43"/>
  <c r="P5" i="43" s="1"/>
  <c r="M5" i="43"/>
  <c r="H5" i="43"/>
  <c r="I5" i="43" s="1"/>
  <c r="F5" i="43"/>
  <c r="N35" i="40"/>
  <c r="P35" i="40" s="1"/>
  <c r="M35" i="40"/>
  <c r="H35" i="40"/>
  <c r="F35" i="40"/>
  <c r="K35" i="40" s="1"/>
  <c r="N34" i="40"/>
  <c r="P34" i="40" s="1"/>
  <c r="M34" i="40"/>
  <c r="H34" i="40"/>
  <c r="J34" i="40" s="1"/>
  <c r="L34" i="40" s="1"/>
  <c r="F34" i="40"/>
  <c r="K34" i="40" s="1"/>
  <c r="N33" i="40"/>
  <c r="P33" i="40" s="1"/>
  <c r="M33" i="40"/>
  <c r="H33" i="40"/>
  <c r="J33" i="40" s="1"/>
  <c r="L33" i="40" s="1"/>
  <c r="F33" i="40"/>
  <c r="K33" i="40" s="1"/>
  <c r="N32" i="40"/>
  <c r="P32" i="40" s="1"/>
  <c r="M32" i="40"/>
  <c r="H32" i="40"/>
  <c r="J32" i="40" s="1"/>
  <c r="L32" i="40" s="1"/>
  <c r="F32" i="40"/>
  <c r="K32" i="40" s="1"/>
  <c r="N31" i="40"/>
  <c r="P31" i="40" s="1"/>
  <c r="M31" i="40"/>
  <c r="H31" i="40"/>
  <c r="J31" i="40" s="1"/>
  <c r="L31" i="40" s="1"/>
  <c r="F31" i="40"/>
  <c r="K31" i="40" s="1"/>
  <c r="N30" i="40"/>
  <c r="P30" i="40" s="1"/>
  <c r="M30" i="40"/>
  <c r="H30" i="40"/>
  <c r="I30" i="40" s="1"/>
  <c r="F30" i="40"/>
  <c r="N29" i="40"/>
  <c r="P29" i="40" s="1"/>
  <c r="M29" i="40"/>
  <c r="J29" i="40"/>
  <c r="L29" i="40" s="1"/>
  <c r="H29" i="40"/>
  <c r="I29" i="40" s="1"/>
  <c r="F29" i="40"/>
  <c r="N28" i="40"/>
  <c r="P28" i="40" s="1"/>
  <c r="M28" i="40"/>
  <c r="H28" i="40"/>
  <c r="F28" i="40"/>
  <c r="N27" i="40"/>
  <c r="P27" i="40" s="1"/>
  <c r="M27" i="40"/>
  <c r="H27" i="40"/>
  <c r="F27" i="40"/>
  <c r="K27" i="40" s="1"/>
  <c r="N26" i="40"/>
  <c r="P26" i="40" s="1"/>
  <c r="Q26" i="40" s="1"/>
  <c r="R26" i="40" s="1"/>
  <c r="M26" i="40"/>
  <c r="H26" i="40"/>
  <c r="F26" i="40"/>
  <c r="N25" i="40"/>
  <c r="M25" i="40"/>
  <c r="H25" i="40"/>
  <c r="J25" i="40" s="1"/>
  <c r="L25" i="40" s="1"/>
  <c r="F25" i="40"/>
  <c r="K25" i="40" s="1"/>
  <c r="N24" i="40"/>
  <c r="P24" i="40" s="1"/>
  <c r="M24" i="40"/>
  <c r="H24" i="40"/>
  <c r="J24" i="40" s="1"/>
  <c r="L24" i="40" s="1"/>
  <c r="F24" i="40"/>
  <c r="K24" i="40" s="1"/>
  <c r="N23" i="40"/>
  <c r="P23" i="40" s="1"/>
  <c r="M23" i="40"/>
  <c r="H23" i="40"/>
  <c r="J23" i="40" s="1"/>
  <c r="L23" i="40" s="1"/>
  <c r="F23" i="40"/>
  <c r="K23" i="40" s="1"/>
  <c r="N22" i="40"/>
  <c r="P22" i="40" s="1"/>
  <c r="M22" i="40"/>
  <c r="H22" i="40"/>
  <c r="J22" i="40" s="1"/>
  <c r="L22" i="40" s="1"/>
  <c r="F22" i="40"/>
  <c r="K22" i="40" s="1"/>
  <c r="N21" i="40"/>
  <c r="P21" i="40" s="1"/>
  <c r="M21" i="40"/>
  <c r="H21" i="40"/>
  <c r="I21" i="40" s="1"/>
  <c r="F21" i="40"/>
  <c r="K21" i="40" s="1"/>
  <c r="N20" i="40"/>
  <c r="P20" i="40" s="1"/>
  <c r="M20" i="40"/>
  <c r="H20" i="40"/>
  <c r="I20" i="40" s="1"/>
  <c r="F20" i="40"/>
  <c r="K20" i="40" s="1"/>
  <c r="N19" i="40"/>
  <c r="P19" i="40" s="1"/>
  <c r="M19" i="40"/>
  <c r="H19" i="40"/>
  <c r="I19" i="40" s="1"/>
  <c r="F19" i="40"/>
  <c r="K19" i="40" s="1"/>
  <c r="N18" i="40"/>
  <c r="P18" i="40" s="1"/>
  <c r="M18" i="40"/>
  <c r="H18" i="40"/>
  <c r="F18" i="40"/>
  <c r="N17" i="40"/>
  <c r="P17" i="40" s="1"/>
  <c r="M17" i="40"/>
  <c r="H17" i="40"/>
  <c r="F17" i="40"/>
  <c r="N16" i="40"/>
  <c r="P16" i="40" s="1"/>
  <c r="M16" i="40"/>
  <c r="H16" i="40"/>
  <c r="F16" i="40"/>
  <c r="N15" i="40"/>
  <c r="P15" i="40" s="1"/>
  <c r="M15" i="40"/>
  <c r="H15" i="40"/>
  <c r="F15" i="40"/>
  <c r="N14" i="40"/>
  <c r="P14" i="40" s="1"/>
  <c r="M14" i="40"/>
  <c r="H14" i="40"/>
  <c r="I14" i="40" s="1"/>
  <c r="F14" i="40"/>
  <c r="N13" i="40"/>
  <c r="P13" i="40" s="1"/>
  <c r="M13" i="40"/>
  <c r="H13" i="40"/>
  <c r="I13" i="40" s="1"/>
  <c r="F13" i="40"/>
  <c r="N12" i="40"/>
  <c r="P12" i="40" s="1"/>
  <c r="M12" i="40"/>
  <c r="H12" i="40"/>
  <c r="I12" i="40" s="1"/>
  <c r="F12" i="40"/>
  <c r="N11" i="40"/>
  <c r="P11" i="40" s="1"/>
  <c r="M11" i="40"/>
  <c r="H11" i="40"/>
  <c r="I11" i="40" s="1"/>
  <c r="F11" i="40"/>
  <c r="N10" i="40"/>
  <c r="P10" i="40" s="1"/>
  <c r="M10" i="40"/>
  <c r="H10" i="40"/>
  <c r="J10" i="40" s="1"/>
  <c r="L10" i="40" s="1"/>
  <c r="F10" i="40"/>
  <c r="K10" i="40" s="1"/>
  <c r="N9" i="40"/>
  <c r="P9" i="40" s="1"/>
  <c r="M9" i="40"/>
  <c r="H9" i="40"/>
  <c r="J9" i="40" s="1"/>
  <c r="L9" i="40" s="1"/>
  <c r="F9" i="40"/>
  <c r="K9" i="40" s="1"/>
  <c r="N8" i="40"/>
  <c r="P8" i="40" s="1"/>
  <c r="M8" i="40"/>
  <c r="H8" i="40"/>
  <c r="I8" i="40" s="1"/>
  <c r="F8" i="40"/>
  <c r="K8" i="40" s="1"/>
  <c r="N7" i="40"/>
  <c r="P7" i="40" s="1"/>
  <c r="M7" i="40"/>
  <c r="H7" i="40"/>
  <c r="I7" i="40" s="1"/>
  <c r="F7" i="40"/>
  <c r="O6" i="40"/>
  <c r="N6" i="40"/>
  <c r="M6" i="40"/>
  <c r="H6" i="40"/>
  <c r="J6" i="40" s="1"/>
  <c r="L6" i="40" s="1"/>
  <c r="F6" i="40"/>
  <c r="K6" i="40" s="1"/>
  <c r="N5" i="40"/>
  <c r="P5" i="40" s="1"/>
  <c r="M5" i="40"/>
  <c r="F5" i="40"/>
  <c r="K5" i="40" s="1"/>
  <c r="N35" i="39"/>
  <c r="P35" i="39" s="1"/>
  <c r="M35" i="39"/>
  <c r="F35" i="39"/>
  <c r="K35" i="39" s="1"/>
  <c r="N34" i="39"/>
  <c r="P34" i="39" s="1"/>
  <c r="M34" i="39"/>
  <c r="H34" i="39"/>
  <c r="F34" i="39"/>
  <c r="K34" i="39" s="1"/>
  <c r="N33" i="39"/>
  <c r="P33" i="39" s="1"/>
  <c r="M33" i="39"/>
  <c r="H33" i="39"/>
  <c r="J33" i="39" s="1"/>
  <c r="L33" i="39" s="1"/>
  <c r="F33" i="39"/>
  <c r="K33" i="39" s="1"/>
  <c r="N32" i="39"/>
  <c r="P32" i="39" s="1"/>
  <c r="M32" i="39"/>
  <c r="H32" i="39"/>
  <c r="F32" i="39"/>
  <c r="K32" i="39" s="1"/>
  <c r="N31" i="39"/>
  <c r="P31" i="39" s="1"/>
  <c r="M31" i="39"/>
  <c r="H31" i="39"/>
  <c r="J31" i="39" s="1"/>
  <c r="L31" i="39" s="1"/>
  <c r="F31" i="39"/>
  <c r="K31" i="39" s="1"/>
  <c r="N30" i="39"/>
  <c r="P30" i="39" s="1"/>
  <c r="M30" i="39"/>
  <c r="H30" i="39"/>
  <c r="F30" i="39"/>
  <c r="N29" i="39"/>
  <c r="P29" i="39" s="1"/>
  <c r="M29" i="39"/>
  <c r="H29" i="39"/>
  <c r="F29" i="39"/>
  <c r="K29" i="39" s="1"/>
  <c r="N28" i="39"/>
  <c r="P28" i="39" s="1"/>
  <c r="M28" i="39"/>
  <c r="H28" i="39"/>
  <c r="F28" i="39"/>
  <c r="O27" i="39"/>
  <c r="N27" i="39"/>
  <c r="P27" i="39" s="1"/>
  <c r="M27" i="39"/>
  <c r="H27" i="39"/>
  <c r="F27" i="39"/>
  <c r="K27" i="39" s="1"/>
  <c r="N26" i="39"/>
  <c r="P26" i="39" s="1"/>
  <c r="M26" i="39"/>
  <c r="H26" i="39"/>
  <c r="F26" i="39"/>
  <c r="K26" i="39" s="1"/>
  <c r="N25" i="39"/>
  <c r="P25" i="39" s="1"/>
  <c r="Q25" i="39" s="1"/>
  <c r="R25" i="39" s="1"/>
  <c r="M25" i="39"/>
  <c r="K25" i="39"/>
  <c r="H25" i="39"/>
  <c r="F25" i="39"/>
  <c r="N24" i="39"/>
  <c r="P24" i="39" s="1"/>
  <c r="M24" i="39"/>
  <c r="H24" i="39"/>
  <c r="F24" i="39"/>
  <c r="K24" i="39" s="1"/>
  <c r="N23" i="39"/>
  <c r="P23" i="39" s="1"/>
  <c r="M23" i="39"/>
  <c r="H23" i="39"/>
  <c r="I23" i="39" s="1"/>
  <c r="F23" i="39"/>
  <c r="K23" i="39" s="1"/>
  <c r="N22" i="39"/>
  <c r="P22" i="39" s="1"/>
  <c r="M22" i="39"/>
  <c r="H22" i="39"/>
  <c r="J22" i="39" s="1"/>
  <c r="L22" i="39" s="1"/>
  <c r="F22" i="39"/>
  <c r="N21" i="39"/>
  <c r="P21" i="39" s="1"/>
  <c r="M21" i="39"/>
  <c r="K21" i="39"/>
  <c r="H21" i="39"/>
  <c r="F21" i="39"/>
  <c r="N20" i="39"/>
  <c r="P20" i="39" s="1"/>
  <c r="M20" i="39"/>
  <c r="H20" i="39"/>
  <c r="I20" i="39" s="1"/>
  <c r="F20" i="39"/>
  <c r="K20" i="39" s="1"/>
  <c r="N19" i="39"/>
  <c r="P19" i="39" s="1"/>
  <c r="M19" i="39"/>
  <c r="H19" i="39"/>
  <c r="I19" i="39" s="1"/>
  <c r="F19" i="39"/>
  <c r="K19" i="39" s="1"/>
  <c r="N18" i="39"/>
  <c r="P18" i="39" s="1"/>
  <c r="M18" i="39"/>
  <c r="H18" i="39"/>
  <c r="I18" i="39" s="1"/>
  <c r="F18" i="39"/>
  <c r="K18" i="39" s="1"/>
  <c r="O17" i="39"/>
  <c r="N17" i="39"/>
  <c r="P17" i="39" s="1"/>
  <c r="M17" i="39"/>
  <c r="K17" i="39"/>
  <c r="H17" i="39"/>
  <c r="I17" i="39" s="1"/>
  <c r="F17" i="39"/>
  <c r="N16" i="39"/>
  <c r="P16" i="39" s="1"/>
  <c r="M16" i="39"/>
  <c r="H16" i="39"/>
  <c r="I16" i="39" s="1"/>
  <c r="F16" i="39"/>
  <c r="K16" i="39" s="1"/>
  <c r="N15" i="39"/>
  <c r="P15" i="39" s="1"/>
  <c r="M15" i="39"/>
  <c r="K15" i="39"/>
  <c r="H15" i="39"/>
  <c r="I15" i="39" s="1"/>
  <c r="F15" i="39"/>
  <c r="N14" i="39"/>
  <c r="P14" i="39" s="1"/>
  <c r="M14" i="39"/>
  <c r="H14" i="39"/>
  <c r="I14" i="39" s="1"/>
  <c r="F14" i="39"/>
  <c r="K14" i="39" s="1"/>
  <c r="N13" i="39"/>
  <c r="M13" i="39"/>
  <c r="H13" i="39"/>
  <c r="I13" i="39" s="1"/>
  <c r="F13" i="39"/>
  <c r="K13" i="39" s="1"/>
  <c r="N12" i="39"/>
  <c r="P12" i="39" s="1"/>
  <c r="M12" i="39"/>
  <c r="H12" i="39"/>
  <c r="F12" i="39"/>
  <c r="Q11" i="39"/>
  <c r="R11" i="39" s="1"/>
  <c r="O11" i="39"/>
  <c r="N11" i="39"/>
  <c r="P11" i="39" s="1"/>
  <c r="M11" i="39"/>
  <c r="K11" i="39"/>
  <c r="H11" i="39"/>
  <c r="J11" i="39" s="1"/>
  <c r="L11" i="39" s="1"/>
  <c r="F11" i="39"/>
  <c r="N10" i="39"/>
  <c r="P10" i="39" s="1"/>
  <c r="M10" i="39"/>
  <c r="H10" i="39"/>
  <c r="J10" i="39" s="1"/>
  <c r="L10" i="39" s="1"/>
  <c r="F10" i="39"/>
  <c r="K10" i="39" s="1"/>
  <c r="N9" i="39"/>
  <c r="P9" i="39" s="1"/>
  <c r="M9" i="39"/>
  <c r="K9" i="39"/>
  <c r="H9" i="39"/>
  <c r="J9" i="39" s="1"/>
  <c r="L9" i="39" s="1"/>
  <c r="F9" i="39"/>
  <c r="N8" i="39"/>
  <c r="P8" i="39" s="1"/>
  <c r="M8" i="39"/>
  <c r="H8" i="39"/>
  <c r="I8" i="39" s="1"/>
  <c r="F8" i="39"/>
  <c r="N7" i="39"/>
  <c r="P7" i="39" s="1"/>
  <c r="M7" i="39"/>
  <c r="H7" i="39"/>
  <c r="J7" i="39" s="1"/>
  <c r="L7" i="39" s="1"/>
  <c r="F7" i="39"/>
  <c r="K7" i="39" s="1"/>
  <c r="N6" i="39"/>
  <c r="P6" i="39" s="1"/>
  <c r="M6" i="39"/>
  <c r="H6" i="39"/>
  <c r="F6" i="39"/>
  <c r="N5" i="39"/>
  <c r="P5" i="39" s="1"/>
  <c r="M5" i="39"/>
  <c r="H5" i="39"/>
  <c r="J5" i="39" s="1"/>
  <c r="L5" i="39" s="1"/>
  <c r="F5" i="39"/>
  <c r="K5" i="39" s="1"/>
  <c r="N35" i="38"/>
  <c r="P35" i="38" s="1"/>
  <c r="M35" i="38"/>
  <c r="M37" i="38" s="1"/>
  <c r="F35" i="38"/>
  <c r="K35" i="38" s="1"/>
  <c r="N34" i="38"/>
  <c r="P34" i="38" s="1"/>
  <c r="M34" i="38"/>
  <c r="H34" i="38"/>
  <c r="F34" i="38"/>
  <c r="K34" i="38" s="1"/>
  <c r="N33" i="38"/>
  <c r="P33" i="38" s="1"/>
  <c r="M33" i="38"/>
  <c r="H33" i="38"/>
  <c r="F33" i="38"/>
  <c r="K33" i="38" s="1"/>
  <c r="N32" i="38"/>
  <c r="P32" i="38" s="1"/>
  <c r="M32" i="38"/>
  <c r="H32" i="38"/>
  <c r="F32" i="38"/>
  <c r="K32" i="38" s="1"/>
  <c r="N31" i="38"/>
  <c r="P31" i="38" s="1"/>
  <c r="M31" i="38"/>
  <c r="H31" i="38"/>
  <c r="F31" i="38"/>
  <c r="K31" i="38" s="1"/>
  <c r="N30" i="38"/>
  <c r="P30" i="38" s="1"/>
  <c r="M30" i="38"/>
  <c r="H30" i="38"/>
  <c r="I30" i="38" s="1"/>
  <c r="F30" i="38"/>
  <c r="K30" i="38" s="1"/>
  <c r="N29" i="38"/>
  <c r="P29" i="38" s="1"/>
  <c r="M29" i="38"/>
  <c r="H29" i="38"/>
  <c r="J29" i="38" s="1"/>
  <c r="L29" i="38" s="1"/>
  <c r="F29" i="38"/>
  <c r="N28" i="38"/>
  <c r="P28" i="38" s="1"/>
  <c r="M28" i="38"/>
  <c r="H28" i="38"/>
  <c r="I28" i="38" s="1"/>
  <c r="F28" i="38"/>
  <c r="K28" i="38" s="1"/>
  <c r="O27" i="38"/>
  <c r="N27" i="38"/>
  <c r="P27" i="38" s="1"/>
  <c r="M27" i="38"/>
  <c r="H27" i="38"/>
  <c r="I27" i="38" s="1"/>
  <c r="F27" i="38"/>
  <c r="K27" i="38" s="1"/>
  <c r="O26" i="38"/>
  <c r="N26" i="38"/>
  <c r="P26" i="38" s="1"/>
  <c r="M26" i="38"/>
  <c r="H26" i="38"/>
  <c r="I26" i="38" s="1"/>
  <c r="F26" i="38"/>
  <c r="K26" i="38" s="1"/>
  <c r="N25" i="38"/>
  <c r="P25" i="38" s="1"/>
  <c r="M25" i="38"/>
  <c r="H25" i="38"/>
  <c r="F25" i="38"/>
  <c r="K25" i="38" s="1"/>
  <c r="N24" i="38"/>
  <c r="P24" i="38" s="1"/>
  <c r="M24" i="38"/>
  <c r="H24" i="38"/>
  <c r="F24" i="38"/>
  <c r="K24" i="38" s="1"/>
  <c r="N23" i="38"/>
  <c r="P23" i="38" s="1"/>
  <c r="M23" i="38"/>
  <c r="H23" i="38"/>
  <c r="I23" i="38" s="1"/>
  <c r="F23" i="38"/>
  <c r="K23" i="38" s="1"/>
  <c r="N22" i="38"/>
  <c r="P22" i="38" s="1"/>
  <c r="M22" i="38"/>
  <c r="H22" i="38"/>
  <c r="J22" i="38" s="1"/>
  <c r="L22" i="38" s="1"/>
  <c r="F22" i="38"/>
  <c r="K22" i="38" s="1"/>
  <c r="N21" i="38"/>
  <c r="P21" i="38" s="1"/>
  <c r="M21" i="38"/>
  <c r="H21" i="38"/>
  <c r="I21" i="38" s="1"/>
  <c r="F21" i="38"/>
  <c r="K21" i="38" s="1"/>
  <c r="N20" i="38"/>
  <c r="P20" i="38" s="1"/>
  <c r="M20" i="38"/>
  <c r="H20" i="38"/>
  <c r="I20" i="38" s="1"/>
  <c r="F20" i="38"/>
  <c r="K20" i="38" s="1"/>
  <c r="N19" i="38"/>
  <c r="P19" i="38" s="1"/>
  <c r="M19" i="38"/>
  <c r="H19" i="38"/>
  <c r="I19" i="38" s="1"/>
  <c r="F19" i="38"/>
  <c r="K19" i="38" s="1"/>
  <c r="N18" i="38"/>
  <c r="P18" i="38" s="1"/>
  <c r="M18" i="38"/>
  <c r="K18" i="38"/>
  <c r="H18" i="38"/>
  <c r="I18" i="38" s="1"/>
  <c r="F18" i="38"/>
  <c r="N17" i="38"/>
  <c r="P17" i="38" s="1"/>
  <c r="M17" i="38"/>
  <c r="H17" i="38"/>
  <c r="I17" i="38" s="1"/>
  <c r="F17" i="38"/>
  <c r="K17" i="38" s="1"/>
  <c r="N16" i="38"/>
  <c r="P16" i="38" s="1"/>
  <c r="M16" i="38"/>
  <c r="H16" i="38"/>
  <c r="F16" i="38"/>
  <c r="N15" i="38"/>
  <c r="P15" i="38" s="1"/>
  <c r="M15" i="38"/>
  <c r="H15" i="38"/>
  <c r="F15" i="38"/>
  <c r="N14" i="38"/>
  <c r="P14" i="38" s="1"/>
  <c r="M14" i="38"/>
  <c r="H14" i="38"/>
  <c r="F14" i="38"/>
  <c r="N13" i="38"/>
  <c r="P13" i="38" s="1"/>
  <c r="M13" i="38"/>
  <c r="H13" i="38"/>
  <c r="F13" i="38"/>
  <c r="N12" i="38"/>
  <c r="P12" i="38" s="1"/>
  <c r="M12" i="38"/>
  <c r="H12" i="38"/>
  <c r="I12" i="38" s="1"/>
  <c r="N11" i="38"/>
  <c r="P11" i="38" s="1"/>
  <c r="M11" i="38"/>
  <c r="H11" i="38"/>
  <c r="I11" i="38" s="1"/>
  <c r="N10" i="38"/>
  <c r="P10" i="38" s="1"/>
  <c r="M10" i="38"/>
  <c r="H10" i="38"/>
  <c r="I10" i="38" s="1"/>
  <c r="N9" i="38"/>
  <c r="P9" i="38" s="1"/>
  <c r="M9" i="38"/>
  <c r="H9" i="38"/>
  <c r="I9" i="38" s="1"/>
  <c r="K9" i="38"/>
  <c r="Q8" i="38"/>
  <c r="R8" i="38" s="1"/>
  <c r="N8" i="38"/>
  <c r="P8" i="38" s="1"/>
  <c r="M8" i="38"/>
  <c r="K8" i="38"/>
  <c r="H8" i="38"/>
  <c r="N7" i="38"/>
  <c r="P7" i="38" s="1"/>
  <c r="M7" i="38"/>
  <c r="H7" i="38"/>
  <c r="J7" i="38" s="1"/>
  <c r="L7" i="38" s="1"/>
  <c r="K7" i="38"/>
  <c r="N6" i="38"/>
  <c r="P6" i="38" s="1"/>
  <c r="M6" i="38"/>
  <c r="K6" i="38"/>
  <c r="H6" i="38"/>
  <c r="I6" i="38" s="1"/>
  <c r="N35" i="37"/>
  <c r="P35" i="37" s="1"/>
  <c r="M35" i="37"/>
  <c r="K35" i="37"/>
  <c r="F35" i="37"/>
  <c r="N34" i="37"/>
  <c r="P34" i="37" s="1"/>
  <c r="M34" i="37"/>
  <c r="H34" i="37"/>
  <c r="F34" i="37"/>
  <c r="K34" i="37" s="1"/>
  <c r="N33" i="37"/>
  <c r="P33" i="37" s="1"/>
  <c r="M33" i="37"/>
  <c r="H33" i="37"/>
  <c r="J33" i="37" s="1"/>
  <c r="L33" i="37" s="1"/>
  <c r="F33" i="37"/>
  <c r="K33" i="37" s="1"/>
  <c r="N32" i="37"/>
  <c r="P32" i="37" s="1"/>
  <c r="M32" i="37"/>
  <c r="H32" i="37"/>
  <c r="J32" i="37" s="1"/>
  <c r="L32" i="37" s="1"/>
  <c r="F32" i="37"/>
  <c r="K32" i="37" s="1"/>
  <c r="N31" i="37"/>
  <c r="P31" i="37" s="1"/>
  <c r="M31" i="37"/>
  <c r="H31" i="37"/>
  <c r="J31" i="37" s="1"/>
  <c r="L31" i="37" s="1"/>
  <c r="F31" i="37"/>
  <c r="K31" i="37" s="1"/>
  <c r="N30" i="37"/>
  <c r="P30" i="37" s="1"/>
  <c r="M30" i="37"/>
  <c r="H30" i="37"/>
  <c r="F30" i="37"/>
  <c r="K30" i="37" s="1"/>
  <c r="N29" i="37"/>
  <c r="P29" i="37" s="1"/>
  <c r="M29" i="37"/>
  <c r="H29" i="37"/>
  <c r="J29" i="37" s="1"/>
  <c r="L29" i="37" s="1"/>
  <c r="F29" i="37"/>
  <c r="K29" i="37" s="1"/>
  <c r="N28" i="37"/>
  <c r="P28" i="37" s="1"/>
  <c r="M28" i="37"/>
  <c r="H28" i="37"/>
  <c r="J28" i="37" s="1"/>
  <c r="L28" i="37" s="1"/>
  <c r="F28" i="37"/>
  <c r="N27" i="37"/>
  <c r="P27" i="37" s="1"/>
  <c r="M27" i="37"/>
  <c r="H27" i="37"/>
  <c r="I27" i="37" s="1"/>
  <c r="F27" i="37"/>
  <c r="K27" i="37" s="1"/>
  <c r="N26" i="37"/>
  <c r="P26" i="37" s="1"/>
  <c r="M26" i="37"/>
  <c r="H26" i="37"/>
  <c r="I26" i="37" s="1"/>
  <c r="F26" i="37"/>
  <c r="K26" i="37" s="1"/>
  <c r="N25" i="37"/>
  <c r="P25" i="37" s="1"/>
  <c r="M25" i="37"/>
  <c r="H25" i="37"/>
  <c r="F25" i="37"/>
  <c r="K25" i="37" s="1"/>
  <c r="N24" i="37"/>
  <c r="P24" i="37" s="1"/>
  <c r="M24" i="37"/>
  <c r="H24" i="37"/>
  <c r="F24" i="37"/>
  <c r="K24" i="37" s="1"/>
  <c r="N23" i="37"/>
  <c r="M23" i="37"/>
  <c r="H23" i="37"/>
  <c r="F23" i="37"/>
  <c r="K23" i="37" s="1"/>
  <c r="N22" i="37"/>
  <c r="M22" i="37"/>
  <c r="H22" i="37"/>
  <c r="F22" i="37"/>
  <c r="K22" i="37" s="1"/>
  <c r="N21" i="37"/>
  <c r="P21" i="37" s="1"/>
  <c r="M21" i="37"/>
  <c r="H21" i="37"/>
  <c r="F21" i="37"/>
  <c r="K21" i="37" s="1"/>
  <c r="N20" i="37"/>
  <c r="M20" i="37"/>
  <c r="H20" i="37"/>
  <c r="J20" i="37" s="1"/>
  <c r="L20" i="37" s="1"/>
  <c r="F20" i="37"/>
  <c r="K20" i="37" s="1"/>
  <c r="N19" i="37"/>
  <c r="M19" i="37"/>
  <c r="H19" i="37"/>
  <c r="F19" i="37"/>
  <c r="K19" i="37" s="1"/>
  <c r="Q18" i="37"/>
  <c r="R18" i="37" s="1"/>
  <c r="O18" i="37"/>
  <c r="N18" i="37"/>
  <c r="P18" i="37" s="1"/>
  <c r="M18" i="37"/>
  <c r="K18" i="37"/>
  <c r="H18" i="37"/>
  <c r="J18" i="37" s="1"/>
  <c r="L18" i="37" s="1"/>
  <c r="F18" i="37"/>
  <c r="O17" i="37"/>
  <c r="N17" i="37"/>
  <c r="P17" i="37" s="1"/>
  <c r="M17" i="37"/>
  <c r="H17" i="37"/>
  <c r="J17" i="37" s="1"/>
  <c r="L17" i="37" s="1"/>
  <c r="F17" i="37"/>
  <c r="K17" i="37" s="1"/>
  <c r="N16" i="37"/>
  <c r="P16" i="37" s="1"/>
  <c r="M16" i="37"/>
  <c r="H16" i="37"/>
  <c r="J16" i="37" s="1"/>
  <c r="L16" i="37" s="1"/>
  <c r="F16" i="37"/>
  <c r="K16" i="37" s="1"/>
  <c r="N15" i="37"/>
  <c r="P15" i="37" s="1"/>
  <c r="M15" i="37"/>
  <c r="K15" i="37"/>
  <c r="H15" i="37"/>
  <c r="F15" i="37"/>
  <c r="Q14" i="37"/>
  <c r="R14" i="37" s="1"/>
  <c r="N14" i="37"/>
  <c r="P14" i="37" s="1"/>
  <c r="M14" i="37"/>
  <c r="H14" i="37"/>
  <c r="J14" i="37" s="1"/>
  <c r="L14" i="37" s="1"/>
  <c r="F14" i="37"/>
  <c r="K14" i="37" s="1"/>
  <c r="N13" i="37"/>
  <c r="P13" i="37" s="1"/>
  <c r="M13" i="37"/>
  <c r="H13" i="37"/>
  <c r="F13" i="37"/>
  <c r="K13" i="37" s="1"/>
  <c r="N12" i="37"/>
  <c r="M12" i="37"/>
  <c r="H12" i="37"/>
  <c r="F12" i="37"/>
  <c r="K12" i="37" s="1"/>
  <c r="N11" i="37"/>
  <c r="P11" i="37" s="1"/>
  <c r="M11" i="37"/>
  <c r="H11" i="37"/>
  <c r="F11" i="37"/>
  <c r="K11" i="37" s="1"/>
  <c r="N10" i="37"/>
  <c r="M10" i="37"/>
  <c r="H10" i="37"/>
  <c r="F10" i="37"/>
  <c r="K10" i="37" s="1"/>
  <c r="N9" i="37"/>
  <c r="M9" i="37"/>
  <c r="H9" i="37"/>
  <c r="J9" i="37" s="1"/>
  <c r="L9" i="37" s="1"/>
  <c r="F9" i="37"/>
  <c r="K9" i="37" s="1"/>
  <c r="N8" i="37"/>
  <c r="P8" i="37" s="1"/>
  <c r="M8" i="37"/>
  <c r="H8" i="37"/>
  <c r="I8" i="37" s="1"/>
  <c r="F8" i="37"/>
  <c r="K8" i="37" s="1"/>
  <c r="N7" i="37"/>
  <c r="M7" i="37"/>
  <c r="H7" i="37"/>
  <c r="F7" i="37"/>
  <c r="K7" i="37" s="1"/>
  <c r="N6" i="37"/>
  <c r="P6" i="37" s="1"/>
  <c r="M6" i="37"/>
  <c r="H6" i="37"/>
  <c r="J6" i="37" s="1"/>
  <c r="L6" i="37" s="1"/>
  <c r="F6" i="37"/>
  <c r="K6" i="37" s="1"/>
  <c r="N5" i="37"/>
  <c r="P5" i="37" s="1"/>
  <c r="M5" i="37"/>
  <c r="H5" i="37"/>
  <c r="F5" i="37"/>
  <c r="K5" i="37" s="1"/>
  <c r="B39" i="36"/>
  <c r="O35" i="36"/>
  <c r="N35" i="36"/>
  <c r="P35" i="36" s="1"/>
  <c r="M35" i="36"/>
  <c r="F35" i="36"/>
  <c r="K35" i="36" s="1"/>
  <c r="K37" i="36" s="1"/>
  <c r="N34" i="36"/>
  <c r="P34" i="36" s="1"/>
  <c r="M34" i="36"/>
  <c r="H34" i="36"/>
  <c r="F34" i="36"/>
  <c r="N33" i="36"/>
  <c r="P33" i="36" s="1"/>
  <c r="M33" i="36"/>
  <c r="J33" i="36"/>
  <c r="L33" i="36" s="1"/>
  <c r="H33" i="36"/>
  <c r="I33" i="36" s="1"/>
  <c r="F33" i="36"/>
  <c r="N32" i="36"/>
  <c r="P32" i="36" s="1"/>
  <c r="M32" i="36"/>
  <c r="H32" i="36"/>
  <c r="I32" i="36" s="1"/>
  <c r="F32" i="36"/>
  <c r="N31" i="36"/>
  <c r="P31" i="36" s="1"/>
  <c r="M31" i="36"/>
  <c r="H31" i="36"/>
  <c r="I31" i="36" s="1"/>
  <c r="F31" i="36"/>
  <c r="Q30" i="36"/>
  <c r="R30" i="36" s="1"/>
  <c r="N30" i="36"/>
  <c r="P30" i="36" s="1"/>
  <c r="M30" i="36"/>
  <c r="H30" i="36"/>
  <c r="J30" i="36" s="1"/>
  <c r="L30" i="36" s="1"/>
  <c r="F30" i="36"/>
  <c r="N29" i="36"/>
  <c r="M29" i="36"/>
  <c r="H29" i="36"/>
  <c r="J29" i="36" s="1"/>
  <c r="L29" i="36" s="1"/>
  <c r="F29" i="36"/>
  <c r="N28" i="36"/>
  <c r="P28" i="36" s="1"/>
  <c r="Q28" i="36" s="1"/>
  <c r="R28" i="36" s="1"/>
  <c r="M28" i="36"/>
  <c r="H28" i="36"/>
  <c r="J28" i="36" s="1"/>
  <c r="L28" i="36" s="1"/>
  <c r="F28" i="36"/>
  <c r="N27" i="36"/>
  <c r="M27" i="36"/>
  <c r="H27" i="36"/>
  <c r="F27" i="36"/>
  <c r="N26" i="36"/>
  <c r="M26" i="36"/>
  <c r="H26" i="36"/>
  <c r="F26" i="36"/>
  <c r="Q25" i="36"/>
  <c r="R25" i="36" s="1"/>
  <c r="N25" i="36"/>
  <c r="P25" i="36" s="1"/>
  <c r="M25" i="36"/>
  <c r="H25" i="36"/>
  <c r="F25" i="36"/>
  <c r="K25" i="36" s="1"/>
  <c r="N24" i="36"/>
  <c r="P24" i="36" s="1"/>
  <c r="M24" i="36"/>
  <c r="H24" i="36"/>
  <c r="F24" i="36"/>
  <c r="B24" i="36"/>
  <c r="N23" i="36"/>
  <c r="P23" i="36" s="1"/>
  <c r="M23" i="36"/>
  <c r="H23" i="36"/>
  <c r="I23" i="36" s="1"/>
  <c r="F23" i="36"/>
  <c r="K23" i="36" s="1"/>
  <c r="N22" i="36"/>
  <c r="P22" i="36" s="1"/>
  <c r="M22" i="36"/>
  <c r="H22" i="36"/>
  <c r="I22" i="36" s="1"/>
  <c r="F22" i="36"/>
  <c r="K22" i="36" s="1"/>
  <c r="N21" i="36"/>
  <c r="M21" i="36"/>
  <c r="H21" i="36"/>
  <c r="F21" i="36"/>
  <c r="K21" i="36" s="1"/>
  <c r="N20" i="36"/>
  <c r="M20" i="36"/>
  <c r="H20" i="36"/>
  <c r="F20" i="36"/>
  <c r="K20" i="36" s="1"/>
  <c r="Q19" i="36"/>
  <c r="R19" i="36" s="1"/>
  <c r="N19" i="36"/>
  <c r="P19" i="36" s="1"/>
  <c r="M19" i="36"/>
  <c r="H19" i="36"/>
  <c r="F19" i="36"/>
  <c r="N18" i="36"/>
  <c r="P18" i="36" s="1"/>
  <c r="M18" i="36"/>
  <c r="H18" i="36"/>
  <c r="F18" i="36"/>
  <c r="K18" i="36" s="1"/>
  <c r="N17" i="36"/>
  <c r="P17" i="36" s="1"/>
  <c r="M17" i="36"/>
  <c r="K17" i="36"/>
  <c r="H17" i="36"/>
  <c r="F17" i="36"/>
  <c r="N16" i="36"/>
  <c r="P16" i="36" s="1"/>
  <c r="M16" i="36"/>
  <c r="H16" i="36"/>
  <c r="I16" i="36" s="1"/>
  <c r="F16" i="36"/>
  <c r="N15" i="36"/>
  <c r="P15" i="36" s="1"/>
  <c r="M15" i="36"/>
  <c r="H15" i="36"/>
  <c r="I15" i="36" s="1"/>
  <c r="F15" i="36"/>
  <c r="N14" i="36"/>
  <c r="P14" i="36" s="1"/>
  <c r="M14" i="36"/>
  <c r="H14" i="36"/>
  <c r="I14" i="36" s="1"/>
  <c r="F14" i="36"/>
  <c r="N13" i="36"/>
  <c r="P13" i="36" s="1"/>
  <c r="M13" i="36"/>
  <c r="H13" i="36"/>
  <c r="I13" i="36" s="1"/>
  <c r="F13" i="36"/>
  <c r="N12" i="36"/>
  <c r="P12" i="36" s="1"/>
  <c r="M12" i="36"/>
  <c r="H12" i="36"/>
  <c r="I12" i="36" s="1"/>
  <c r="F12" i="36"/>
  <c r="N11" i="36"/>
  <c r="P11" i="36" s="1"/>
  <c r="M11" i="36"/>
  <c r="H11" i="36"/>
  <c r="I11" i="36" s="1"/>
  <c r="F11" i="36"/>
  <c r="N10" i="36"/>
  <c r="P10" i="36" s="1"/>
  <c r="M10" i="36"/>
  <c r="H10" i="36"/>
  <c r="I10" i="36" s="1"/>
  <c r="F10" i="36"/>
  <c r="N9" i="36"/>
  <c r="P9" i="36" s="1"/>
  <c r="M9" i="36"/>
  <c r="H9" i="36"/>
  <c r="I9" i="36" s="1"/>
  <c r="F9" i="36"/>
  <c r="Q8" i="36"/>
  <c r="R8" i="36" s="1"/>
  <c r="N8" i="36"/>
  <c r="P8" i="36" s="1"/>
  <c r="M8" i="36"/>
  <c r="K8" i="36"/>
  <c r="H8" i="36"/>
  <c r="F8" i="36"/>
  <c r="N7" i="36"/>
  <c r="P7" i="36" s="1"/>
  <c r="M7" i="36"/>
  <c r="H7" i="36"/>
  <c r="J7" i="36" s="1"/>
  <c r="L7" i="36" s="1"/>
  <c r="F7" i="36"/>
  <c r="K7" i="36" s="1"/>
  <c r="N6" i="36"/>
  <c r="P6" i="36" s="1"/>
  <c r="M6" i="36"/>
  <c r="H6" i="36"/>
  <c r="J6" i="36" s="1"/>
  <c r="L6" i="36" s="1"/>
  <c r="F6" i="36"/>
  <c r="N5" i="36"/>
  <c r="P5" i="36" s="1"/>
  <c r="M5" i="36"/>
  <c r="F5" i="36"/>
  <c r="K5" i="36" s="1"/>
  <c r="I31" i="39" l="1"/>
  <c r="B8" i="39"/>
  <c r="B8" i="40"/>
  <c r="O35" i="37"/>
  <c r="O16" i="36"/>
  <c r="O25" i="37"/>
  <c r="O21" i="40"/>
  <c r="Q25" i="40"/>
  <c r="R25" i="40" s="1"/>
  <c r="P25" i="40"/>
  <c r="O35" i="40"/>
  <c r="J18" i="43"/>
  <c r="L18" i="43" s="1"/>
  <c r="P26" i="36"/>
  <c r="Q26" i="36" s="1"/>
  <c r="R26" i="36" s="1"/>
  <c r="O30" i="36"/>
  <c r="O14" i="39"/>
  <c r="P6" i="40"/>
  <c r="Q6" i="40" s="1"/>
  <c r="R6" i="40" s="1"/>
  <c r="S6" i="40" s="1"/>
  <c r="AM6" i="40" s="1"/>
  <c r="O25" i="40"/>
  <c r="O35" i="43"/>
  <c r="P12" i="37"/>
  <c r="Q12" i="37" s="1"/>
  <c r="R12" i="37" s="1"/>
  <c r="S12" i="37" s="1"/>
  <c r="AN12" i="37" s="1"/>
  <c r="Q20" i="36"/>
  <c r="R20" i="36" s="1"/>
  <c r="P20" i="36"/>
  <c r="Q27" i="36"/>
  <c r="R27" i="36" s="1"/>
  <c r="P27" i="36"/>
  <c r="P9" i="37"/>
  <c r="Q9" i="37" s="1"/>
  <c r="R9" i="37" s="1"/>
  <c r="S9" i="37" s="1"/>
  <c r="AN9" i="37" s="1"/>
  <c r="P22" i="37"/>
  <c r="Q22" i="37" s="1"/>
  <c r="R22" i="37" s="1"/>
  <c r="S22" i="37" s="1"/>
  <c r="AN22" i="37" s="1"/>
  <c r="O5" i="39"/>
  <c r="J6" i="43"/>
  <c r="L6" i="43" s="1"/>
  <c r="AD6" i="43" s="1"/>
  <c r="O19" i="43"/>
  <c r="I30" i="43"/>
  <c r="P10" i="37"/>
  <c r="Q10" i="37" s="1"/>
  <c r="R10" i="37" s="1"/>
  <c r="S10" i="37" s="1"/>
  <c r="AN10" i="37" s="1"/>
  <c r="P19" i="37"/>
  <c r="Q19" i="37" s="1"/>
  <c r="R19" i="37" s="1"/>
  <c r="S19" i="37" s="1"/>
  <c r="AN19" i="37" s="1"/>
  <c r="O26" i="40"/>
  <c r="P23" i="37"/>
  <c r="Q23" i="37" s="1"/>
  <c r="R23" i="37" s="1"/>
  <c r="S23" i="37" s="1"/>
  <c r="AN23" i="37" s="1"/>
  <c r="J23" i="38"/>
  <c r="L23" i="38" s="1"/>
  <c r="AA23" i="38" s="1"/>
  <c r="P7" i="37"/>
  <c r="Q7" i="37" s="1"/>
  <c r="R7" i="37" s="1"/>
  <c r="S7" i="37" s="1"/>
  <c r="AN7" i="37" s="1"/>
  <c r="O25" i="39"/>
  <c r="J13" i="43"/>
  <c r="L13" i="43" s="1"/>
  <c r="O16" i="43"/>
  <c r="K37" i="39"/>
  <c r="O9" i="39"/>
  <c r="O28" i="36"/>
  <c r="O25" i="36"/>
  <c r="O7" i="37"/>
  <c r="O14" i="37"/>
  <c r="I34" i="43"/>
  <c r="B6" i="37"/>
  <c r="B6" i="36"/>
  <c r="AA7" i="36" s="1"/>
  <c r="B8" i="37"/>
  <c r="B6" i="34"/>
  <c r="O11" i="37"/>
  <c r="Q20" i="37"/>
  <c r="R20" i="37" s="1"/>
  <c r="P20" i="37"/>
  <c r="P13" i="39"/>
  <c r="Q13" i="39" s="1"/>
  <c r="R13" i="39" s="1"/>
  <c r="S13" i="39" s="1"/>
  <c r="AM13" i="39" s="1"/>
  <c r="O19" i="39"/>
  <c r="B8" i="36"/>
  <c r="B8" i="34"/>
  <c r="B6" i="38"/>
  <c r="O17" i="36"/>
  <c r="P21" i="36"/>
  <c r="Q21" i="36" s="1"/>
  <c r="R21" i="36" s="1"/>
  <c r="S21" i="36" s="1"/>
  <c r="AM21" i="36" s="1"/>
  <c r="K37" i="37"/>
  <c r="O10" i="39"/>
  <c r="O13" i="39"/>
  <c r="O16" i="39"/>
  <c r="I33" i="39"/>
  <c r="B8" i="38"/>
  <c r="B6" i="43"/>
  <c r="O21" i="39"/>
  <c r="I17" i="37"/>
  <c r="P29" i="36"/>
  <c r="Q29" i="36" s="1"/>
  <c r="R29" i="36" s="1"/>
  <c r="O8" i="38"/>
  <c r="J14" i="43"/>
  <c r="L14" i="43" s="1"/>
  <c r="B6" i="39"/>
  <c r="AA7" i="39" s="1"/>
  <c r="B35" i="36"/>
  <c r="AF8" i="39"/>
  <c r="AF19" i="39"/>
  <c r="AG27" i="37"/>
  <c r="AF23" i="39"/>
  <c r="AG10" i="37"/>
  <c r="AG21" i="37"/>
  <c r="AF5" i="39"/>
  <c r="AF10" i="39"/>
  <c r="AF11" i="39"/>
  <c r="AF35" i="39"/>
  <c r="AG24" i="37"/>
  <c r="AF18" i="39"/>
  <c r="AG34" i="37"/>
  <c r="AF24" i="39"/>
  <c r="AG8" i="37"/>
  <c r="AG15" i="37"/>
  <c r="AG18" i="37"/>
  <c r="AF6" i="39"/>
  <c r="AF16" i="39"/>
  <c r="AF21" i="39"/>
  <c r="AF28" i="39"/>
  <c r="AF15" i="43"/>
  <c r="AF25" i="39"/>
  <c r="AF29" i="39"/>
  <c r="AF5" i="43"/>
  <c r="AF37" i="43" s="1"/>
  <c r="AF32" i="43"/>
  <c r="AF13" i="39"/>
  <c r="AF15" i="39"/>
  <c r="AF27" i="39"/>
  <c r="AF30" i="39"/>
  <c r="AF32" i="39"/>
  <c r="AF34" i="39"/>
  <c r="AF17" i="43"/>
  <c r="AF27" i="43"/>
  <c r="AG22" i="37"/>
  <c r="AG35" i="37"/>
  <c r="AF7" i="39"/>
  <c r="AF9" i="39"/>
  <c r="AF12" i="39"/>
  <c r="AF14" i="39"/>
  <c r="AF17" i="39"/>
  <c r="AF20" i="39"/>
  <c r="AF22" i="39"/>
  <c r="AF26" i="39"/>
  <c r="AF31" i="39"/>
  <c r="AF7" i="43"/>
  <c r="AF8" i="43"/>
  <c r="AF31" i="36"/>
  <c r="AF12" i="43"/>
  <c r="AF14" i="43"/>
  <c r="AF21" i="43"/>
  <c r="AF26" i="43"/>
  <c r="AF34" i="43"/>
  <c r="AF9" i="43"/>
  <c r="AF13" i="43"/>
  <c r="AF23" i="43"/>
  <c r="AF33" i="43"/>
  <c r="AF6" i="43"/>
  <c r="AF10" i="43"/>
  <c r="AF16" i="43"/>
  <c r="AF24" i="43"/>
  <c r="AF31" i="43"/>
  <c r="AL15" i="36"/>
  <c r="AL16" i="36"/>
  <c r="AL11" i="36"/>
  <c r="AL27" i="36"/>
  <c r="AL33" i="36"/>
  <c r="AL16" i="39"/>
  <c r="AL30" i="34"/>
  <c r="AL14" i="34"/>
  <c r="AL35" i="43"/>
  <c r="J19" i="37"/>
  <c r="L19" i="37" s="1"/>
  <c r="AB19" i="37" s="1"/>
  <c r="I19" i="37"/>
  <c r="J10" i="37"/>
  <c r="L10" i="37" s="1"/>
  <c r="I10" i="37"/>
  <c r="J21" i="37"/>
  <c r="L21" i="37" s="1"/>
  <c r="I21" i="37"/>
  <c r="J12" i="37"/>
  <c r="L12" i="37" s="1"/>
  <c r="AB12" i="37" s="1"/>
  <c r="I12" i="37"/>
  <c r="S20" i="36"/>
  <c r="AM20" i="36" s="1"/>
  <c r="J24" i="36"/>
  <c r="L24" i="36" s="1"/>
  <c r="I24" i="36"/>
  <c r="I34" i="36"/>
  <c r="J34" i="36"/>
  <c r="L34" i="36" s="1"/>
  <c r="H35" i="37"/>
  <c r="H37" i="37" s="1"/>
  <c r="G37" i="37"/>
  <c r="O20" i="39"/>
  <c r="O26" i="39"/>
  <c r="J34" i="39"/>
  <c r="L34" i="39" s="1"/>
  <c r="I34" i="39"/>
  <c r="I28" i="40"/>
  <c r="J28" i="40"/>
  <c r="L28" i="40" s="1"/>
  <c r="O31" i="40"/>
  <c r="K37" i="40"/>
  <c r="I9" i="43"/>
  <c r="J9" i="43"/>
  <c r="L9" i="43" s="1"/>
  <c r="O34" i="43"/>
  <c r="Q34" i="43"/>
  <c r="R34" i="43" s="1"/>
  <c r="S34" i="43" s="1"/>
  <c r="AM34" i="43" s="1"/>
  <c r="B9" i="40"/>
  <c r="AD34" i="40" s="1"/>
  <c r="B9" i="39"/>
  <c r="AD5" i="39" s="1"/>
  <c r="B9" i="43"/>
  <c r="B9" i="38"/>
  <c r="B9" i="34"/>
  <c r="B9" i="37"/>
  <c r="AE10" i="37" s="1"/>
  <c r="B9" i="36"/>
  <c r="AD22" i="36" s="1"/>
  <c r="I6" i="36"/>
  <c r="O7" i="36"/>
  <c r="O27" i="36"/>
  <c r="M37" i="36"/>
  <c r="O8" i="37"/>
  <c r="Q8" i="37"/>
  <c r="R8" i="37" s="1"/>
  <c r="O13" i="37"/>
  <c r="S14" i="37"/>
  <c r="AN14" i="37" s="1"/>
  <c r="AM17" i="37"/>
  <c r="O19" i="37"/>
  <c r="AF13" i="36"/>
  <c r="O18" i="36"/>
  <c r="O20" i="36"/>
  <c r="O21" i="36"/>
  <c r="O23" i="36"/>
  <c r="O26" i="36"/>
  <c r="O29" i="36"/>
  <c r="O31" i="36"/>
  <c r="Q31" i="36"/>
  <c r="R31" i="36" s="1"/>
  <c r="I9" i="37"/>
  <c r="O9" i="37"/>
  <c r="O10" i="37"/>
  <c r="O15" i="37"/>
  <c r="O31" i="38"/>
  <c r="Q31" i="38"/>
  <c r="R31" i="38" s="1"/>
  <c r="AL9" i="39"/>
  <c r="I29" i="39"/>
  <c r="J29" i="39"/>
  <c r="L29" i="39" s="1"/>
  <c r="AB29" i="39" s="1"/>
  <c r="O32" i="39"/>
  <c r="Q32" i="39"/>
  <c r="R32" i="39" s="1"/>
  <c r="I5" i="40"/>
  <c r="J5" i="40"/>
  <c r="L5" i="40" s="1"/>
  <c r="O20" i="40"/>
  <c r="O33" i="40"/>
  <c r="H37" i="40"/>
  <c r="J20" i="43"/>
  <c r="L20" i="43" s="1"/>
  <c r="AB20" i="43" s="1"/>
  <c r="I20" i="43"/>
  <c r="B7" i="36"/>
  <c r="B7" i="40"/>
  <c r="AB22" i="40" s="1"/>
  <c r="B7" i="39"/>
  <c r="B7" i="43"/>
  <c r="AB33" i="43" s="1"/>
  <c r="B7" i="38"/>
  <c r="B7" i="34"/>
  <c r="B7" i="37"/>
  <c r="AA11" i="39"/>
  <c r="O8" i="36"/>
  <c r="O19" i="36"/>
  <c r="H35" i="36"/>
  <c r="G37" i="36"/>
  <c r="O12" i="37"/>
  <c r="O20" i="37"/>
  <c r="O22" i="37"/>
  <c r="O24" i="37"/>
  <c r="I29" i="37"/>
  <c r="N37" i="37"/>
  <c r="I29" i="38"/>
  <c r="O33" i="38"/>
  <c r="Q33" i="38"/>
  <c r="R33" i="38" s="1"/>
  <c r="I6" i="39"/>
  <c r="J6" i="39"/>
  <c r="L6" i="39" s="1"/>
  <c r="O15" i="39"/>
  <c r="AL20" i="40"/>
  <c r="I24" i="40"/>
  <c r="O29" i="40"/>
  <c r="I32" i="40"/>
  <c r="M37" i="40"/>
  <c r="S8" i="43"/>
  <c r="AM8" i="43" s="1"/>
  <c r="O18" i="43"/>
  <c r="Q26" i="43"/>
  <c r="R26" i="43" s="1"/>
  <c r="I29" i="43"/>
  <c r="J29" i="43"/>
  <c r="L29" i="43" s="1"/>
  <c r="H35" i="43"/>
  <c r="H37" i="43" s="1"/>
  <c r="G37" i="43"/>
  <c r="Q16" i="37"/>
  <c r="R16" i="37" s="1"/>
  <c r="O16" i="37"/>
  <c r="O32" i="37"/>
  <c r="Q32" i="37"/>
  <c r="R32" i="37" s="1"/>
  <c r="Q24" i="38"/>
  <c r="R24" i="38" s="1"/>
  <c r="O24" i="38"/>
  <c r="O7" i="39"/>
  <c r="O18" i="39"/>
  <c r="O14" i="43"/>
  <c r="J23" i="43"/>
  <c r="L23" i="43" s="1"/>
  <c r="AD23" i="43" s="1"/>
  <c r="I23" i="43"/>
  <c r="O34" i="37"/>
  <c r="Q34" i="37"/>
  <c r="R34" i="37" s="1"/>
  <c r="S34" i="37" s="1"/>
  <c r="AN34" i="37" s="1"/>
  <c r="I30" i="39"/>
  <c r="J30" i="39"/>
  <c r="L30" i="39" s="1"/>
  <c r="O33" i="39"/>
  <c r="I16" i="43"/>
  <c r="J16" i="43"/>
  <c r="L16" i="43" s="1"/>
  <c r="O22" i="36"/>
  <c r="O32" i="36"/>
  <c r="O21" i="37"/>
  <c r="O23" i="37"/>
  <c r="I31" i="37"/>
  <c r="I33" i="37"/>
  <c r="O25" i="38"/>
  <c r="Q25" i="38"/>
  <c r="R25" i="38" s="1"/>
  <c r="O12" i="39"/>
  <c r="Q12" i="39"/>
  <c r="R12" i="39" s="1"/>
  <c r="J24" i="39"/>
  <c r="L24" i="39" s="1"/>
  <c r="AA24" i="39" s="1"/>
  <c r="I24" i="39"/>
  <c r="I28" i="39"/>
  <c r="J28" i="39"/>
  <c r="L28" i="39" s="1"/>
  <c r="O29" i="39"/>
  <c r="N37" i="39"/>
  <c r="O35" i="39"/>
  <c r="O37" i="39" s="1"/>
  <c r="O19" i="40"/>
  <c r="O24" i="40"/>
  <c r="Q27" i="40"/>
  <c r="R27" i="40" s="1"/>
  <c r="O27" i="40"/>
  <c r="I34" i="40"/>
  <c r="O7" i="43"/>
  <c r="Q7" i="43"/>
  <c r="R7" i="43" s="1"/>
  <c r="S7" i="43" s="1"/>
  <c r="AM7" i="43" s="1"/>
  <c r="I10" i="43"/>
  <c r="J10" i="43"/>
  <c r="L10" i="43" s="1"/>
  <c r="O15" i="43"/>
  <c r="Q24" i="43"/>
  <c r="R24" i="43" s="1"/>
  <c r="O24" i="43"/>
  <c r="O32" i="43"/>
  <c r="Q32" i="43"/>
  <c r="R32" i="43" s="1"/>
  <c r="N37" i="36"/>
  <c r="O6" i="37"/>
  <c r="Q6" i="37"/>
  <c r="R6" i="37" s="1"/>
  <c r="S6" i="37" s="1"/>
  <c r="AN6" i="37" s="1"/>
  <c r="O31" i="37"/>
  <c r="O33" i="37"/>
  <c r="Q33" i="37"/>
  <c r="R33" i="37" s="1"/>
  <c r="S33" i="37" s="1"/>
  <c r="AN33" i="37" s="1"/>
  <c r="M37" i="37"/>
  <c r="O34" i="38"/>
  <c r="Q34" i="38"/>
  <c r="R34" i="38" s="1"/>
  <c r="O6" i="39"/>
  <c r="Q6" i="39"/>
  <c r="R6" i="39" s="1"/>
  <c r="Q10" i="39"/>
  <c r="R10" i="39" s="1"/>
  <c r="O34" i="39"/>
  <c r="Q34" i="39"/>
  <c r="R34" i="39" s="1"/>
  <c r="H35" i="39"/>
  <c r="H37" i="39" s="1"/>
  <c r="G37" i="39"/>
  <c r="O5" i="40"/>
  <c r="O10" i="40"/>
  <c r="O32" i="40"/>
  <c r="O34" i="40"/>
  <c r="O23" i="43"/>
  <c r="Q23" i="43"/>
  <c r="R23" i="43" s="1"/>
  <c r="S23" i="43" s="1"/>
  <c r="AM23" i="43" s="1"/>
  <c r="Q27" i="43"/>
  <c r="R27" i="43" s="1"/>
  <c r="O31" i="43"/>
  <c r="Q31" i="43"/>
  <c r="R31" i="43" s="1"/>
  <c r="S31" i="43" s="1"/>
  <c r="AM31" i="43" s="1"/>
  <c r="N37" i="43"/>
  <c r="AD25" i="43"/>
  <c r="B35" i="39"/>
  <c r="O32" i="38"/>
  <c r="Q32" i="38"/>
  <c r="R32" i="38" s="1"/>
  <c r="N37" i="38"/>
  <c r="O8" i="39"/>
  <c r="O24" i="39"/>
  <c r="M37" i="39"/>
  <c r="O9" i="40"/>
  <c r="Q9" i="40"/>
  <c r="R9" i="40" s="1"/>
  <c r="S9" i="40" s="1"/>
  <c r="AM9" i="40" s="1"/>
  <c r="G37" i="40"/>
  <c r="N37" i="40"/>
  <c r="O22" i="43"/>
  <c r="O33" i="43"/>
  <c r="K37" i="43"/>
  <c r="AG11" i="37"/>
  <c r="AG20" i="37"/>
  <c r="AG26" i="37"/>
  <c r="AL29" i="37"/>
  <c r="AL30" i="37"/>
  <c r="AG30" i="37"/>
  <c r="AG6" i="37"/>
  <c r="AG7" i="37"/>
  <c r="AG12" i="37"/>
  <c r="AG13" i="37"/>
  <c r="AG14" i="37"/>
  <c r="AG16" i="37"/>
  <c r="AG23" i="37"/>
  <c r="AG32" i="37"/>
  <c r="AG33" i="37"/>
  <c r="AG5" i="37"/>
  <c r="AG9" i="37"/>
  <c r="AG17" i="37"/>
  <c r="AG19" i="37"/>
  <c r="AG25" i="37"/>
  <c r="AG28" i="37"/>
  <c r="AG29" i="37"/>
  <c r="AL6" i="38"/>
  <c r="AK23" i="38"/>
  <c r="AL26" i="38"/>
  <c r="AL23" i="38"/>
  <c r="AL24" i="38"/>
  <c r="AL13" i="38"/>
  <c r="AL33" i="38"/>
  <c r="H35" i="38"/>
  <c r="J35" i="38" s="1"/>
  <c r="L35" i="38" s="1"/>
  <c r="O35" i="38"/>
  <c r="AL26" i="34"/>
  <c r="AL10" i="34"/>
  <c r="AM13" i="37"/>
  <c r="AM20" i="37"/>
  <c r="AM34" i="37"/>
  <c r="AL7" i="38"/>
  <c r="AL8" i="38"/>
  <c r="AL14" i="38"/>
  <c r="AL17" i="38"/>
  <c r="AL19" i="38"/>
  <c r="AL21" i="38"/>
  <c r="AL25" i="38"/>
  <c r="AL28" i="38"/>
  <c r="AL29" i="38"/>
  <c r="AL32" i="38"/>
  <c r="AL34" i="39"/>
  <c r="AL7" i="40"/>
  <c r="AL11" i="40"/>
  <c r="AL19" i="40"/>
  <c r="AL25" i="40"/>
  <c r="AL22" i="34"/>
  <c r="AL6" i="34"/>
  <c r="AM16" i="37"/>
  <c r="AM25" i="37"/>
  <c r="AL5" i="38"/>
  <c r="AL37" i="38" s="1"/>
  <c r="AL15" i="38"/>
  <c r="AL22" i="38"/>
  <c r="AL31" i="38"/>
  <c r="AL18" i="40"/>
  <c r="AL34" i="34"/>
  <c r="AL18" i="34"/>
  <c r="AM21" i="37"/>
  <c r="AL9" i="38"/>
  <c r="AL10" i="38"/>
  <c r="AL11" i="38"/>
  <c r="AL12" i="38"/>
  <c r="AL16" i="38"/>
  <c r="AL18" i="38"/>
  <c r="AL20" i="38"/>
  <c r="AL27" i="38"/>
  <c r="AL30" i="38"/>
  <c r="AL34" i="38"/>
  <c r="AL5" i="39"/>
  <c r="AL26" i="39"/>
  <c r="AL21" i="40"/>
  <c r="AF5" i="36"/>
  <c r="AF6" i="36"/>
  <c r="AF29" i="36"/>
  <c r="AF35" i="36"/>
  <c r="AF10" i="36"/>
  <c r="AF19" i="36"/>
  <c r="AF24" i="36"/>
  <c r="AF25" i="36"/>
  <c r="AF26" i="36"/>
  <c r="AF11" i="38"/>
  <c r="AF14" i="38"/>
  <c r="AF31" i="38"/>
  <c r="AF32" i="38"/>
  <c r="AF5" i="38"/>
  <c r="AF7" i="38"/>
  <c r="AF9" i="38"/>
  <c r="AF13" i="38"/>
  <c r="AF15" i="38"/>
  <c r="AF24" i="38"/>
  <c r="AF28" i="38"/>
  <c r="AF8" i="38"/>
  <c r="AF10" i="38"/>
  <c r="AF22" i="38"/>
  <c r="AF26" i="38"/>
  <c r="AF27" i="38"/>
  <c r="AF35" i="38"/>
  <c r="AF11" i="36"/>
  <c r="AF14" i="36"/>
  <c r="AF16" i="36"/>
  <c r="AF18" i="36"/>
  <c r="AF20" i="36"/>
  <c r="AF22" i="36"/>
  <c r="AF27" i="36"/>
  <c r="AF28" i="36"/>
  <c r="AF29" i="40"/>
  <c r="AF7" i="36"/>
  <c r="AF8" i="36"/>
  <c r="AF15" i="36"/>
  <c r="AF17" i="36"/>
  <c r="AF21" i="36"/>
  <c r="AF33" i="36"/>
  <c r="AF34" i="36"/>
  <c r="AF25" i="40"/>
  <c r="AF26" i="40"/>
  <c r="AF32" i="40"/>
  <c r="AF18" i="40"/>
  <c r="AF33" i="40"/>
  <c r="AF9" i="36"/>
  <c r="AF12" i="36"/>
  <c r="AF23" i="36"/>
  <c r="AF30" i="36"/>
  <c r="AF12" i="40"/>
  <c r="AF23" i="40"/>
  <c r="AM18" i="37"/>
  <c r="AL22" i="39"/>
  <c r="AL33" i="43"/>
  <c r="AM15" i="37"/>
  <c r="AM19" i="37"/>
  <c r="AM29" i="37"/>
  <c r="AL20" i="39"/>
  <c r="B35" i="34"/>
  <c r="AM5" i="37"/>
  <c r="AM14" i="37"/>
  <c r="AM22" i="37"/>
  <c r="AM27" i="37"/>
  <c r="AM28" i="37"/>
  <c r="AM33" i="37"/>
  <c r="AM35" i="37"/>
  <c r="AL6" i="39"/>
  <c r="AL14" i="39"/>
  <c r="AL18" i="39"/>
  <c r="AL31" i="39"/>
  <c r="AL35" i="39"/>
  <c r="AM6" i="37"/>
  <c r="AM8" i="37"/>
  <c r="AM9" i="37"/>
  <c r="AM11" i="37"/>
  <c r="AM24" i="37"/>
  <c r="AM26" i="37"/>
  <c r="AM30" i="37"/>
  <c r="AM32" i="37"/>
  <c r="AL7" i="39"/>
  <c r="AL8" i="39"/>
  <c r="AL11" i="39"/>
  <c r="AL12" i="39"/>
  <c r="AL15" i="39"/>
  <c r="AL19" i="39"/>
  <c r="AL23" i="39"/>
  <c r="AL25" i="39"/>
  <c r="AL27" i="39"/>
  <c r="AL28" i="39"/>
  <c r="AL32" i="39"/>
  <c r="AM7" i="37"/>
  <c r="AM10" i="37"/>
  <c r="AM12" i="37"/>
  <c r="AM23" i="37"/>
  <c r="AL10" i="39"/>
  <c r="AL13" i="39"/>
  <c r="AL17" i="39"/>
  <c r="AL21" i="39"/>
  <c r="AL24" i="39"/>
  <c r="AL29" i="39"/>
  <c r="AL30" i="39"/>
  <c r="AL16" i="43"/>
  <c r="AL17" i="43"/>
  <c r="AL18" i="43"/>
  <c r="AL23" i="43"/>
  <c r="AL30" i="40"/>
  <c r="AL35" i="40"/>
  <c r="AL33" i="34"/>
  <c r="AL29" i="34"/>
  <c r="AL25" i="34"/>
  <c r="AL21" i="34"/>
  <c r="AL17" i="34"/>
  <c r="AL13" i="34"/>
  <c r="AL9" i="34"/>
  <c r="AL6" i="36"/>
  <c r="AL7" i="36"/>
  <c r="AL10" i="36"/>
  <c r="AL14" i="36"/>
  <c r="AL17" i="36"/>
  <c r="AL21" i="36"/>
  <c r="AL24" i="36"/>
  <c r="AL26" i="36"/>
  <c r="AL28" i="36"/>
  <c r="AL34" i="36"/>
  <c r="AL35" i="36"/>
  <c r="AL6" i="40"/>
  <c r="AL13" i="40"/>
  <c r="AL15" i="40"/>
  <c r="AL17" i="40"/>
  <c r="AL23" i="40"/>
  <c r="AL26" i="40"/>
  <c r="AL28" i="40"/>
  <c r="AL32" i="40"/>
  <c r="AL33" i="40"/>
  <c r="AL5" i="34"/>
  <c r="AL32" i="34"/>
  <c r="AL28" i="34"/>
  <c r="AL24" i="34"/>
  <c r="AL20" i="34"/>
  <c r="AL16" i="34"/>
  <c r="AL12" i="34"/>
  <c r="AL8" i="34"/>
  <c r="AL9" i="36"/>
  <c r="AL13" i="36"/>
  <c r="AL18" i="36"/>
  <c r="AL20" i="36"/>
  <c r="AL22" i="36"/>
  <c r="AL23" i="36"/>
  <c r="AL29" i="36"/>
  <c r="AL31" i="36"/>
  <c r="AL5" i="40"/>
  <c r="AL8" i="40"/>
  <c r="AL9" i="40"/>
  <c r="AL10" i="40"/>
  <c r="AL22" i="40"/>
  <c r="AL24" i="40"/>
  <c r="AL27" i="40"/>
  <c r="AL29" i="40"/>
  <c r="AL34" i="40"/>
  <c r="AL35" i="34"/>
  <c r="AL31" i="34"/>
  <c r="AL27" i="34"/>
  <c r="AL23" i="34"/>
  <c r="AL19" i="34"/>
  <c r="AL15" i="34"/>
  <c r="AL11" i="34"/>
  <c r="AL5" i="36"/>
  <c r="AL8" i="36"/>
  <c r="AL12" i="36"/>
  <c r="AL19" i="36"/>
  <c r="AL25" i="36"/>
  <c r="AL30" i="36"/>
  <c r="AL12" i="40"/>
  <c r="AL14" i="40"/>
  <c r="AL16" i="40"/>
  <c r="AL5" i="43"/>
  <c r="AL6" i="43"/>
  <c r="AL8" i="43"/>
  <c r="AL9" i="43"/>
  <c r="AL10" i="43"/>
  <c r="AL14" i="43"/>
  <c r="AL15" i="43"/>
  <c r="AL19" i="43"/>
  <c r="AL28" i="43"/>
  <c r="AL32" i="43"/>
  <c r="AL34" i="43"/>
  <c r="AL11" i="43"/>
  <c r="AL21" i="43"/>
  <c r="AL22" i="43"/>
  <c r="AL27" i="43"/>
  <c r="AL30" i="43"/>
  <c r="AL20" i="43"/>
  <c r="AL29" i="43"/>
  <c r="AF23" i="38"/>
  <c r="AF33" i="38"/>
  <c r="AF8" i="40"/>
  <c r="AF14" i="40"/>
  <c r="AF17" i="40"/>
  <c r="AF19" i="40"/>
  <c r="AF22" i="40"/>
  <c r="AF6" i="38"/>
  <c r="AF12" i="38"/>
  <c r="AF16" i="38"/>
  <c r="AF17" i="38"/>
  <c r="AF18" i="38"/>
  <c r="AF19" i="38"/>
  <c r="AF20" i="38"/>
  <c r="AF21" i="38"/>
  <c r="AF25" i="38"/>
  <c r="AF29" i="38"/>
  <c r="AF30" i="38"/>
  <c r="AF10" i="40"/>
  <c r="AF13" i="40"/>
  <c r="AF16" i="40"/>
  <c r="AF20" i="40"/>
  <c r="AF27" i="40"/>
  <c r="AF28" i="40"/>
  <c r="AF30" i="40"/>
  <c r="AF31" i="40"/>
  <c r="AF34" i="40"/>
  <c r="AF11" i="43"/>
  <c r="AF18" i="43"/>
  <c r="AF19" i="43"/>
  <c r="AF20" i="43"/>
  <c r="AF22" i="43"/>
  <c r="AF25" i="43"/>
  <c r="AF28" i="43"/>
  <c r="AF29" i="43"/>
  <c r="AF30" i="43"/>
  <c r="B35" i="40"/>
  <c r="B35" i="43"/>
  <c r="B35" i="38"/>
  <c r="B35" i="37"/>
  <c r="AF5" i="40"/>
  <c r="AF37" i="40" s="1"/>
  <c r="AF6" i="40"/>
  <c r="AF7" i="40"/>
  <c r="AD9" i="40"/>
  <c r="AF9" i="40"/>
  <c r="AF11" i="40"/>
  <c r="AF15" i="40"/>
  <c r="AF21" i="40"/>
  <c r="AF24" i="40"/>
  <c r="AC5" i="39"/>
  <c r="AA9" i="39"/>
  <c r="AA10" i="39"/>
  <c r="AC24" i="39"/>
  <c r="AD7" i="43"/>
  <c r="AL7" i="43"/>
  <c r="AL12" i="43"/>
  <c r="AL13" i="43"/>
  <c r="AL24" i="43"/>
  <c r="AL25" i="43"/>
  <c r="AL26" i="43"/>
  <c r="AC8" i="43"/>
  <c r="J17" i="43"/>
  <c r="L17" i="43" s="1"/>
  <c r="AD17" i="43" s="1"/>
  <c r="I22" i="43"/>
  <c r="J26" i="43"/>
  <c r="L26" i="43" s="1"/>
  <c r="AD26" i="43" s="1"/>
  <c r="I28" i="43"/>
  <c r="I33" i="43"/>
  <c r="J15" i="43"/>
  <c r="L15" i="43" s="1"/>
  <c r="J19" i="43"/>
  <c r="L19" i="43" s="1"/>
  <c r="S25" i="43"/>
  <c r="AM25" i="43" s="1"/>
  <c r="AA32" i="43"/>
  <c r="AA33" i="43"/>
  <c r="AA25" i="43"/>
  <c r="AA34" i="43"/>
  <c r="AA21" i="43"/>
  <c r="AA22" i="43"/>
  <c r="AA20" i="43"/>
  <c r="AA28" i="43"/>
  <c r="AA6" i="43"/>
  <c r="O10" i="43"/>
  <c r="AK6" i="43"/>
  <c r="J24" i="43"/>
  <c r="L24" i="43" s="1"/>
  <c r="AA24" i="43" s="1"/>
  <c r="I24" i="43"/>
  <c r="J8" i="43"/>
  <c r="L8" i="43" s="1"/>
  <c r="AA8" i="43" s="1"/>
  <c r="I8" i="43"/>
  <c r="J5" i="43"/>
  <c r="L5" i="43" s="1"/>
  <c r="Q5" i="43"/>
  <c r="I7" i="43"/>
  <c r="AK8" i="43"/>
  <c r="K9" i="43"/>
  <c r="Q11" i="43"/>
  <c r="R11" i="43" s="1"/>
  <c r="I12" i="43"/>
  <c r="J12" i="43"/>
  <c r="L12" i="43" s="1"/>
  <c r="AC12" i="43" s="1"/>
  <c r="K5" i="43"/>
  <c r="O5" i="43"/>
  <c r="O37" i="43" s="1"/>
  <c r="O6" i="43"/>
  <c r="AK7" i="43"/>
  <c r="AA7" i="43"/>
  <c r="O9" i="43"/>
  <c r="K10" i="43"/>
  <c r="I11" i="43"/>
  <c r="J11" i="43"/>
  <c r="L11" i="43" s="1"/>
  <c r="AK21" i="43"/>
  <c r="AK24" i="43"/>
  <c r="O28" i="43"/>
  <c r="K11" i="43"/>
  <c r="O11" i="43"/>
  <c r="K12" i="43"/>
  <c r="O12" i="43"/>
  <c r="K13" i="43"/>
  <c r="O13" i="43"/>
  <c r="K14" i="43"/>
  <c r="AA14" i="43" s="1"/>
  <c r="K15" i="43"/>
  <c r="K16" i="43"/>
  <c r="AC16" i="43" s="1"/>
  <c r="K17" i="43"/>
  <c r="K18" i="43"/>
  <c r="AA18" i="43" s="1"/>
  <c r="K19" i="43"/>
  <c r="O20" i="43"/>
  <c r="AK23" i="43"/>
  <c r="O29" i="43"/>
  <c r="O30" i="43"/>
  <c r="AC34" i="43"/>
  <c r="AC33" i="43"/>
  <c r="AC32" i="43"/>
  <c r="AC25" i="43"/>
  <c r="AC22" i="43"/>
  <c r="AC21" i="43"/>
  <c r="Q12" i="43"/>
  <c r="R12" i="43" s="1"/>
  <c r="Q13" i="43"/>
  <c r="R13" i="43" s="1"/>
  <c r="Q14" i="43"/>
  <c r="R14" i="43" s="1"/>
  <c r="AC14" i="43"/>
  <c r="Q15" i="43"/>
  <c r="R15" i="43" s="1"/>
  <c r="Q16" i="43"/>
  <c r="R16" i="43" s="1"/>
  <c r="Q17" i="43"/>
  <c r="R17" i="43" s="1"/>
  <c r="Q18" i="43"/>
  <c r="R18" i="43" s="1"/>
  <c r="Q19" i="43"/>
  <c r="R19" i="43" s="1"/>
  <c r="I21" i="43"/>
  <c r="O21" i="43"/>
  <c r="AK22" i="43"/>
  <c r="Q22" i="43"/>
  <c r="R22" i="43" s="1"/>
  <c r="AK26" i="43"/>
  <c r="O26" i="43"/>
  <c r="J27" i="43"/>
  <c r="L27" i="43" s="1"/>
  <c r="J31" i="43"/>
  <c r="L31" i="43" s="1"/>
  <c r="I31" i="43"/>
  <c r="J35" i="43"/>
  <c r="I35" i="43"/>
  <c r="I37" i="43" s="1"/>
  <c r="AC7" i="43"/>
  <c r="AD33" i="43"/>
  <c r="AD21" i="43"/>
  <c r="AD20" i="43"/>
  <c r="AD34" i="43"/>
  <c r="AD32" i="43"/>
  <c r="AK20" i="43"/>
  <c r="AD22" i="43"/>
  <c r="I25" i="43"/>
  <c r="K27" i="43"/>
  <c r="AD27" i="43" s="1"/>
  <c r="O27" i="43"/>
  <c r="AK35" i="43"/>
  <c r="AK34" i="43"/>
  <c r="AK25" i="43"/>
  <c r="K28" i="43"/>
  <c r="AC28" i="43" s="1"/>
  <c r="K29" i="43"/>
  <c r="K30" i="43"/>
  <c r="I32" i="43"/>
  <c r="AK33" i="43"/>
  <c r="Q33" i="43"/>
  <c r="R33" i="43" s="1"/>
  <c r="AK31" i="43"/>
  <c r="AK32" i="43"/>
  <c r="I22" i="40"/>
  <c r="I31" i="40"/>
  <c r="I33" i="40"/>
  <c r="J8" i="40"/>
  <c r="L8" i="40" s="1"/>
  <c r="AA8" i="40" s="1"/>
  <c r="I10" i="40"/>
  <c r="J12" i="40"/>
  <c r="L12" i="40" s="1"/>
  <c r="J13" i="40"/>
  <c r="L13" i="40" s="1"/>
  <c r="AA5" i="40"/>
  <c r="AC34" i="40"/>
  <c r="AC33" i="40"/>
  <c r="AC32" i="40"/>
  <c r="AC31" i="40"/>
  <c r="AC25" i="40"/>
  <c r="AC23" i="40"/>
  <c r="AC22" i="40"/>
  <c r="AC27" i="40"/>
  <c r="AC10" i="40"/>
  <c r="AC9" i="40"/>
  <c r="AC5" i="40"/>
  <c r="AC21" i="40"/>
  <c r="AC24" i="40"/>
  <c r="O12" i="40"/>
  <c r="Q15" i="40"/>
  <c r="R15" i="40" s="1"/>
  <c r="I16" i="40"/>
  <c r="J16" i="40"/>
  <c r="L16" i="40" s="1"/>
  <c r="AB5" i="40"/>
  <c r="AK8" i="40"/>
  <c r="O11" i="40"/>
  <c r="I15" i="40"/>
  <c r="J15" i="40"/>
  <c r="L15" i="40" s="1"/>
  <c r="Q18" i="40"/>
  <c r="R18" i="40" s="1"/>
  <c r="Q5" i="40"/>
  <c r="AA31" i="40"/>
  <c r="AA24" i="40"/>
  <c r="AA34" i="40"/>
  <c r="AA33" i="40"/>
  <c r="AA32" i="40"/>
  <c r="AA23" i="40"/>
  <c r="AA6" i="40"/>
  <c r="AA25" i="40"/>
  <c r="AA22" i="40"/>
  <c r="AA10" i="40"/>
  <c r="I6" i="40"/>
  <c r="AC6" i="40"/>
  <c r="J7" i="40"/>
  <c r="L7" i="40" s="1"/>
  <c r="Q7" i="40"/>
  <c r="R7" i="40" s="1"/>
  <c r="AD32" i="40"/>
  <c r="I9" i="40"/>
  <c r="AK10" i="40"/>
  <c r="AB10" i="40"/>
  <c r="Q10" i="40"/>
  <c r="R10" i="40" s="1"/>
  <c r="J11" i="40"/>
  <c r="L11" i="40" s="1"/>
  <c r="O14" i="40"/>
  <c r="Q17" i="40"/>
  <c r="R17" i="40" s="1"/>
  <c r="I18" i="40"/>
  <c r="J18" i="40"/>
  <c r="L18" i="40" s="1"/>
  <c r="AK5" i="40"/>
  <c r="AK6" i="40"/>
  <c r="AB6" i="40"/>
  <c r="K7" i="40"/>
  <c r="O7" i="40"/>
  <c r="O8" i="40"/>
  <c r="AK9" i="40"/>
  <c r="AB9" i="40"/>
  <c r="AA9" i="40"/>
  <c r="O13" i="40"/>
  <c r="J14" i="40"/>
  <c r="L14" i="40" s="1"/>
  <c r="Q16" i="40"/>
  <c r="R16" i="40" s="1"/>
  <c r="I17" i="40"/>
  <c r="J17" i="40"/>
  <c r="L17" i="40" s="1"/>
  <c r="O22" i="40"/>
  <c r="AK25" i="40"/>
  <c r="I27" i="40"/>
  <c r="J27" i="40"/>
  <c r="L27" i="40" s="1"/>
  <c r="AB27" i="40"/>
  <c r="K11" i="40"/>
  <c r="K12" i="40"/>
  <c r="K13" i="40"/>
  <c r="K14" i="40"/>
  <c r="K15" i="40"/>
  <c r="O15" i="40"/>
  <c r="K16" i="40"/>
  <c r="O16" i="40"/>
  <c r="K17" i="40"/>
  <c r="O17" i="40"/>
  <c r="K18" i="40"/>
  <c r="O18" i="40"/>
  <c r="AK19" i="40"/>
  <c r="AK20" i="40"/>
  <c r="AK21" i="40"/>
  <c r="I23" i="40"/>
  <c r="O23" i="40"/>
  <c r="AK24" i="40"/>
  <c r="Q24" i="40"/>
  <c r="R24" i="40" s="1"/>
  <c r="S24" i="40" s="1"/>
  <c r="AM24" i="40" s="1"/>
  <c r="AK27" i="40"/>
  <c r="AK22" i="40"/>
  <c r="S25" i="40"/>
  <c r="AM25" i="40" s="1"/>
  <c r="I26" i="40"/>
  <c r="J26" i="40"/>
  <c r="L26" i="40" s="1"/>
  <c r="AB25" i="40"/>
  <c r="AB24" i="40"/>
  <c r="AB34" i="40"/>
  <c r="AB33" i="40"/>
  <c r="AB32" i="40"/>
  <c r="AB31" i="40"/>
  <c r="J19" i="40"/>
  <c r="L19" i="40" s="1"/>
  <c r="AA19" i="40" s="1"/>
  <c r="Q19" i="40"/>
  <c r="R19" i="40" s="1"/>
  <c r="J20" i="40"/>
  <c r="L20" i="40" s="1"/>
  <c r="AC20" i="40" s="1"/>
  <c r="Q20" i="40"/>
  <c r="R20" i="40" s="1"/>
  <c r="S20" i="40" s="1"/>
  <c r="AM20" i="40" s="1"/>
  <c r="J21" i="40"/>
  <c r="L21" i="40" s="1"/>
  <c r="Q21" i="40"/>
  <c r="R21" i="40" s="1"/>
  <c r="S21" i="40" s="1"/>
  <c r="AM21" i="40" s="1"/>
  <c r="AB23" i="40"/>
  <c r="AK23" i="40"/>
  <c r="I25" i="40"/>
  <c r="K26" i="40"/>
  <c r="AC26" i="40" s="1"/>
  <c r="AK34" i="40"/>
  <c r="J35" i="40"/>
  <c r="I35" i="40"/>
  <c r="I37" i="40" s="1"/>
  <c r="K28" i="40"/>
  <c r="O28" i="40"/>
  <c r="K29" i="40"/>
  <c r="AC29" i="40" s="1"/>
  <c r="AK31" i="40"/>
  <c r="Q28" i="40"/>
  <c r="R28" i="40" s="1"/>
  <c r="Q29" i="40"/>
  <c r="R29" i="40" s="1"/>
  <c r="J30" i="40"/>
  <c r="L30" i="40" s="1"/>
  <c r="Q30" i="40"/>
  <c r="R30" i="40" s="1"/>
  <c r="AK32" i="40"/>
  <c r="Q35" i="40"/>
  <c r="R35" i="40" s="1"/>
  <c r="S35" i="40" s="1"/>
  <c r="AM35" i="40" s="1"/>
  <c r="K30" i="40"/>
  <c r="O30" i="40"/>
  <c r="AK33" i="40"/>
  <c r="AK35" i="40"/>
  <c r="AC7" i="39"/>
  <c r="S25" i="39"/>
  <c r="AM25" i="39" s="1"/>
  <c r="I22" i="39"/>
  <c r="I5" i="39"/>
  <c r="I9" i="39"/>
  <c r="J23" i="39"/>
  <c r="Q7" i="39"/>
  <c r="R7" i="39" s="1"/>
  <c r="S7" i="39" s="1"/>
  <c r="AM7" i="39" s="1"/>
  <c r="Q14" i="39"/>
  <c r="R14" i="39" s="1"/>
  <c r="S14" i="39" s="1"/>
  <c r="AM14" i="39" s="1"/>
  <c r="Q18" i="39"/>
  <c r="R18" i="39" s="1"/>
  <c r="S18" i="39" s="1"/>
  <c r="AM18" i="39" s="1"/>
  <c r="K6" i="39"/>
  <c r="I7" i="39"/>
  <c r="J8" i="39"/>
  <c r="L8" i="39" s="1"/>
  <c r="AD29" i="39"/>
  <c r="Q16" i="39"/>
  <c r="R16" i="39" s="1"/>
  <c r="S16" i="39" s="1"/>
  <c r="AM16" i="39" s="1"/>
  <c r="Q20" i="39"/>
  <c r="R20" i="39" s="1"/>
  <c r="S20" i="39" s="1"/>
  <c r="AM20" i="39" s="1"/>
  <c r="Q15" i="39"/>
  <c r="R15" i="39" s="1"/>
  <c r="Q19" i="39"/>
  <c r="R19" i="39" s="1"/>
  <c r="S19" i="39" s="1"/>
  <c r="AM19" i="39" s="1"/>
  <c r="AK5" i="39"/>
  <c r="I10" i="39"/>
  <c r="I12" i="39"/>
  <c r="J12" i="39"/>
  <c r="L12" i="39" s="1"/>
  <c r="Q5" i="39"/>
  <c r="AA5" i="39"/>
  <c r="AB24" i="39"/>
  <c r="AB34" i="39"/>
  <c r="AB33" i="39"/>
  <c r="AB31" i="39"/>
  <c r="AB11" i="39"/>
  <c r="AB10" i="39"/>
  <c r="AB9" i="39"/>
  <c r="AB5" i="39"/>
  <c r="AB7" i="39"/>
  <c r="AK7" i="39"/>
  <c r="K8" i="39"/>
  <c r="Q9" i="39"/>
  <c r="R9" i="39" s="1"/>
  <c r="I11" i="39"/>
  <c r="Q17" i="39"/>
  <c r="R17" i="39" s="1"/>
  <c r="AC9" i="39"/>
  <c r="AC10" i="39"/>
  <c r="S11" i="39"/>
  <c r="AM11" i="39" s="1"/>
  <c r="AC11" i="39"/>
  <c r="AK14" i="39"/>
  <c r="AK16" i="39"/>
  <c r="AK18" i="39"/>
  <c r="AK20" i="39"/>
  <c r="Q24" i="39"/>
  <c r="R24" i="39" s="1"/>
  <c r="AK26" i="39"/>
  <c r="Q27" i="39"/>
  <c r="R27" i="39" s="1"/>
  <c r="K28" i="39"/>
  <c r="AC34" i="39"/>
  <c r="AC33" i="39"/>
  <c r="AC31" i="39"/>
  <c r="AC29" i="39"/>
  <c r="AC28" i="39"/>
  <c r="K12" i="39"/>
  <c r="J13" i="39"/>
  <c r="J15" i="39"/>
  <c r="J17" i="39"/>
  <c r="J19" i="39"/>
  <c r="I21" i="39"/>
  <c r="J21" i="39"/>
  <c r="O22" i="39"/>
  <c r="J25" i="39"/>
  <c r="I25" i="39"/>
  <c r="I26" i="39"/>
  <c r="J26" i="39"/>
  <c r="O28" i="39"/>
  <c r="K30" i="39"/>
  <c r="AK13" i="39"/>
  <c r="AK15" i="39"/>
  <c r="AK17" i="39"/>
  <c r="AK19" i="39"/>
  <c r="AK21" i="39"/>
  <c r="AK25" i="39"/>
  <c r="Q26" i="39"/>
  <c r="R26" i="39" s="1"/>
  <c r="S26" i="39" s="1"/>
  <c r="AM26" i="39" s="1"/>
  <c r="I27" i="39"/>
  <c r="J27" i="39"/>
  <c r="AK29" i="39"/>
  <c r="O30" i="39"/>
  <c r="AA33" i="39"/>
  <c r="AA34" i="39"/>
  <c r="AA31" i="39"/>
  <c r="AA29" i="39"/>
  <c r="AK9" i="39"/>
  <c r="AK10" i="39"/>
  <c r="AK11" i="39"/>
  <c r="J14" i="39"/>
  <c r="J16" i="39"/>
  <c r="J18" i="39"/>
  <c r="J20" i="39"/>
  <c r="K22" i="39"/>
  <c r="AC22" i="39" s="1"/>
  <c r="O31" i="39"/>
  <c r="Q21" i="39"/>
  <c r="R21" i="39" s="1"/>
  <c r="S21" i="39" s="1"/>
  <c r="AM21" i="39" s="1"/>
  <c r="AK23" i="39"/>
  <c r="O23" i="39"/>
  <c r="AK24" i="39"/>
  <c r="AK27" i="39"/>
  <c r="Q29" i="39"/>
  <c r="R29" i="39" s="1"/>
  <c r="S29" i="39" s="1"/>
  <c r="AM29" i="39" s="1"/>
  <c r="J32" i="39"/>
  <c r="I32" i="39"/>
  <c r="AK35" i="39"/>
  <c r="AK34" i="39"/>
  <c r="AK31" i="39"/>
  <c r="AK33" i="39"/>
  <c r="Q33" i="39"/>
  <c r="R33" i="39" s="1"/>
  <c r="AK32" i="39"/>
  <c r="S8" i="38"/>
  <c r="AM8" i="38" s="1"/>
  <c r="J28" i="38"/>
  <c r="J30" i="38"/>
  <c r="J9" i="38"/>
  <c r="L9" i="38" s="1"/>
  <c r="AA9" i="38" s="1"/>
  <c r="AD7" i="38"/>
  <c r="AK7" i="38"/>
  <c r="O12" i="38"/>
  <c r="Q15" i="38"/>
  <c r="R15" i="38" s="1"/>
  <c r="I16" i="38"/>
  <c r="J16" i="38"/>
  <c r="L16" i="38" s="1"/>
  <c r="AA16" i="38" s="1"/>
  <c r="J6" i="38"/>
  <c r="O11" i="38"/>
  <c r="J12" i="38"/>
  <c r="Q14" i="38"/>
  <c r="R14" i="38" s="1"/>
  <c r="I15" i="38"/>
  <c r="J15" i="38"/>
  <c r="Q6" i="38"/>
  <c r="R6" i="38" s="1"/>
  <c r="S6" i="38" s="1"/>
  <c r="AM6" i="38" s="1"/>
  <c r="O7" i="38"/>
  <c r="O10" i="38"/>
  <c r="J11" i="38"/>
  <c r="L11" i="38" s="1"/>
  <c r="Q13" i="38"/>
  <c r="R13" i="38" s="1"/>
  <c r="I14" i="38"/>
  <c r="J14" i="38"/>
  <c r="L14" i="38" s="1"/>
  <c r="O6" i="38"/>
  <c r="I7" i="38"/>
  <c r="AK9" i="38"/>
  <c r="AK6" i="38"/>
  <c r="AB22" i="38"/>
  <c r="AA7" i="38"/>
  <c r="J8" i="38"/>
  <c r="I8" i="38"/>
  <c r="O9" i="38"/>
  <c r="J10" i="38"/>
  <c r="L10" i="38" s="1"/>
  <c r="I13" i="38"/>
  <c r="J13" i="38"/>
  <c r="Q16" i="38"/>
  <c r="R16" i="38" s="1"/>
  <c r="AK22" i="38"/>
  <c r="K10" i="38"/>
  <c r="K11" i="38"/>
  <c r="K12" i="38"/>
  <c r="K13" i="38"/>
  <c r="O13" i="38"/>
  <c r="K14" i="38"/>
  <c r="O14" i="38"/>
  <c r="K15" i="38"/>
  <c r="O15" i="38"/>
  <c r="K16" i="38"/>
  <c r="O16" i="38"/>
  <c r="J17" i="38"/>
  <c r="Q17" i="38"/>
  <c r="R17" i="38" s="1"/>
  <c r="S17" i="38" s="1"/>
  <c r="AM17" i="38" s="1"/>
  <c r="J18" i="38"/>
  <c r="Q18" i="38"/>
  <c r="R18" i="38" s="1"/>
  <c r="S18" i="38" s="1"/>
  <c r="AM18" i="38" s="1"/>
  <c r="J19" i="38"/>
  <c r="Q19" i="38"/>
  <c r="R19" i="38" s="1"/>
  <c r="S19" i="38" s="1"/>
  <c r="AM19" i="38" s="1"/>
  <c r="J20" i="38"/>
  <c r="Q20" i="38"/>
  <c r="R20" i="38" s="1"/>
  <c r="S20" i="38" s="1"/>
  <c r="AM20" i="38" s="1"/>
  <c r="J21" i="38"/>
  <c r="Q21" i="38"/>
  <c r="R21" i="38" s="1"/>
  <c r="S21" i="38" s="1"/>
  <c r="AM21" i="38" s="1"/>
  <c r="J25" i="38"/>
  <c r="I25" i="38"/>
  <c r="AK8" i="38"/>
  <c r="O17" i="38"/>
  <c r="O18" i="38"/>
  <c r="O19" i="38"/>
  <c r="O20" i="38"/>
  <c r="O21" i="38"/>
  <c r="I22" i="38"/>
  <c r="O22" i="38"/>
  <c r="J24" i="38"/>
  <c r="I24" i="38"/>
  <c r="K29" i="38"/>
  <c r="AA29" i="38" s="1"/>
  <c r="AC7" i="38"/>
  <c r="AK17" i="38"/>
  <c r="AK18" i="38"/>
  <c r="AK19" i="38"/>
  <c r="AK20" i="38"/>
  <c r="AK21" i="38"/>
  <c r="AA22" i="38"/>
  <c r="O23" i="38"/>
  <c r="AK24" i="38"/>
  <c r="AK26" i="38"/>
  <c r="AK27" i="38"/>
  <c r="AK31" i="38"/>
  <c r="J33" i="38"/>
  <c r="I33" i="38"/>
  <c r="AK25" i="38"/>
  <c r="O28" i="38"/>
  <c r="J32" i="38"/>
  <c r="I32" i="38"/>
  <c r="AK34" i="38"/>
  <c r="AK30" i="38"/>
  <c r="Q30" i="38"/>
  <c r="R30" i="38" s="1"/>
  <c r="S30" i="38" s="1"/>
  <c r="AM30" i="38" s="1"/>
  <c r="J31" i="38"/>
  <c r="I31" i="38"/>
  <c r="AK33" i="38"/>
  <c r="I35" i="38"/>
  <c r="AD22" i="38"/>
  <c r="AD23" i="38"/>
  <c r="J26" i="38"/>
  <c r="Q26" i="38"/>
  <c r="R26" i="38" s="1"/>
  <c r="J27" i="38"/>
  <c r="Q27" i="38"/>
  <c r="R27" i="38" s="1"/>
  <c r="S27" i="38" s="1"/>
  <c r="AM27" i="38" s="1"/>
  <c r="AK28" i="38"/>
  <c r="O29" i="38"/>
  <c r="AK32" i="38"/>
  <c r="J34" i="38"/>
  <c r="I34" i="38"/>
  <c r="O30" i="38"/>
  <c r="AK35" i="38"/>
  <c r="I14" i="37"/>
  <c r="I28" i="37"/>
  <c r="I32" i="37"/>
  <c r="J8" i="37"/>
  <c r="L8" i="37" s="1"/>
  <c r="AC8" i="37" s="1"/>
  <c r="J7" i="37"/>
  <c r="L7" i="37" s="1"/>
  <c r="AB7" i="37" s="1"/>
  <c r="I7" i="37"/>
  <c r="AL5" i="37"/>
  <c r="Q5" i="37"/>
  <c r="R5" i="37" s="1"/>
  <c r="S5" i="37" s="1"/>
  <c r="AD6" i="37"/>
  <c r="AL6" i="37"/>
  <c r="AC6" i="37"/>
  <c r="AE6" i="37"/>
  <c r="J5" i="37"/>
  <c r="L5" i="37" s="1"/>
  <c r="AC5" i="37" s="1"/>
  <c r="I5" i="37"/>
  <c r="AD9" i="37"/>
  <c r="J13" i="37"/>
  <c r="L13" i="37" s="1"/>
  <c r="AD13" i="37" s="1"/>
  <c r="I13" i="37"/>
  <c r="J23" i="37"/>
  <c r="L23" i="37" s="1"/>
  <c r="AE23" i="37" s="1"/>
  <c r="I23" i="37"/>
  <c r="I6" i="37"/>
  <c r="AL7" i="37"/>
  <c r="AL9" i="37"/>
  <c r="AL25" i="37"/>
  <c r="J35" i="37"/>
  <c r="I35" i="37"/>
  <c r="AB31" i="37"/>
  <c r="AB29" i="37"/>
  <c r="AB23" i="37"/>
  <c r="AB33" i="37"/>
  <c r="AB32" i="37"/>
  <c r="AB20" i="37"/>
  <c r="AB16" i="37"/>
  <c r="AB13" i="37"/>
  <c r="AB18" i="37"/>
  <c r="AB21" i="37"/>
  <c r="AB17" i="37"/>
  <c r="AB14" i="37"/>
  <c r="AB10" i="37"/>
  <c r="O5" i="37"/>
  <c r="O37" i="37" s="1"/>
  <c r="AC33" i="37"/>
  <c r="AC32" i="37"/>
  <c r="AC31" i="37"/>
  <c r="AC29" i="37"/>
  <c r="AC21" i="37"/>
  <c r="AC20" i="37"/>
  <c r="AC18" i="37"/>
  <c r="AC17" i="37"/>
  <c r="AC16" i="37"/>
  <c r="AC14" i="37"/>
  <c r="AC12" i="37"/>
  <c r="AC11" i="37"/>
  <c r="AC10" i="37"/>
  <c r="AC9" i="37"/>
  <c r="AC24" i="37"/>
  <c r="AL8" i="37"/>
  <c r="AL11" i="37"/>
  <c r="Q13" i="37"/>
  <c r="R13" i="37" s="1"/>
  <c r="J22" i="37"/>
  <c r="L22" i="37" s="1"/>
  <c r="AC22" i="37" s="1"/>
  <c r="I22" i="37"/>
  <c r="AB6" i="37"/>
  <c r="AE29" i="37"/>
  <c r="AE31" i="37"/>
  <c r="AE32" i="37"/>
  <c r="AE22" i="37"/>
  <c r="AE18" i="37"/>
  <c r="AE14" i="37"/>
  <c r="AE12" i="37"/>
  <c r="AE21" i="37"/>
  <c r="AE17" i="37"/>
  <c r="AE33" i="37"/>
  <c r="AE20" i="37"/>
  <c r="AE16" i="37"/>
  <c r="AE9" i="37"/>
  <c r="J11" i="37"/>
  <c r="L11" i="37" s="1"/>
  <c r="AB11" i="37" s="1"/>
  <c r="I11" i="37"/>
  <c r="AD33" i="37"/>
  <c r="AD32" i="37"/>
  <c r="AD31" i="37"/>
  <c r="AD30" i="37"/>
  <c r="AD29" i="37"/>
  <c r="AD21" i="37"/>
  <c r="AD20" i="37"/>
  <c r="AD19" i="37"/>
  <c r="AD18" i="37"/>
  <c r="AD17" i="37"/>
  <c r="AD16" i="37"/>
  <c r="AD14" i="37"/>
  <c r="AD12" i="37"/>
  <c r="AD10" i="37"/>
  <c r="AB9" i="37"/>
  <c r="Q11" i="37"/>
  <c r="R11" i="37" s="1"/>
  <c r="J15" i="37"/>
  <c r="L15" i="37" s="1"/>
  <c r="AE15" i="37" s="1"/>
  <c r="I15" i="37"/>
  <c r="AL10" i="37"/>
  <c r="AL12" i="37"/>
  <c r="AL14" i="37"/>
  <c r="Q15" i="37"/>
  <c r="R15" i="37" s="1"/>
  <c r="I16" i="37"/>
  <c r="Q17" i="37"/>
  <c r="R17" i="37" s="1"/>
  <c r="I20" i="37"/>
  <c r="Q21" i="37"/>
  <c r="R21" i="37" s="1"/>
  <c r="Q24" i="37"/>
  <c r="R24" i="37" s="1"/>
  <c r="I25" i="37"/>
  <c r="J25" i="37"/>
  <c r="L25" i="37" s="1"/>
  <c r="AC25" i="37" s="1"/>
  <c r="J26" i="37"/>
  <c r="L26" i="37" s="1"/>
  <c r="AE26" i="37" s="1"/>
  <c r="J27" i="37"/>
  <c r="L27" i="37" s="1"/>
  <c r="AE27" i="37" s="1"/>
  <c r="O29" i="37"/>
  <c r="AL23" i="37"/>
  <c r="J30" i="37"/>
  <c r="L30" i="37" s="1"/>
  <c r="AC30" i="37" s="1"/>
  <c r="I30" i="37"/>
  <c r="Q31" i="37"/>
  <c r="R31" i="37" s="1"/>
  <c r="AL32" i="37"/>
  <c r="AL33" i="37"/>
  <c r="J34" i="37"/>
  <c r="L34" i="37" s="1"/>
  <c r="AC34" i="37" s="1"/>
  <c r="I34" i="37"/>
  <c r="AL13" i="37"/>
  <c r="AL15" i="37"/>
  <c r="I18" i="37"/>
  <c r="I24" i="37"/>
  <c r="J24" i="37"/>
  <c r="L24" i="37" s="1"/>
  <c r="AB24" i="37" s="1"/>
  <c r="Q25" i="37"/>
  <c r="R25" i="37" s="1"/>
  <c r="AL26" i="37"/>
  <c r="AL27" i="37"/>
  <c r="AL22" i="37"/>
  <c r="AL24" i="37"/>
  <c r="O26" i="37"/>
  <c r="O27" i="37"/>
  <c r="K28" i="37"/>
  <c r="AB28" i="37" s="1"/>
  <c r="AL16" i="37"/>
  <c r="AL17" i="37"/>
  <c r="AL18" i="37"/>
  <c r="AL19" i="37"/>
  <c r="AL20" i="37"/>
  <c r="AL21" i="37"/>
  <c r="O30" i="37"/>
  <c r="AL31" i="37"/>
  <c r="S18" i="37"/>
  <c r="AN18" i="37" s="1"/>
  <c r="S20" i="37"/>
  <c r="AN20" i="37" s="1"/>
  <c r="O28" i="37"/>
  <c r="AL34" i="37"/>
  <c r="AL35" i="37"/>
  <c r="J32" i="36"/>
  <c r="L32" i="36" s="1"/>
  <c r="AC32" i="36" s="1"/>
  <c r="AD7" i="36"/>
  <c r="J31" i="36"/>
  <c r="L31" i="36" s="1"/>
  <c r="AD31" i="36" s="1"/>
  <c r="AK5" i="36"/>
  <c r="Q5" i="36"/>
  <c r="J8" i="36"/>
  <c r="L8" i="36" s="1"/>
  <c r="AC8" i="36" s="1"/>
  <c r="I8" i="36"/>
  <c r="J5" i="36"/>
  <c r="L5" i="36" s="1"/>
  <c r="AB5" i="36" s="1"/>
  <c r="AK8" i="36"/>
  <c r="I17" i="36"/>
  <c r="J17" i="36"/>
  <c r="L17" i="36" s="1"/>
  <c r="AC17" i="36" s="1"/>
  <c r="Q17" i="36"/>
  <c r="R17" i="36" s="1"/>
  <c r="S17" i="36" s="1"/>
  <c r="AM17" i="36" s="1"/>
  <c r="AK22" i="36"/>
  <c r="AK23" i="36"/>
  <c r="O5" i="36"/>
  <c r="O37" i="36" s="1"/>
  <c r="AA23" i="36"/>
  <c r="O6" i="36"/>
  <c r="S8" i="36"/>
  <c r="AM8" i="36" s="1"/>
  <c r="J9" i="36"/>
  <c r="L9" i="36" s="1"/>
  <c r="Q10" i="36"/>
  <c r="R10" i="36" s="1"/>
  <c r="J11" i="36"/>
  <c r="L11" i="36" s="1"/>
  <c r="Q12" i="36"/>
  <c r="R12" i="36" s="1"/>
  <c r="J13" i="36"/>
  <c r="L13" i="36" s="1"/>
  <c r="J14" i="36"/>
  <c r="L14" i="36" s="1"/>
  <c r="Q15" i="36"/>
  <c r="R15" i="36" s="1"/>
  <c r="J16" i="36"/>
  <c r="L16" i="36" s="1"/>
  <c r="I18" i="36"/>
  <c r="J18" i="36"/>
  <c r="L18" i="36" s="1"/>
  <c r="AA18" i="36" s="1"/>
  <c r="Q18" i="36"/>
  <c r="R18" i="36" s="1"/>
  <c r="S18" i="36" s="1"/>
  <c r="AM18" i="36" s="1"/>
  <c r="J20" i="36"/>
  <c r="L20" i="36" s="1"/>
  <c r="AB20" i="36" s="1"/>
  <c r="I20" i="36"/>
  <c r="AA6" i="36"/>
  <c r="AK17" i="36"/>
  <c r="I19" i="36"/>
  <c r="J19" i="36"/>
  <c r="L19" i="36" s="1"/>
  <c r="K6" i="36"/>
  <c r="AB7" i="36"/>
  <c r="I7" i="36"/>
  <c r="Q9" i="36"/>
  <c r="R9" i="36" s="1"/>
  <c r="J10" i="36"/>
  <c r="L10" i="36" s="1"/>
  <c r="Q11" i="36"/>
  <c r="R11" i="36" s="1"/>
  <c r="J12" i="36"/>
  <c r="L12" i="36" s="1"/>
  <c r="Q13" i="36"/>
  <c r="R13" i="36" s="1"/>
  <c r="Q14" i="36"/>
  <c r="R14" i="36" s="1"/>
  <c r="J15" i="36"/>
  <c r="L15" i="36" s="1"/>
  <c r="Q16" i="36"/>
  <c r="R16" i="36" s="1"/>
  <c r="Q6" i="36"/>
  <c r="R6" i="36" s="1"/>
  <c r="AK7" i="36"/>
  <c r="K9" i="36"/>
  <c r="O9" i="36"/>
  <c r="K10" i="36"/>
  <c r="O10" i="36"/>
  <c r="K11" i="36"/>
  <c r="O11" i="36"/>
  <c r="K12" i="36"/>
  <c r="O12" i="36"/>
  <c r="K13" i="36"/>
  <c r="O13" i="36"/>
  <c r="K14" i="36"/>
  <c r="O14" i="36"/>
  <c r="K15" i="36"/>
  <c r="O15" i="36"/>
  <c r="K16" i="36"/>
  <c r="AK18" i="36"/>
  <c r="I26" i="36"/>
  <c r="J26" i="36"/>
  <c r="L26" i="36" s="1"/>
  <c r="J21" i="36"/>
  <c r="L21" i="36" s="1"/>
  <c r="AC21" i="36" s="1"/>
  <c r="I21" i="36"/>
  <c r="AK25" i="36"/>
  <c r="S25" i="36"/>
  <c r="AM25" i="36" s="1"/>
  <c r="K19" i="36"/>
  <c r="AA19" i="36" s="1"/>
  <c r="AC20" i="36"/>
  <c r="AK21" i="36"/>
  <c r="O24" i="36"/>
  <c r="AC22" i="36"/>
  <c r="K24" i="36"/>
  <c r="AC24" i="36" s="1"/>
  <c r="I27" i="36"/>
  <c r="J27" i="36"/>
  <c r="L27" i="36" s="1"/>
  <c r="AC7" i="36"/>
  <c r="AK20" i="36"/>
  <c r="J22" i="36"/>
  <c r="L22" i="36" s="1"/>
  <c r="AA22" i="36" s="1"/>
  <c r="Q22" i="36"/>
  <c r="R22" i="36" s="1"/>
  <c r="S22" i="36" s="1"/>
  <c r="AM22" i="36" s="1"/>
  <c r="J23" i="36"/>
  <c r="L23" i="36" s="1"/>
  <c r="AC23" i="36" s="1"/>
  <c r="Q23" i="36"/>
  <c r="R23" i="36" s="1"/>
  <c r="S23" i="36" s="1"/>
  <c r="AM23" i="36" s="1"/>
  <c r="J25" i="36"/>
  <c r="L25" i="36" s="1"/>
  <c r="AA25" i="36" s="1"/>
  <c r="I25" i="36"/>
  <c r="K28" i="36"/>
  <c r="AD28" i="36" s="1"/>
  <c r="K29" i="36"/>
  <c r="AA29" i="36" s="1"/>
  <c r="K30" i="36"/>
  <c r="AA30" i="36" s="1"/>
  <c r="K31" i="36"/>
  <c r="Q32" i="36"/>
  <c r="R32" i="36" s="1"/>
  <c r="K33" i="36"/>
  <c r="AB33" i="36" s="1"/>
  <c r="O34" i="36"/>
  <c r="K32" i="36"/>
  <c r="AA32" i="36" s="1"/>
  <c r="I28" i="36"/>
  <c r="I29" i="36"/>
  <c r="I30" i="36"/>
  <c r="O33" i="36"/>
  <c r="K34" i="36"/>
  <c r="K26" i="36"/>
  <c r="K27" i="36"/>
  <c r="I35" i="36"/>
  <c r="AK35" i="36"/>
  <c r="AK37" i="36" s="1"/>
  <c r="K3" i="41"/>
  <c r="K4" i="41"/>
  <c r="K5" i="41"/>
  <c r="K6" i="41"/>
  <c r="K7" i="41"/>
  <c r="K8" i="41"/>
  <c r="K9" i="41"/>
  <c r="K10" i="41"/>
  <c r="K11" i="41"/>
  <c r="K12" i="41"/>
  <c r="K13" i="41"/>
  <c r="K14" i="41"/>
  <c r="K15" i="41"/>
  <c r="K16" i="41"/>
  <c r="K17" i="41"/>
  <c r="K18" i="41"/>
  <c r="K19" i="41"/>
  <c r="K20" i="41"/>
  <c r="K21" i="41"/>
  <c r="K2" i="41"/>
  <c r="K3" i="42"/>
  <c r="K4" i="42"/>
  <c r="K5" i="42"/>
  <c r="K6" i="42"/>
  <c r="K7" i="42"/>
  <c r="K8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" i="42"/>
  <c r="AF6" i="34"/>
  <c r="AF7" i="34"/>
  <c r="AF8" i="34"/>
  <c r="AF9" i="34"/>
  <c r="AF10" i="34"/>
  <c r="AF11" i="34"/>
  <c r="AF12" i="34"/>
  <c r="AF13" i="34"/>
  <c r="AF14" i="34"/>
  <c r="AF15" i="34"/>
  <c r="AF16" i="34"/>
  <c r="AF17" i="34"/>
  <c r="AF18" i="34"/>
  <c r="AF19" i="34"/>
  <c r="AF20" i="34"/>
  <c r="AF21" i="34"/>
  <c r="AF22" i="34"/>
  <c r="AF23" i="34"/>
  <c r="AF24" i="34"/>
  <c r="AF25" i="34"/>
  <c r="AF26" i="34"/>
  <c r="AF27" i="34"/>
  <c r="AF28" i="34"/>
  <c r="AF29" i="34"/>
  <c r="AF30" i="34"/>
  <c r="AF31" i="34"/>
  <c r="AF32" i="34"/>
  <c r="AF33" i="34"/>
  <c r="AF34" i="34"/>
  <c r="AF35" i="34"/>
  <c r="AF5" i="34"/>
  <c r="AC8" i="40" l="1"/>
  <c r="AD18" i="40"/>
  <c r="AD24" i="39"/>
  <c r="AD12" i="39"/>
  <c r="AB29" i="43"/>
  <c r="AC6" i="43"/>
  <c r="AC23" i="43"/>
  <c r="AC9" i="38"/>
  <c r="AC14" i="38"/>
  <c r="AA14" i="38"/>
  <c r="AD9" i="38"/>
  <c r="AB30" i="37"/>
  <c r="AE19" i="37"/>
  <c r="AE7" i="37"/>
  <c r="AC19" i="37"/>
  <c r="AD23" i="37"/>
  <c r="AC23" i="37"/>
  <c r="AC7" i="37"/>
  <c r="AB22" i="37"/>
  <c r="AD7" i="37"/>
  <c r="AB25" i="36"/>
  <c r="AC18" i="36"/>
  <c r="AB8" i="36"/>
  <c r="AD18" i="36"/>
  <c r="AC5" i="36"/>
  <c r="AB26" i="36"/>
  <c r="AD20" i="36"/>
  <c r="AD24" i="37"/>
  <c r="AB34" i="37"/>
  <c r="L31" i="38"/>
  <c r="AD31" i="38" s="1"/>
  <c r="L32" i="39"/>
  <c r="AC32" i="39" s="1"/>
  <c r="J35" i="39"/>
  <c r="L35" i="39" s="1"/>
  <c r="AD9" i="39"/>
  <c r="AD19" i="43"/>
  <c r="AA34" i="36"/>
  <c r="AC15" i="37"/>
  <c r="AB7" i="38"/>
  <c r="AD28" i="39"/>
  <c r="L23" i="39"/>
  <c r="AA23" i="39" s="1"/>
  <c r="AD27" i="40"/>
  <c r="AD24" i="43"/>
  <c r="AB17" i="43"/>
  <c r="L34" i="38"/>
  <c r="AD34" i="38" s="1"/>
  <c r="L25" i="39"/>
  <c r="AC25" i="39" s="1"/>
  <c r="AA8" i="36"/>
  <c r="AC25" i="38"/>
  <c r="L25" i="38"/>
  <c r="AA25" i="38" s="1"/>
  <c r="AA12" i="39"/>
  <c r="AC21" i="39"/>
  <c r="L21" i="39"/>
  <c r="AA21" i="39" s="1"/>
  <c r="AD6" i="39"/>
  <c r="AB18" i="38"/>
  <c r="L18" i="38"/>
  <c r="AD10" i="39"/>
  <c r="AD11" i="39"/>
  <c r="L27" i="39"/>
  <c r="AA27" i="39" s="1"/>
  <c r="AD7" i="39"/>
  <c r="AC20" i="43"/>
  <c r="AA5" i="36"/>
  <c r="AD5" i="36"/>
  <c r="AD22" i="37"/>
  <c r="L24" i="38"/>
  <c r="AA24" i="38" s="1"/>
  <c r="L8" i="38"/>
  <c r="AA8" i="38" s="1"/>
  <c r="AB8" i="40"/>
  <c r="AD16" i="43"/>
  <c r="AD15" i="43"/>
  <c r="AA26" i="43"/>
  <c r="AF37" i="38"/>
  <c r="O37" i="40"/>
  <c r="AC25" i="36"/>
  <c r="AD17" i="36"/>
  <c r="AE5" i="37"/>
  <c r="AA17" i="36"/>
  <c r="AB5" i="37"/>
  <c r="L21" i="38"/>
  <c r="AB21" i="38" s="1"/>
  <c r="L30" i="38"/>
  <c r="AA30" i="38" s="1"/>
  <c r="AC26" i="43"/>
  <c r="L28" i="38"/>
  <c r="AC28" i="38" s="1"/>
  <c r="L19" i="39"/>
  <c r="AB24" i="43"/>
  <c r="L26" i="38"/>
  <c r="AA26" i="38" s="1"/>
  <c r="AC32" i="38"/>
  <c r="L32" i="38"/>
  <c r="AA10" i="38"/>
  <c r="AB23" i="38"/>
  <c r="AA28" i="39"/>
  <c r="AD34" i="39"/>
  <c r="AK37" i="40"/>
  <c r="AC18" i="43"/>
  <c r="AD12" i="43"/>
  <c r="AB17" i="36"/>
  <c r="L27" i="38"/>
  <c r="AD27" i="38" s="1"/>
  <c r="AD5" i="37"/>
  <c r="L20" i="38"/>
  <c r="AB20" i="38" s="1"/>
  <c r="AB9" i="38"/>
  <c r="L15" i="38"/>
  <c r="AC15" i="38" s="1"/>
  <c r="L17" i="39"/>
  <c r="AC17" i="39" s="1"/>
  <c r="AD21" i="39"/>
  <c r="AD32" i="36"/>
  <c r="AL37" i="37"/>
  <c r="L19" i="38"/>
  <c r="AB19" i="38" s="1"/>
  <c r="AC22" i="38"/>
  <c r="L15" i="39"/>
  <c r="AD23" i="39"/>
  <c r="AD10" i="40"/>
  <c r="AA31" i="36"/>
  <c r="AD21" i="36"/>
  <c r="AB18" i="36"/>
  <c r="AC23" i="38"/>
  <c r="L12" i="38"/>
  <c r="AD12" i="38" s="1"/>
  <c r="L13" i="39"/>
  <c r="AD13" i="39" s="1"/>
  <c r="AD33" i="39"/>
  <c r="AC17" i="43"/>
  <c r="AD8" i="43"/>
  <c r="L33" i="38"/>
  <c r="AB33" i="38" s="1"/>
  <c r="L6" i="38"/>
  <c r="AD6" i="38" s="1"/>
  <c r="L18" i="39"/>
  <c r="AB18" i="39" s="1"/>
  <c r="L17" i="38"/>
  <c r="AB17" i="38" s="1"/>
  <c r="I37" i="36"/>
  <c r="AK37" i="39"/>
  <c r="L16" i="39"/>
  <c r="AD26" i="39"/>
  <c r="L26" i="39"/>
  <c r="AD31" i="39"/>
  <c r="AD21" i="40"/>
  <c r="AD13" i="40"/>
  <c r="AD22" i="40"/>
  <c r="AB31" i="43"/>
  <c r="AB21" i="43"/>
  <c r="L20" i="39"/>
  <c r="AC20" i="39" s="1"/>
  <c r="AA13" i="38"/>
  <c r="L13" i="38"/>
  <c r="AD13" i="38" s="1"/>
  <c r="L14" i="39"/>
  <c r="AC14" i="39" s="1"/>
  <c r="I35" i="39"/>
  <c r="I37" i="39" s="1"/>
  <c r="AC12" i="40"/>
  <c r="AD6" i="40"/>
  <c r="AD19" i="40"/>
  <c r="AD31" i="40"/>
  <c r="AB30" i="43"/>
  <c r="AB8" i="43"/>
  <c r="AB32" i="43"/>
  <c r="AB25" i="43"/>
  <c r="AB6" i="43"/>
  <c r="AD24" i="40"/>
  <c r="AD23" i="40"/>
  <c r="AD33" i="40"/>
  <c r="AD5" i="40"/>
  <c r="AB9" i="43"/>
  <c r="AB7" i="43"/>
  <c r="AB27" i="43"/>
  <c r="AB34" i="43"/>
  <c r="AD28" i="40"/>
  <c r="AD15" i="40"/>
  <c r="AD11" i="40"/>
  <c r="AD8" i="40"/>
  <c r="AD25" i="40"/>
  <c r="AB26" i="43"/>
  <c r="AB22" i="43"/>
  <c r="AB23" i="43"/>
  <c r="AF37" i="39"/>
  <c r="AG37" i="37"/>
  <c r="S9" i="39"/>
  <c r="AM9" i="39" s="1"/>
  <c r="S34" i="38"/>
  <c r="AM34" i="38" s="1"/>
  <c r="S27" i="40"/>
  <c r="AM27" i="40" s="1"/>
  <c r="S10" i="39"/>
  <c r="AM10" i="39" s="1"/>
  <c r="S16" i="37"/>
  <c r="AN16" i="37" s="1"/>
  <c r="S33" i="38"/>
  <c r="AM33" i="38" s="1"/>
  <c r="AF37" i="36"/>
  <c r="AL37" i="43"/>
  <c r="AL37" i="39"/>
  <c r="S8" i="37"/>
  <c r="AN8" i="37" s="1"/>
  <c r="S31" i="38"/>
  <c r="AM31" i="38" s="1"/>
  <c r="S26" i="43"/>
  <c r="AM26" i="43" s="1"/>
  <c r="S25" i="38"/>
  <c r="AM25" i="38" s="1"/>
  <c r="S32" i="43"/>
  <c r="AM32" i="43" s="1"/>
  <c r="S32" i="39"/>
  <c r="AM32" i="39" s="1"/>
  <c r="S34" i="39"/>
  <c r="AM34" i="39" s="1"/>
  <c r="S24" i="43"/>
  <c r="AM24" i="43" s="1"/>
  <c r="S32" i="37"/>
  <c r="AN32" i="37" s="1"/>
  <c r="S24" i="38"/>
  <c r="AM24" i="38" s="1"/>
  <c r="S32" i="38"/>
  <c r="AM32" i="38" s="1"/>
  <c r="AB26" i="37"/>
  <c r="AA20" i="40"/>
  <c r="P37" i="36"/>
  <c r="Q35" i="36"/>
  <c r="R35" i="36" s="1"/>
  <c r="AD23" i="36"/>
  <c r="AD8" i="36"/>
  <c r="AB22" i="36"/>
  <c r="AB31" i="36"/>
  <c r="AA20" i="36"/>
  <c r="AA26" i="36"/>
  <c r="AD25" i="37"/>
  <c r="AD8" i="37"/>
  <c r="AE11" i="37"/>
  <c r="AE34" i="37"/>
  <c r="AE24" i="37"/>
  <c r="AE30" i="37"/>
  <c r="AC26" i="37"/>
  <c r="AB15" i="37"/>
  <c r="AB27" i="37"/>
  <c r="AA22" i="39"/>
  <c r="AB21" i="39"/>
  <c r="AB25" i="39"/>
  <c r="J37" i="40"/>
  <c r="L35" i="40"/>
  <c r="AB21" i="40"/>
  <c r="AB19" i="40"/>
  <c r="AD20" i="40"/>
  <c r="AA21" i="40"/>
  <c r="AA27" i="40"/>
  <c r="AC31" i="43"/>
  <c r="AB12" i="43"/>
  <c r="AA23" i="43"/>
  <c r="P37" i="40"/>
  <c r="P37" i="37"/>
  <c r="Q35" i="37"/>
  <c r="R35" i="37" s="1"/>
  <c r="AD25" i="36"/>
  <c r="AA16" i="36"/>
  <c r="AB23" i="36"/>
  <c r="AA21" i="36"/>
  <c r="AD11" i="37"/>
  <c r="AD26" i="37"/>
  <c r="AD15" i="37"/>
  <c r="AE13" i="37"/>
  <c r="AE25" i="37"/>
  <c r="AE8" i="37"/>
  <c r="AC13" i="37"/>
  <c r="AC27" i="37"/>
  <c r="AB25" i="37"/>
  <c r="I37" i="37"/>
  <c r="AD18" i="38"/>
  <c r="AA18" i="38"/>
  <c r="AA32" i="38"/>
  <c r="AC19" i="38"/>
  <c r="AB12" i="39"/>
  <c r="AB20" i="39"/>
  <c r="AC19" i="40"/>
  <c r="J37" i="43"/>
  <c r="L35" i="43"/>
  <c r="AA31" i="43"/>
  <c r="P37" i="43"/>
  <c r="Q35" i="43"/>
  <c r="R35" i="43" s="1"/>
  <c r="AC24" i="43"/>
  <c r="J35" i="36"/>
  <c r="H37" i="36"/>
  <c r="AB21" i="36"/>
  <c r="AB8" i="37"/>
  <c r="AD27" i="37"/>
  <c r="AD34" i="37"/>
  <c r="J37" i="37"/>
  <c r="L35" i="37"/>
  <c r="AB28" i="39"/>
  <c r="AB20" i="40"/>
  <c r="AD31" i="43"/>
  <c r="P37" i="38"/>
  <c r="Q35" i="38"/>
  <c r="R35" i="38" s="1"/>
  <c r="P37" i="39"/>
  <c r="Q35" i="39"/>
  <c r="R35" i="39" s="1"/>
  <c r="AD32" i="38"/>
  <c r="AC13" i="38"/>
  <c r="AC34" i="38"/>
  <c r="AC18" i="38"/>
  <c r="AB8" i="38"/>
  <c r="AB32" i="38"/>
  <c r="AB25" i="38"/>
  <c r="AD25" i="38"/>
  <c r="AA34" i="38"/>
  <c r="AB12" i="38"/>
  <c r="AC31" i="38"/>
  <c r="AC33" i="38"/>
  <c r="AD28" i="38"/>
  <c r="AB34" i="38"/>
  <c r="S17" i="37"/>
  <c r="AN17" i="37" s="1"/>
  <c r="AL37" i="34"/>
  <c r="S27" i="39"/>
  <c r="AM27" i="39" s="1"/>
  <c r="S13" i="37"/>
  <c r="AN13" i="37" s="1"/>
  <c r="S33" i="39"/>
  <c r="AM33" i="39" s="1"/>
  <c r="R5" i="40"/>
  <c r="S5" i="40" s="1"/>
  <c r="Q37" i="40"/>
  <c r="S24" i="39"/>
  <c r="AM24" i="39" s="1"/>
  <c r="R5" i="39"/>
  <c r="R5" i="43"/>
  <c r="S5" i="43" s="1"/>
  <c r="S21" i="37"/>
  <c r="AN21" i="37" s="1"/>
  <c r="R5" i="36"/>
  <c r="AF37" i="34"/>
  <c r="AM37" i="37"/>
  <c r="AL37" i="36"/>
  <c r="AL37" i="40"/>
  <c r="AC10" i="38"/>
  <c r="AB10" i="38"/>
  <c r="S33" i="43"/>
  <c r="AM33" i="43" s="1"/>
  <c r="AD29" i="43"/>
  <c r="AC27" i="43"/>
  <c r="AA17" i="43"/>
  <c r="S22" i="43"/>
  <c r="AM22" i="43" s="1"/>
  <c r="Q21" i="43"/>
  <c r="R21" i="43" s="1"/>
  <c r="S21" i="43" s="1"/>
  <c r="AM21" i="43" s="1"/>
  <c r="AC30" i="43"/>
  <c r="Q29" i="43"/>
  <c r="R29" i="43" s="1"/>
  <c r="Q20" i="43"/>
  <c r="R20" i="43" s="1"/>
  <c r="S20" i="43" s="1"/>
  <c r="AM20" i="43" s="1"/>
  <c r="AK16" i="43"/>
  <c r="S16" i="43"/>
  <c r="AM16" i="43" s="1"/>
  <c r="AK13" i="43"/>
  <c r="S13" i="43"/>
  <c r="AM13" i="43" s="1"/>
  <c r="AD11" i="43"/>
  <c r="AC11" i="43"/>
  <c r="S11" i="43"/>
  <c r="AM11" i="43" s="1"/>
  <c r="AK11" i="43"/>
  <c r="AD10" i="43"/>
  <c r="AC10" i="43"/>
  <c r="AK10" i="43"/>
  <c r="AB16" i="43"/>
  <c r="Q10" i="43"/>
  <c r="R10" i="43" s="1"/>
  <c r="AA13" i="43"/>
  <c r="AA11" i="43"/>
  <c r="AK19" i="43"/>
  <c r="S19" i="43"/>
  <c r="AM19" i="43" s="1"/>
  <c r="AK15" i="43"/>
  <c r="S15" i="43"/>
  <c r="AM15" i="43" s="1"/>
  <c r="AD5" i="43"/>
  <c r="AC5" i="43"/>
  <c r="AK5" i="43"/>
  <c r="AK37" i="43" s="1"/>
  <c r="AB5" i="43"/>
  <c r="AB13" i="43"/>
  <c r="AA5" i="43"/>
  <c r="AK30" i="43"/>
  <c r="AK29" i="43"/>
  <c r="AD13" i="43"/>
  <c r="AC19" i="43"/>
  <c r="AC15" i="43"/>
  <c r="AC13" i="43"/>
  <c r="Q30" i="43"/>
  <c r="R30" i="43" s="1"/>
  <c r="AK18" i="43"/>
  <c r="S18" i="43"/>
  <c r="AM18" i="43" s="1"/>
  <c r="AK14" i="43"/>
  <c r="S14" i="43"/>
  <c r="AM14" i="43" s="1"/>
  <c r="AK12" i="43"/>
  <c r="S12" i="43"/>
  <c r="AM12" i="43" s="1"/>
  <c r="AD9" i="43"/>
  <c r="AC9" i="43"/>
  <c r="AK9" i="43"/>
  <c r="AB11" i="43"/>
  <c r="AB14" i="43"/>
  <c r="AB18" i="43"/>
  <c r="AA15" i="43"/>
  <c r="AA19" i="43"/>
  <c r="AA9" i="43"/>
  <c r="AA29" i="43"/>
  <c r="AD30" i="43"/>
  <c r="AK28" i="43"/>
  <c r="AK27" i="43"/>
  <c r="S27" i="43"/>
  <c r="AM27" i="43" s="1"/>
  <c r="AD14" i="43"/>
  <c r="AD18" i="43"/>
  <c r="AD28" i="43"/>
  <c r="AC29" i="43"/>
  <c r="AK17" i="43"/>
  <c r="S17" i="43"/>
  <c r="AM17" i="43" s="1"/>
  <c r="Q28" i="43"/>
  <c r="R28" i="43" s="1"/>
  <c r="S28" i="43" s="1"/>
  <c r="AM28" i="43" s="1"/>
  <c r="AB10" i="43"/>
  <c r="Q9" i="43"/>
  <c r="R9" i="43" s="1"/>
  <c r="S9" i="43" s="1"/>
  <c r="AM9" i="43" s="1"/>
  <c r="Q6" i="43"/>
  <c r="R6" i="43" s="1"/>
  <c r="S6" i="43" s="1"/>
  <c r="AM6" i="43" s="1"/>
  <c r="AB15" i="43"/>
  <c r="AB19" i="43"/>
  <c r="AB28" i="43"/>
  <c r="AA12" i="43"/>
  <c r="AA16" i="43"/>
  <c r="AA10" i="43"/>
  <c r="AA30" i="43"/>
  <c r="AA27" i="43"/>
  <c r="AB29" i="40"/>
  <c r="S19" i="40"/>
  <c r="AM19" i="40" s="1"/>
  <c r="AB26" i="40"/>
  <c r="S10" i="40"/>
  <c r="AM10" i="40" s="1"/>
  <c r="AA13" i="40"/>
  <c r="Q32" i="40"/>
  <c r="R32" i="40" s="1"/>
  <c r="S32" i="40" s="1"/>
  <c r="AM32" i="40" s="1"/>
  <c r="AK16" i="40"/>
  <c r="AB16" i="40"/>
  <c r="S16" i="40"/>
  <c r="AM16" i="40" s="1"/>
  <c r="AC7" i="40"/>
  <c r="S7" i="40"/>
  <c r="AM7" i="40" s="1"/>
  <c r="AK7" i="40"/>
  <c r="AB7" i="40"/>
  <c r="Q14" i="40"/>
  <c r="R14" i="40" s="1"/>
  <c r="AD26" i="40"/>
  <c r="AA12" i="40"/>
  <c r="AA16" i="40"/>
  <c r="AA29" i="40"/>
  <c r="AC16" i="40"/>
  <c r="AB30" i="40"/>
  <c r="AK17" i="40"/>
  <c r="AB17" i="40"/>
  <c r="S17" i="40"/>
  <c r="AM17" i="40" s="1"/>
  <c r="AK14" i="40"/>
  <c r="AB14" i="40"/>
  <c r="AK12" i="40"/>
  <c r="AB12" i="40"/>
  <c r="AD12" i="40"/>
  <c r="AD16" i="40"/>
  <c r="AA17" i="40"/>
  <c r="AA30" i="40"/>
  <c r="AC13" i="40"/>
  <c r="AC17" i="40"/>
  <c r="Q31" i="40"/>
  <c r="R31" i="40" s="1"/>
  <c r="S31" i="40" s="1"/>
  <c r="AM31" i="40" s="1"/>
  <c r="AK28" i="40"/>
  <c r="S28" i="40"/>
  <c r="AM28" i="40" s="1"/>
  <c r="Q34" i="40"/>
  <c r="R34" i="40" s="1"/>
  <c r="S34" i="40" s="1"/>
  <c r="AM34" i="40" s="1"/>
  <c r="S26" i="40"/>
  <c r="AM26" i="40" s="1"/>
  <c r="AK26" i="40"/>
  <c r="AB28" i="40"/>
  <c r="Q23" i="40"/>
  <c r="R23" i="40" s="1"/>
  <c r="S23" i="40" s="1"/>
  <c r="AM23" i="40" s="1"/>
  <c r="AK18" i="40"/>
  <c r="AB18" i="40"/>
  <c r="S18" i="40"/>
  <c r="AM18" i="40" s="1"/>
  <c r="Q22" i="40"/>
  <c r="R22" i="40" s="1"/>
  <c r="S22" i="40" s="1"/>
  <c r="AM22" i="40" s="1"/>
  <c r="Q13" i="40"/>
  <c r="R13" i="40" s="1"/>
  <c r="S13" i="40" s="1"/>
  <c r="AM13" i="40" s="1"/>
  <c r="Q8" i="40"/>
  <c r="R8" i="40" s="1"/>
  <c r="S8" i="40" s="1"/>
  <c r="AM8" i="40" s="1"/>
  <c r="AD7" i="40"/>
  <c r="AD17" i="40"/>
  <c r="AD29" i="40"/>
  <c r="AA7" i="40"/>
  <c r="AA14" i="40"/>
  <c r="AA18" i="40"/>
  <c r="Q12" i="40"/>
  <c r="R12" i="40" s="1"/>
  <c r="AC14" i="40"/>
  <c r="AC18" i="40"/>
  <c r="S30" i="40"/>
  <c r="AM30" i="40" s="1"/>
  <c r="AK30" i="40"/>
  <c r="Q33" i="40"/>
  <c r="R33" i="40" s="1"/>
  <c r="S33" i="40" s="1"/>
  <c r="AM33" i="40" s="1"/>
  <c r="AK29" i="40"/>
  <c r="S29" i="40"/>
  <c r="AM29" i="40" s="1"/>
  <c r="AK15" i="40"/>
  <c r="AB15" i="40"/>
  <c r="S15" i="40"/>
  <c r="AM15" i="40" s="1"/>
  <c r="AK13" i="40"/>
  <c r="AB13" i="40"/>
  <c r="AK11" i="40"/>
  <c r="AB11" i="40"/>
  <c r="AD14" i="40"/>
  <c r="AD30" i="40"/>
  <c r="AA28" i="40"/>
  <c r="AA11" i="40"/>
  <c r="AA15" i="40"/>
  <c r="AA26" i="40"/>
  <c r="Q11" i="40"/>
  <c r="R11" i="40" s="1"/>
  <c r="S11" i="40" s="1"/>
  <c r="AM11" i="40" s="1"/>
  <c r="AC11" i="40"/>
  <c r="AC15" i="40"/>
  <c r="AC30" i="40"/>
  <c r="AC28" i="40"/>
  <c r="S15" i="39"/>
  <c r="AM15" i="39" s="1"/>
  <c r="AK30" i="39"/>
  <c r="AA30" i="39"/>
  <c r="AD30" i="39"/>
  <c r="AC6" i="39"/>
  <c r="S6" i="39"/>
  <c r="AM6" i="39" s="1"/>
  <c r="AB6" i="39"/>
  <c r="AK6" i="39"/>
  <c r="AK8" i="39"/>
  <c r="AB8" i="39"/>
  <c r="AB30" i="39"/>
  <c r="AD22" i="39"/>
  <c r="Q8" i="39"/>
  <c r="R8" i="39" s="1"/>
  <c r="S8" i="39" s="1"/>
  <c r="AM8" i="39" s="1"/>
  <c r="Q23" i="39"/>
  <c r="R23" i="39" s="1"/>
  <c r="S23" i="39" s="1"/>
  <c r="AM23" i="39" s="1"/>
  <c r="Q31" i="39"/>
  <c r="R31" i="39" s="1"/>
  <c r="S31" i="39" s="1"/>
  <c r="AM31" i="39" s="1"/>
  <c r="Q22" i="39"/>
  <c r="R22" i="39" s="1"/>
  <c r="S17" i="39"/>
  <c r="AM17" i="39" s="1"/>
  <c r="AA8" i="39"/>
  <c r="Q30" i="39"/>
  <c r="R30" i="39" s="1"/>
  <c r="S30" i="39" s="1"/>
  <c r="AM30" i="39" s="1"/>
  <c r="AK22" i="39"/>
  <c r="AC8" i="39"/>
  <c r="AA6" i="39"/>
  <c r="Q28" i="39"/>
  <c r="R28" i="39" s="1"/>
  <c r="AK12" i="39"/>
  <c r="AC12" i="39"/>
  <c r="S12" i="39"/>
  <c r="AM12" i="39" s="1"/>
  <c r="AC30" i="39"/>
  <c r="AK28" i="39"/>
  <c r="AB22" i="39"/>
  <c r="AD8" i="39"/>
  <c r="AK16" i="38"/>
  <c r="AD16" i="38"/>
  <c r="S16" i="38"/>
  <c r="AM16" i="38" s="1"/>
  <c r="Q9" i="38"/>
  <c r="R9" i="38" s="1"/>
  <c r="S9" i="38" s="1"/>
  <c r="AM9" i="38" s="1"/>
  <c r="AB16" i="38"/>
  <c r="Q11" i="38"/>
  <c r="R11" i="38" s="1"/>
  <c r="S11" i="38" s="1"/>
  <c r="AM11" i="38" s="1"/>
  <c r="Q12" i="38"/>
  <c r="R12" i="38" s="1"/>
  <c r="AK29" i="38"/>
  <c r="Q22" i="38"/>
  <c r="R22" i="38" s="1"/>
  <c r="S22" i="38" s="1"/>
  <c r="AM22" i="38" s="1"/>
  <c r="AK13" i="38"/>
  <c r="S13" i="38"/>
  <c r="AM13" i="38" s="1"/>
  <c r="AK11" i="38"/>
  <c r="AD11" i="38"/>
  <c r="AC29" i="38"/>
  <c r="AB13" i="38"/>
  <c r="Q7" i="38"/>
  <c r="R7" i="38" s="1"/>
  <c r="S7" i="38" s="1"/>
  <c r="AM7" i="38" s="1"/>
  <c r="Q23" i="38"/>
  <c r="R23" i="38" s="1"/>
  <c r="S23" i="38" s="1"/>
  <c r="AM23" i="38" s="1"/>
  <c r="Q28" i="38"/>
  <c r="R28" i="38" s="1"/>
  <c r="S28" i="38" s="1"/>
  <c r="AM28" i="38" s="1"/>
  <c r="S26" i="38"/>
  <c r="AM26" i="38" s="1"/>
  <c r="AC16" i="38"/>
  <c r="AK14" i="38"/>
  <c r="AD14" i="38"/>
  <c r="S14" i="38"/>
  <c r="AM14" i="38" s="1"/>
  <c r="AB14" i="38"/>
  <c r="AB29" i="38"/>
  <c r="Q10" i="38"/>
  <c r="R10" i="38" s="1"/>
  <c r="Q29" i="38"/>
  <c r="R29" i="38" s="1"/>
  <c r="S29" i="38" s="1"/>
  <c r="AM29" i="38" s="1"/>
  <c r="AD29" i="38"/>
  <c r="AA11" i="38"/>
  <c r="AC11" i="38"/>
  <c r="AK15" i="38"/>
  <c r="S15" i="38"/>
  <c r="AM15" i="38" s="1"/>
  <c r="AK12" i="38"/>
  <c r="AK10" i="38"/>
  <c r="AD10" i="38"/>
  <c r="AB11" i="38"/>
  <c r="S11" i="37"/>
  <c r="AN11" i="37" s="1"/>
  <c r="S25" i="37"/>
  <c r="AN25" i="37" s="1"/>
  <c r="S31" i="37"/>
  <c r="AN31" i="37" s="1"/>
  <c r="Q26" i="37"/>
  <c r="R26" i="37" s="1"/>
  <c r="S26" i="37" s="1"/>
  <c r="AN26" i="37" s="1"/>
  <c r="S24" i="37"/>
  <c r="AN24" i="37" s="1"/>
  <c r="S15" i="37"/>
  <c r="AN15" i="37" s="1"/>
  <c r="AL28" i="37"/>
  <c r="AE28" i="37"/>
  <c r="Q29" i="37"/>
  <c r="R29" i="37" s="1"/>
  <c r="S29" i="37" s="1"/>
  <c r="AN29" i="37" s="1"/>
  <c r="AD28" i="37"/>
  <c r="AC28" i="37"/>
  <c r="Q28" i="37"/>
  <c r="R28" i="37" s="1"/>
  <c r="S28" i="37" s="1"/>
  <c r="AN28" i="37" s="1"/>
  <c r="Q27" i="37"/>
  <c r="R27" i="37" s="1"/>
  <c r="S27" i="37" s="1"/>
  <c r="AN27" i="37" s="1"/>
  <c r="Q30" i="37"/>
  <c r="R30" i="37" s="1"/>
  <c r="S30" i="37" s="1"/>
  <c r="AN30" i="37" s="1"/>
  <c r="AD30" i="36"/>
  <c r="AB30" i="36"/>
  <c r="AD33" i="36"/>
  <c r="AA12" i="36"/>
  <c r="AB16" i="36"/>
  <c r="AC26" i="36"/>
  <c r="AC33" i="36"/>
  <c r="AD26" i="36"/>
  <c r="AC30" i="36"/>
  <c r="AD24" i="36"/>
  <c r="AB34" i="36"/>
  <c r="S27" i="36"/>
  <c r="AM27" i="36" s="1"/>
  <c r="AK27" i="36"/>
  <c r="AD15" i="36"/>
  <c r="AC15" i="36"/>
  <c r="S15" i="36"/>
  <c r="AM15" i="36" s="1"/>
  <c r="AK15" i="36"/>
  <c r="AB15" i="36"/>
  <c r="AD13" i="36"/>
  <c r="AC13" i="36"/>
  <c r="S13" i="36"/>
  <c r="AM13" i="36" s="1"/>
  <c r="AK13" i="36"/>
  <c r="AB13" i="36"/>
  <c r="AD11" i="36"/>
  <c r="S11" i="36"/>
  <c r="AM11" i="36" s="1"/>
  <c r="AC11" i="36"/>
  <c r="AK11" i="36"/>
  <c r="AB11" i="36"/>
  <c r="AD9" i="36"/>
  <c r="AC9" i="36"/>
  <c r="S9" i="36"/>
  <c r="AM9" i="36" s="1"/>
  <c r="AK9" i="36"/>
  <c r="AB9" i="36"/>
  <c r="AB29" i="36"/>
  <c r="AB32" i="36"/>
  <c r="AA24" i="36"/>
  <c r="AA9" i="36"/>
  <c r="AA13" i="36"/>
  <c r="S28" i="36"/>
  <c r="AM28" i="36" s="1"/>
  <c r="AK28" i="36"/>
  <c r="AC27" i="36"/>
  <c r="AK34" i="36"/>
  <c r="S31" i="36"/>
  <c r="AM31" i="36" s="1"/>
  <c r="AK31" i="36"/>
  <c r="AD34" i="36"/>
  <c r="Q24" i="36"/>
  <c r="R24" i="36" s="1"/>
  <c r="AK19" i="36"/>
  <c r="S19" i="36"/>
  <c r="AM19" i="36" s="1"/>
  <c r="AD19" i="36"/>
  <c r="AD16" i="36"/>
  <c r="AK16" i="36"/>
  <c r="AC16" i="36"/>
  <c r="S16" i="36"/>
  <c r="AM16" i="36" s="1"/>
  <c r="AD14" i="36"/>
  <c r="AC14" i="36"/>
  <c r="S14" i="36"/>
  <c r="AM14" i="36" s="1"/>
  <c r="AK14" i="36"/>
  <c r="AB14" i="36"/>
  <c r="AD10" i="36"/>
  <c r="AC10" i="36"/>
  <c r="S10" i="36"/>
  <c r="AM10" i="36" s="1"/>
  <c r="AK10" i="36"/>
  <c r="AB10" i="36"/>
  <c r="Q7" i="36"/>
  <c r="R7" i="36" s="1"/>
  <c r="S7" i="36" s="1"/>
  <c r="AM7" i="36" s="1"/>
  <c r="AD6" i="36"/>
  <c r="AC6" i="36"/>
  <c r="AB6" i="36"/>
  <c r="AK6" i="36"/>
  <c r="S6" i="36"/>
  <c r="AM6" i="36" s="1"/>
  <c r="AA10" i="36"/>
  <c r="AA14" i="36"/>
  <c r="AA27" i="36"/>
  <c r="S29" i="36"/>
  <c r="AM29" i="36" s="1"/>
  <c r="AK29" i="36"/>
  <c r="S32" i="36"/>
  <c r="AM32" i="36" s="1"/>
  <c r="AK32" i="36"/>
  <c r="AD29" i="36"/>
  <c r="AK24" i="36"/>
  <c r="AD27" i="36"/>
  <c r="AK33" i="36"/>
  <c r="AC28" i="36"/>
  <c r="AC34" i="36"/>
  <c r="AD12" i="36"/>
  <c r="AC12" i="36"/>
  <c r="S12" i="36"/>
  <c r="AM12" i="36" s="1"/>
  <c r="AK12" i="36"/>
  <c r="AB12" i="36"/>
  <c r="S26" i="36"/>
  <c r="AM26" i="36" s="1"/>
  <c r="AK26" i="36"/>
  <c r="Q33" i="36"/>
  <c r="R33" i="36" s="1"/>
  <c r="Q34" i="36"/>
  <c r="R34" i="36" s="1"/>
  <c r="S34" i="36" s="1"/>
  <c r="AM34" i="36" s="1"/>
  <c r="AK30" i="36"/>
  <c r="S30" i="36"/>
  <c r="AM30" i="36" s="1"/>
  <c r="AC19" i="36"/>
  <c r="AC29" i="36"/>
  <c r="AC31" i="36"/>
  <c r="AB28" i="36"/>
  <c r="AB19" i="36"/>
  <c r="AB27" i="36"/>
  <c r="AB24" i="36"/>
  <c r="AA11" i="36"/>
  <c r="AA15" i="36"/>
  <c r="AA28" i="36"/>
  <c r="AA33" i="36"/>
  <c r="AC13" i="39" l="1"/>
  <c r="J37" i="39"/>
  <c r="AB17" i="39"/>
  <c r="AA14" i="39"/>
  <c r="AB14" i="39"/>
  <c r="AA17" i="39"/>
  <c r="AD14" i="39"/>
  <c r="AD17" i="39"/>
  <c r="AB31" i="38"/>
  <c r="AD24" i="38"/>
  <c r="AB15" i="38"/>
  <c r="AD8" i="38"/>
  <c r="AD15" i="38"/>
  <c r="AB27" i="38"/>
  <c r="AA31" i="38"/>
  <c r="AC12" i="38"/>
  <c r="AC27" i="38"/>
  <c r="AC24" i="38"/>
  <c r="AC26" i="38"/>
  <c r="AA33" i="38"/>
  <c r="AD33" i="38"/>
  <c r="AB28" i="38"/>
  <c r="AB24" i="38"/>
  <c r="AA18" i="39"/>
  <c r="AA13" i="39"/>
  <c r="AB13" i="39"/>
  <c r="AC30" i="38"/>
  <c r="AD30" i="38"/>
  <c r="AA20" i="39"/>
  <c r="AC16" i="39"/>
  <c r="AB16" i="39"/>
  <c r="AA16" i="39"/>
  <c r="AA21" i="38"/>
  <c r="AD21" i="38"/>
  <c r="AA12" i="38"/>
  <c r="AC21" i="38"/>
  <c r="AD25" i="39"/>
  <c r="AC8" i="38"/>
  <c r="AD16" i="39"/>
  <c r="AD17" i="38"/>
  <c r="AA17" i="38"/>
  <c r="AA15" i="38"/>
  <c r="AB32" i="39"/>
  <c r="AA20" i="38"/>
  <c r="AD20" i="38"/>
  <c r="AA25" i="39"/>
  <c r="AD32" i="39"/>
  <c r="AC18" i="39"/>
  <c r="AC27" i="39"/>
  <c r="AD20" i="39"/>
  <c r="AD18" i="39"/>
  <c r="AC20" i="38"/>
  <c r="AB26" i="38"/>
  <c r="AB6" i="38"/>
  <c r="AA6" i="38"/>
  <c r="AC6" i="38"/>
  <c r="AA15" i="39"/>
  <c r="AC15" i="39"/>
  <c r="AA19" i="39"/>
  <c r="AC19" i="39"/>
  <c r="AD27" i="39"/>
  <c r="AC17" i="38"/>
  <c r="AB27" i="39"/>
  <c r="AA32" i="39"/>
  <c r="AB15" i="39"/>
  <c r="AA27" i="38"/>
  <c r="AB19" i="39"/>
  <c r="AD26" i="38"/>
  <c r="AA19" i="38"/>
  <c r="AD19" i="38"/>
  <c r="AA28" i="38"/>
  <c r="AC23" i="39"/>
  <c r="AB23" i="39"/>
  <c r="AB30" i="38"/>
  <c r="AB26" i="39"/>
  <c r="AA26" i="39"/>
  <c r="AC26" i="39"/>
  <c r="AD19" i="39"/>
  <c r="AD15" i="39"/>
  <c r="Q37" i="36"/>
  <c r="Q37" i="37"/>
  <c r="R37" i="43"/>
  <c r="Q37" i="39"/>
  <c r="Q37" i="43"/>
  <c r="S35" i="38"/>
  <c r="AM35" i="38" s="1"/>
  <c r="L37" i="37"/>
  <c r="AB35" i="37"/>
  <c r="AD35" i="37"/>
  <c r="AC35" i="37"/>
  <c r="AE35" i="37"/>
  <c r="S35" i="43"/>
  <c r="AM35" i="43" s="1"/>
  <c r="S35" i="36"/>
  <c r="AM35" i="36" s="1"/>
  <c r="S35" i="39"/>
  <c r="AM35" i="39" s="1"/>
  <c r="L37" i="43"/>
  <c r="AA35" i="43"/>
  <c r="AD35" i="43"/>
  <c r="AB35" i="43"/>
  <c r="AC35" i="43"/>
  <c r="L37" i="39"/>
  <c r="AD35" i="39"/>
  <c r="AB35" i="39"/>
  <c r="AA35" i="39"/>
  <c r="AC35" i="39"/>
  <c r="S35" i="37"/>
  <c r="AN35" i="37" s="1"/>
  <c r="L37" i="40"/>
  <c r="AD35" i="40"/>
  <c r="AB35" i="40"/>
  <c r="AC35" i="40"/>
  <c r="AA35" i="40"/>
  <c r="J37" i="36"/>
  <c r="L35" i="36"/>
  <c r="AC35" i="38"/>
  <c r="AA35" i="38"/>
  <c r="AB35" i="38"/>
  <c r="AD35" i="38"/>
  <c r="AM5" i="40"/>
  <c r="AM37" i="40" s="1"/>
  <c r="S37" i="40"/>
  <c r="R37" i="40"/>
  <c r="S5" i="39"/>
  <c r="R37" i="39"/>
  <c r="AM5" i="43"/>
  <c r="R37" i="37"/>
  <c r="S33" i="36"/>
  <c r="AM33" i="36" s="1"/>
  <c r="S24" i="36"/>
  <c r="AM24" i="36" s="1"/>
  <c r="S5" i="36"/>
  <c r="R37" i="36"/>
  <c r="S10" i="38"/>
  <c r="AM10" i="38" s="1"/>
  <c r="S29" i="43"/>
  <c r="AM29" i="43" s="1"/>
  <c r="S30" i="43"/>
  <c r="AM30" i="43" s="1"/>
  <c r="S10" i="43"/>
  <c r="AM10" i="43" s="1"/>
  <c r="S12" i="40"/>
  <c r="AM12" i="40" s="1"/>
  <c r="S14" i="40"/>
  <c r="AM14" i="40" s="1"/>
  <c r="S22" i="39"/>
  <c r="AM22" i="39" s="1"/>
  <c r="S28" i="39"/>
  <c r="AM28" i="39" s="1"/>
  <c r="S12" i="38"/>
  <c r="AM12" i="38" s="1"/>
  <c r="S37" i="43" l="1"/>
  <c r="AM37" i="43"/>
  <c r="L37" i="36"/>
  <c r="AC35" i="36"/>
  <c r="AB35" i="36"/>
  <c r="AA35" i="36"/>
  <c r="AD35" i="36"/>
  <c r="AB37" i="40"/>
  <c r="AD37" i="39"/>
  <c r="AD37" i="43"/>
  <c r="AC37" i="37"/>
  <c r="AD37" i="40"/>
  <c r="AC37" i="39"/>
  <c r="AA37" i="43"/>
  <c r="AD37" i="37"/>
  <c r="AA37" i="40"/>
  <c r="AA37" i="39"/>
  <c r="AC37" i="43"/>
  <c r="AB37" i="37"/>
  <c r="AC37" i="40"/>
  <c r="AB37" i="39"/>
  <c r="AB37" i="43"/>
  <c r="AE37" i="37"/>
  <c r="AM5" i="39"/>
  <c r="AM37" i="39" s="1"/>
  <c r="S37" i="39"/>
  <c r="AN5" i="37"/>
  <c r="AN37" i="37" s="1"/>
  <c r="S37" i="37"/>
  <c r="AM5" i="36"/>
  <c r="AM37" i="36" s="1"/>
  <c r="S37" i="36"/>
  <c r="AA37" i="36" l="1"/>
  <c r="AB37" i="36"/>
  <c r="AC37" i="36"/>
  <c r="AD37" i="36"/>
  <c r="N6" i="34" l="1"/>
  <c r="P6" i="34" s="1"/>
  <c r="N7" i="34"/>
  <c r="P7" i="34" s="1"/>
  <c r="N8" i="34"/>
  <c r="P8" i="34" s="1"/>
  <c r="N9" i="34"/>
  <c r="P9" i="34" s="1"/>
  <c r="N10" i="34"/>
  <c r="P10" i="34" s="1"/>
  <c r="N11" i="34"/>
  <c r="P11" i="34" s="1"/>
  <c r="N12" i="34"/>
  <c r="P12" i="34" s="1"/>
  <c r="N13" i="34"/>
  <c r="P13" i="34" s="1"/>
  <c r="N14" i="34"/>
  <c r="P14" i="34" s="1"/>
  <c r="N15" i="34"/>
  <c r="P15" i="34" s="1"/>
  <c r="N16" i="34"/>
  <c r="P16" i="34" s="1"/>
  <c r="N17" i="34"/>
  <c r="P17" i="34" s="1"/>
  <c r="N18" i="34"/>
  <c r="P18" i="34" s="1"/>
  <c r="N19" i="34"/>
  <c r="P19" i="34" s="1"/>
  <c r="N20" i="34"/>
  <c r="P20" i="34" s="1"/>
  <c r="N21" i="34"/>
  <c r="P21" i="34" s="1"/>
  <c r="N22" i="34"/>
  <c r="P22" i="34" s="1"/>
  <c r="N23" i="34"/>
  <c r="P23" i="34" s="1"/>
  <c r="N24" i="34"/>
  <c r="P24" i="34" s="1"/>
  <c r="N25" i="34"/>
  <c r="P25" i="34" s="1"/>
  <c r="N26" i="34"/>
  <c r="P26" i="34" s="1"/>
  <c r="N27" i="34"/>
  <c r="P27" i="34" s="1"/>
  <c r="N28" i="34"/>
  <c r="P28" i="34" s="1"/>
  <c r="N29" i="34"/>
  <c r="P29" i="34" s="1"/>
  <c r="N30" i="34"/>
  <c r="P30" i="34" s="1"/>
  <c r="N31" i="34"/>
  <c r="P31" i="34" s="1"/>
  <c r="N32" i="34"/>
  <c r="P32" i="34" s="1"/>
  <c r="N33" i="34"/>
  <c r="P33" i="34" s="1"/>
  <c r="N34" i="34"/>
  <c r="P34" i="34" s="1"/>
  <c r="N35" i="34"/>
  <c r="P35" i="34" s="1"/>
  <c r="N5" i="34"/>
  <c r="P5" i="34" s="1"/>
  <c r="M6" i="34"/>
  <c r="M7" i="34"/>
  <c r="M8" i="34"/>
  <c r="M9" i="34"/>
  <c r="M10" i="34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5" i="34"/>
  <c r="H5" i="34"/>
  <c r="M37" i="34" l="1"/>
  <c r="N37" i="34"/>
  <c r="P37" i="34"/>
  <c r="Q31" i="34"/>
  <c r="R31" i="34" s="1"/>
  <c r="Q27" i="34"/>
  <c r="R27" i="34" s="1"/>
  <c r="Q23" i="34"/>
  <c r="R23" i="34" s="1"/>
  <c r="Q19" i="34"/>
  <c r="R19" i="34" s="1"/>
  <c r="Q15" i="34"/>
  <c r="R15" i="34" s="1"/>
  <c r="Q11" i="34"/>
  <c r="R11" i="34" s="1"/>
  <c r="Q7" i="34"/>
  <c r="R7" i="34" s="1"/>
  <c r="O34" i="34"/>
  <c r="O30" i="34"/>
  <c r="O26" i="34"/>
  <c r="Q26" i="34"/>
  <c r="R26" i="34" s="1"/>
  <c r="O22" i="34"/>
  <c r="O18" i="34"/>
  <c r="O14" i="34"/>
  <c r="O10" i="34"/>
  <c r="Q10" i="34"/>
  <c r="R10" i="34" s="1"/>
  <c r="O6" i="34"/>
  <c r="O33" i="34"/>
  <c r="O29" i="34"/>
  <c r="O25" i="34"/>
  <c r="O21" i="34"/>
  <c r="O17" i="34"/>
  <c r="O13" i="34"/>
  <c r="O9" i="34"/>
  <c r="O27" i="34"/>
  <c r="O11" i="34"/>
  <c r="O23" i="34"/>
  <c r="O7" i="34"/>
  <c r="Q6" i="34"/>
  <c r="R6" i="34" s="1"/>
  <c r="O35" i="34"/>
  <c r="O19" i="34"/>
  <c r="Q34" i="34"/>
  <c r="R34" i="34" s="1"/>
  <c r="Q18" i="34"/>
  <c r="R18" i="34" s="1"/>
  <c r="Q22" i="34"/>
  <c r="R22" i="34" s="1"/>
  <c r="O31" i="34"/>
  <c r="O15" i="34"/>
  <c r="Q30" i="34"/>
  <c r="R30" i="34" s="1"/>
  <c r="Q14" i="34"/>
  <c r="R14" i="34" s="1"/>
  <c r="Q24" i="34"/>
  <c r="R24" i="34" s="1"/>
  <c r="O24" i="34"/>
  <c r="Q12" i="34"/>
  <c r="R12" i="34" s="1"/>
  <c r="O12" i="34"/>
  <c r="J5" i="34"/>
  <c r="L5" i="34" s="1"/>
  <c r="I5" i="34"/>
  <c r="Q20" i="34"/>
  <c r="R20" i="34" s="1"/>
  <c r="O20" i="34"/>
  <c r="Q32" i="34"/>
  <c r="R32" i="34" s="1"/>
  <c r="O32" i="34"/>
  <c r="Q8" i="34"/>
  <c r="R8" i="34" s="1"/>
  <c r="O8" i="34"/>
  <c r="Q5" i="34"/>
  <c r="O5" i="34"/>
  <c r="Q28" i="34"/>
  <c r="R28" i="34" s="1"/>
  <c r="O28" i="34"/>
  <c r="Q16" i="34"/>
  <c r="R16" i="34" s="1"/>
  <c r="O16" i="34"/>
  <c r="Q33" i="34"/>
  <c r="R33" i="34" s="1"/>
  <c r="Q29" i="34"/>
  <c r="R29" i="34" s="1"/>
  <c r="Q25" i="34"/>
  <c r="R25" i="34" s="1"/>
  <c r="Q21" i="34"/>
  <c r="R21" i="34" s="1"/>
  <c r="Q17" i="34"/>
  <c r="R17" i="34" s="1"/>
  <c r="Q13" i="34"/>
  <c r="R13" i="34" s="1"/>
  <c r="Q9" i="34"/>
  <c r="R9" i="34" s="1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F6" i="34"/>
  <c r="K6" i="34" s="1"/>
  <c r="F7" i="34"/>
  <c r="K7" i="34" s="1"/>
  <c r="F8" i="34"/>
  <c r="K8" i="34" s="1"/>
  <c r="F9" i="34"/>
  <c r="K9" i="34" s="1"/>
  <c r="F10" i="34"/>
  <c r="K10" i="34" s="1"/>
  <c r="F11" i="34"/>
  <c r="K11" i="34" s="1"/>
  <c r="F12" i="34"/>
  <c r="K12" i="34" s="1"/>
  <c r="F13" i="34"/>
  <c r="K13" i="34" s="1"/>
  <c r="F14" i="34"/>
  <c r="K14" i="34" s="1"/>
  <c r="F15" i="34"/>
  <c r="K15" i="34" s="1"/>
  <c r="F16" i="34"/>
  <c r="K16" i="34" s="1"/>
  <c r="F17" i="34"/>
  <c r="K17" i="34" s="1"/>
  <c r="F18" i="34"/>
  <c r="K18" i="34" s="1"/>
  <c r="F19" i="34"/>
  <c r="K19" i="34" s="1"/>
  <c r="F20" i="34"/>
  <c r="K20" i="34" s="1"/>
  <c r="F21" i="34"/>
  <c r="K21" i="34" s="1"/>
  <c r="F22" i="34"/>
  <c r="K22" i="34" s="1"/>
  <c r="F23" i="34"/>
  <c r="K23" i="34" s="1"/>
  <c r="F24" i="34"/>
  <c r="K24" i="34" s="1"/>
  <c r="F25" i="34"/>
  <c r="K25" i="34" s="1"/>
  <c r="F26" i="34"/>
  <c r="K26" i="34" s="1"/>
  <c r="F27" i="34"/>
  <c r="K27" i="34" s="1"/>
  <c r="F28" i="34"/>
  <c r="K28" i="34" s="1"/>
  <c r="F29" i="34"/>
  <c r="K29" i="34" s="1"/>
  <c r="F30" i="34"/>
  <c r="K30" i="34" s="1"/>
  <c r="F31" i="34"/>
  <c r="K31" i="34" s="1"/>
  <c r="F32" i="34"/>
  <c r="K32" i="34" s="1"/>
  <c r="F33" i="34"/>
  <c r="K33" i="34" s="1"/>
  <c r="F34" i="34"/>
  <c r="K34" i="34" s="1"/>
  <c r="F35" i="34"/>
  <c r="K35" i="34" s="1"/>
  <c r="F5" i="34"/>
  <c r="K5" i="34" s="1"/>
  <c r="K37" i="34" l="1"/>
  <c r="O37" i="34"/>
  <c r="H35" i="34"/>
  <c r="H37" i="34" s="1"/>
  <c r="G37" i="34"/>
  <c r="Q35" i="34"/>
  <c r="R35" i="34" s="1"/>
  <c r="S35" i="34" s="1"/>
  <c r="AM35" i="34" s="1"/>
  <c r="R5" i="34"/>
  <c r="S5" i="34" s="1"/>
  <c r="AK35" i="34"/>
  <c r="AK27" i="34"/>
  <c r="AK19" i="34"/>
  <c r="AK11" i="34"/>
  <c r="AK34" i="34"/>
  <c r="AK26" i="34"/>
  <c r="AK18" i="34"/>
  <c r="AK10" i="34"/>
  <c r="AK33" i="34"/>
  <c r="AK25" i="34"/>
  <c r="AK13" i="34"/>
  <c r="AK31" i="34"/>
  <c r="AK23" i="34"/>
  <c r="AK15" i="34"/>
  <c r="AK7" i="34"/>
  <c r="AK30" i="34"/>
  <c r="AK22" i="34"/>
  <c r="AK14" i="34"/>
  <c r="AK6" i="34"/>
  <c r="AK29" i="34"/>
  <c r="AK21" i="34"/>
  <c r="AK17" i="34"/>
  <c r="AK9" i="34"/>
  <c r="AK5" i="34"/>
  <c r="AK32" i="34"/>
  <c r="AK28" i="34"/>
  <c r="AK24" i="34"/>
  <c r="AK20" i="34"/>
  <c r="AK16" i="34"/>
  <c r="AK12" i="34"/>
  <c r="AK8" i="34"/>
  <c r="AA5" i="34"/>
  <c r="S33" i="34"/>
  <c r="AM33" i="34" s="1"/>
  <c r="S29" i="34"/>
  <c r="AM29" i="34" s="1"/>
  <c r="S25" i="34"/>
  <c r="AM25" i="34" s="1"/>
  <c r="S21" i="34"/>
  <c r="AM21" i="34" s="1"/>
  <c r="S17" i="34"/>
  <c r="AM17" i="34" s="1"/>
  <c r="S13" i="34"/>
  <c r="AM13" i="34" s="1"/>
  <c r="S9" i="34"/>
  <c r="AM9" i="34" s="1"/>
  <c r="I35" i="34"/>
  <c r="I37" i="34" s="1"/>
  <c r="J35" i="34"/>
  <c r="I31" i="34"/>
  <c r="J31" i="34"/>
  <c r="L31" i="34" s="1"/>
  <c r="AA31" i="34" s="1"/>
  <c r="I27" i="34"/>
  <c r="J27" i="34"/>
  <c r="L27" i="34" s="1"/>
  <c r="AA27" i="34" s="1"/>
  <c r="I23" i="34"/>
  <c r="J23" i="34"/>
  <c r="L23" i="34" s="1"/>
  <c r="AA23" i="34" s="1"/>
  <c r="I19" i="34"/>
  <c r="J19" i="34"/>
  <c r="L19" i="34" s="1"/>
  <c r="AA19" i="34" s="1"/>
  <c r="I15" i="34"/>
  <c r="J15" i="34"/>
  <c r="L15" i="34" s="1"/>
  <c r="AB15" i="34" s="1"/>
  <c r="I11" i="34"/>
  <c r="J11" i="34"/>
  <c r="L11" i="34" s="1"/>
  <c r="AA11" i="34" s="1"/>
  <c r="I7" i="34"/>
  <c r="J7" i="34"/>
  <c r="L7" i="34" s="1"/>
  <c r="AA7" i="34" s="1"/>
  <c r="S34" i="34"/>
  <c r="AM34" i="34" s="1"/>
  <c r="AB5" i="34"/>
  <c r="AB31" i="34"/>
  <c r="AC27" i="34"/>
  <c r="AC31" i="34"/>
  <c r="AC5" i="34"/>
  <c r="S32" i="34"/>
  <c r="AM32" i="34" s="1"/>
  <c r="S28" i="34"/>
  <c r="AM28" i="34" s="1"/>
  <c r="S24" i="34"/>
  <c r="AM24" i="34" s="1"/>
  <c r="S20" i="34"/>
  <c r="AM20" i="34" s="1"/>
  <c r="S16" i="34"/>
  <c r="AM16" i="34" s="1"/>
  <c r="S12" i="34"/>
  <c r="AM12" i="34" s="1"/>
  <c r="S8" i="34"/>
  <c r="AM8" i="34" s="1"/>
  <c r="J34" i="34"/>
  <c r="L34" i="34" s="1"/>
  <c r="AB34" i="34" s="1"/>
  <c r="I34" i="34"/>
  <c r="J30" i="34"/>
  <c r="L30" i="34" s="1"/>
  <c r="AC30" i="34" s="1"/>
  <c r="I30" i="34"/>
  <c r="J26" i="34"/>
  <c r="L26" i="34" s="1"/>
  <c r="AB26" i="34" s="1"/>
  <c r="I26" i="34"/>
  <c r="J22" i="34"/>
  <c r="L22" i="34" s="1"/>
  <c r="AA22" i="34" s="1"/>
  <c r="I22" i="34"/>
  <c r="J18" i="34"/>
  <c r="L18" i="34" s="1"/>
  <c r="AC18" i="34" s="1"/>
  <c r="I18" i="34"/>
  <c r="J14" i="34"/>
  <c r="L14" i="34" s="1"/>
  <c r="AC14" i="34" s="1"/>
  <c r="I14" i="34"/>
  <c r="J10" i="34"/>
  <c r="L10" i="34" s="1"/>
  <c r="AB10" i="34" s="1"/>
  <c r="I10" i="34"/>
  <c r="J6" i="34"/>
  <c r="L6" i="34" s="1"/>
  <c r="AA6" i="34" s="1"/>
  <c r="I6" i="34"/>
  <c r="AD27" i="34"/>
  <c r="AD31" i="34"/>
  <c r="AD18" i="34"/>
  <c r="AD22" i="34"/>
  <c r="AD26" i="34"/>
  <c r="AD5" i="34"/>
  <c r="S31" i="34"/>
  <c r="AM31" i="34" s="1"/>
  <c r="S27" i="34"/>
  <c r="AM27" i="34" s="1"/>
  <c r="S23" i="34"/>
  <c r="AM23" i="34" s="1"/>
  <c r="S19" i="34"/>
  <c r="AM19" i="34" s="1"/>
  <c r="S15" i="34"/>
  <c r="AM15" i="34" s="1"/>
  <c r="S11" i="34"/>
  <c r="AM11" i="34" s="1"/>
  <c r="S7" i="34"/>
  <c r="AM7" i="34" s="1"/>
  <c r="J33" i="34"/>
  <c r="L33" i="34" s="1"/>
  <c r="AB33" i="34" s="1"/>
  <c r="I33" i="34"/>
  <c r="J29" i="34"/>
  <c r="L29" i="34" s="1"/>
  <c r="AB29" i="34" s="1"/>
  <c r="I29" i="34"/>
  <c r="J25" i="34"/>
  <c r="L25" i="34" s="1"/>
  <c r="AA25" i="34" s="1"/>
  <c r="I25" i="34"/>
  <c r="J21" i="34"/>
  <c r="L21" i="34" s="1"/>
  <c r="AD21" i="34" s="1"/>
  <c r="I21" i="34"/>
  <c r="J17" i="34"/>
  <c r="L17" i="34" s="1"/>
  <c r="AB17" i="34" s="1"/>
  <c r="I17" i="34"/>
  <c r="J13" i="34"/>
  <c r="L13" i="34" s="1"/>
  <c r="AB13" i="34" s="1"/>
  <c r="I13" i="34"/>
  <c r="J9" i="34"/>
  <c r="L9" i="34" s="1"/>
  <c r="AA9" i="34" s="1"/>
  <c r="I9" i="34"/>
  <c r="S30" i="34"/>
  <c r="AM30" i="34" s="1"/>
  <c r="S26" i="34"/>
  <c r="AM26" i="34" s="1"/>
  <c r="S22" i="34"/>
  <c r="AM22" i="34" s="1"/>
  <c r="S18" i="34"/>
  <c r="AM18" i="34" s="1"/>
  <c r="S14" i="34"/>
  <c r="AM14" i="34" s="1"/>
  <c r="S10" i="34"/>
  <c r="AM10" i="34" s="1"/>
  <c r="S6" i="34"/>
  <c r="AM6" i="34" s="1"/>
  <c r="J32" i="34"/>
  <c r="L32" i="34" s="1"/>
  <c r="AA32" i="34" s="1"/>
  <c r="I32" i="34"/>
  <c r="J28" i="34"/>
  <c r="L28" i="34" s="1"/>
  <c r="AB28" i="34" s="1"/>
  <c r="I28" i="34"/>
  <c r="J24" i="34"/>
  <c r="L24" i="34" s="1"/>
  <c r="AC24" i="34" s="1"/>
  <c r="I24" i="34"/>
  <c r="J20" i="34"/>
  <c r="L20" i="34" s="1"/>
  <c r="AB20" i="34" s="1"/>
  <c r="I20" i="34"/>
  <c r="J16" i="34"/>
  <c r="L16" i="34" s="1"/>
  <c r="AB16" i="34" s="1"/>
  <c r="I16" i="34"/>
  <c r="J12" i="34"/>
  <c r="L12" i="34" s="1"/>
  <c r="AA12" i="34" s="1"/>
  <c r="I12" i="34"/>
  <c r="J8" i="34"/>
  <c r="L8" i="34" s="1"/>
  <c r="AA8" i="34" s="1"/>
  <c r="I8" i="34"/>
  <c r="AD34" i="34" l="1"/>
  <c r="AD30" i="34"/>
  <c r="AC23" i="34"/>
  <c r="AC34" i="34"/>
  <c r="AD14" i="34"/>
  <c r="AD6" i="34"/>
  <c r="AD23" i="34"/>
  <c r="AC11" i="34"/>
  <c r="AC19" i="34"/>
  <c r="AD15" i="34"/>
  <c r="AB19" i="34"/>
  <c r="AD10" i="34"/>
  <c r="AD19" i="34"/>
  <c r="AD11" i="34"/>
  <c r="AD7" i="34"/>
  <c r="AB27" i="34"/>
  <c r="AD29" i="34"/>
  <c r="AD24" i="34"/>
  <c r="AD8" i="34"/>
  <c r="AC32" i="34"/>
  <c r="AC20" i="34"/>
  <c r="AC25" i="34"/>
  <c r="AC9" i="34"/>
  <c r="AC26" i="34"/>
  <c r="AC10" i="34"/>
  <c r="AB22" i="34"/>
  <c r="AB6" i="34"/>
  <c r="AB24" i="34"/>
  <c r="AB8" i="34"/>
  <c r="AB25" i="34"/>
  <c r="AB9" i="34"/>
  <c r="J37" i="34"/>
  <c r="L35" i="34"/>
  <c r="AA24" i="34"/>
  <c r="AA20" i="34"/>
  <c r="AA21" i="34"/>
  <c r="AA34" i="34"/>
  <c r="AA18" i="34"/>
  <c r="AD33" i="34"/>
  <c r="AD25" i="34"/>
  <c r="AD20" i="34"/>
  <c r="AD13" i="34"/>
  <c r="AC16" i="34"/>
  <c r="AC8" i="34"/>
  <c r="AC7" i="34"/>
  <c r="AC21" i="34"/>
  <c r="AC12" i="34"/>
  <c r="AC22" i="34"/>
  <c r="AC6" i="34"/>
  <c r="AB18" i="34"/>
  <c r="AB11" i="34"/>
  <c r="AB7" i="34"/>
  <c r="AB21" i="34"/>
  <c r="AA16" i="34"/>
  <c r="AA33" i="34"/>
  <c r="AA17" i="34"/>
  <c r="AA15" i="34"/>
  <c r="AA30" i="34"/>
  <c r="AA14" i="34"/>
  <c r="AD17" i="34"/>
  <c r="AD32" i="34"/>
  <c r="AD16" i="34"/>
  <c r="AC33" i="34"/>
  <c r="AC17" i="34"/>
  <c r="AB30" i="34"/>
  <c r="AB14" i="34"/>
  <c r="AB32" i="34"/>
  <c r="AA28" i="34"/>
  <c r="AA29" i="34"/>
  <c r="AA13" i="34"/>
  <c r="AA26" i="34"/>
  <c r="AA10" i="34"/>
  <c r="AK37" i="34"/>
  <c r="AD28" i="34"/>
  <c r="AD12" i="34"/>
  <c r="AD9" i="34"/>
  <c r="AC28" i="34"/>
  <c r="AC15" i="34"/>
  <c r="AC29" i="34"/>
  <c r="AC13" i="34"/>
  <c r="AB23" i="34"/>
  <c r="AB12" i="34"/>
  <c r="Q37" i="34"/>
  <c r="AM5" i="34"/>
  <c r="AM37" i="34" s="1"/>
  <c r="S37" i="34"/>
  <c r="R37" i="34"/>
  <c r="L37" i="34" l="1"/>
  <c r="AC35" i="34"/>
  <c r="AA35" i="34"/>
  <c r="AB35" i="34"/>
  <c r="AD35" i="34"/>
  <c r="AB37" i="34" l="1"/>
  <c r="AA37" i="34"/>
  <c r="AC37" i="34"/>
  <c r="AD37" i="34"/>
  <c r="B12" i="7" l="1"/>
  <c r="B16" i="7" s="1"/>
  <c r="B10" i="7" l="1"/>
  <c r="B11" i="7" l="1"/>
  <c r="B15" i="7" s="1"/>
  <c r="B14" i="7"/>
  <c r="B18" i="7" l="1"/>
  <c r="B19" i="7"/>
  <c r="E19" i="7" l="1"/>
  <c r="E18" i="7"/>
  <c r="B20" i="7"/>
  <c r="E11" i="7" s="1"/>
  <c r="E21" i="7" l="1"/>
  <c r="E24" i="7" s="1"/>
  <c r="F24" i="7" s="1"/>
  <c r="E20" i="7"/>
  <c r="E23" i="7" s="1"/>
  <c r="F23" i="7" s="1"/>
  <c r="E22" i="7"/>
  <c r="E25" i="7" s="1"/>
  <c r="F25" i="7" s="1"/>
  <c r="E10" i="7"/>
  <c r="E4" i="7"/>
  <c r="E5" i="7"/>
  <c r="B24" i="7" l="1"/>
  <c r="E6" i="7"/>
  <c r="E7" i="7" s="1"/>
  <c r="F7" i="7" s="1"/>
  <c r="B22" i="7" s="1"/>
  <c r="E14" i="7"/>
  <c r="E15" i="7" s="1"/>
  <c r="F15" i="7" s="1"/>
  <c r="E12" i="7"/>
  <c r="E13" i="7" s="1"/>
  <c r="F13" i="7" s="1"/>
  <c r="B23" i="7" s="1"/>
  <c r="B25" i="7" l="1"/>
  <c r="F5" i="38"/>
  <c r="K5" i="38" s="1"/>
  <c r="K37" i="38" s="1"/>
  <c r="O5" i="38"/>
  <c r="O37" i="38" s="1"/>
  <c r="H5" i="38" l="1"/>
  <c r="I5" i="38" s="1"/>
  <c r="I37" i="38" s="1"/>
  <c r="G37" i="38"/>
  <c r="AK5" i="38"/>
  <c r="AK37" i="38" s="1"/>
  <c r="J5" i="38" l="1"/>
  <c r="L5" i="38" s="1"/>
  <c r="H37" i="38"/>
  <c r="Q5" i="38"/>
  <c r="J37" i="38" l="1"/>
  <c r="R5" i="38"/>
  <c r="Q37" i="38"/>
  <c r="L37" i="38" l="1"/>
  <c r="AA5" i="38"/>
  <c r="AA37" i="38" s="1"/>
  <c r="AC5" i="38"/>
  <c r="AC37" i="38" s="1"/>
  <c r="AD5" i="38"/>
  <c r="AD37" i="38" s="1"/>
  <c r="AB5" i="38"/>
  <c r="AB37" i="38" s="1"/>
  <c r="S5" i="38"/>
  <c r="R37" i="38"/>
  <c r="AM5" i="38" l="1"/>
  <c r="AM37" i="38" s="1"/>
  <c r="S37" i="38"/>
  <c r="B15" i="44" l="1"/>
  <c r="B21" i="36"/>
  <c r="B22" i="36" s="1"/>
  <c r="B21" i="39"/>
  <c r="B22" i="39" s="1"/>
  <c r="B21" i="38"/>
  <c r="B22" i="38" s="1"/>
  <c r="B21" i="40"/>
  <c r="B22" i="40" s="1"/>
  <c r="B21" i="37"/>
  <c r="B22" i="37" s="1"/>
  <c r="B21" i="34"/>
  <c r="B22" i="34" s="1"/>
  <c r="B21" i="43"/>
  <c r="B22" i="43" s="1"/>
  <c r="U31" i="36" l="1"/>
  <c r="Z31" i="36" s="1"/>
  <c r="U8" i="36"/>
  <c r="Z8" i="36" s="1"/>
  <c r="U25" i="36"/>
  <c r="Z25" i="36" s="1"/>
  <c r="U11" i="36"/>
  <c r="Z11" i="36" s="1"/>
  <c r="U23" i="36"/>
  <c r="Z23" i="36" s="1"/>
  <c r="U20" i="36"/>
  <c r="Z20" i="36" s="1"/>
  <c r="U15" i="36"/>
  <c r="Z15" i="36" s="1"/>
  <c r="U21" i="36"/>
  <c r="Z21" i="36" s="1"/>
  <c r="U14" i="36"/>
  <c r="Z14" i="36" s="1"/>
  <c r="U24" i="36"/>
  <c r="Z24" i="36" s="1"/>
  <c r="U26" i="36"/>
  <c r="Z26" i="36" s="1"/>
  <c r="U17" i="36"/>
  <c r="Z17" i="36" s="1"/>
  <c r="U10" i="36"/>
  <c r="U29" i="36"/>
  <c r="Z29" i="36" s="1"/>
  <c r="U6" i="36"/>
  <c r="Z6" i="36" s="1"/>
  <c r="U7" i="36"/>
  <c r="U13" i="36"/>
  <c r="Z13" i="36" s="1"/>
  <c r="U32" i="36"/>
  <c r="Z32" i="36" s="1"/>
  <c r="U5" i="36"/>
  <c r="Z5" i="36" s="1"/>
  <c r="U12" i="36"/>
  <c r="Z12" i="36" s="1"/>
  <c r="U9" i="36"/>
  <c r="Z9" i="36" s="1"/>
  <c r="U22" i="36"/>
  <c r="U18" i="36"/>
  <c r="U35" i="36"/>
  <c r="Z35" i="36" s="1"/>
  <c r="U33" i="36"/>
  <c r="U28" i="36"/>
  <c r="U34" i="36"/>
  <c r="U27" i="36"/>
  <c r="Z27" i="36" s="1"/>
  <c r="U19" i="36"/>
  <c r="U16" i="36"/>
  <c r="Z16" i="36" s="1"/>
  <c r="U30" i="36"/>
  <c r="Z30" i="36" s="1"/>
  <c r="U7" i="43"/>
  <c r="Z7" i="43" s="1"/>
  <c r="U23" i="43"/>
  <c r="Z23" i="43" s="1"/>
  <c r="U32" i="43"/>
  <c r="Z32" i="43" s="1"/>
  <c r="U19" i="43"/>
  <c r="Z19" i="43" s="1"/>
  <c r="U31" i="43"/>
  <c r="Z31" i="43" s="1"/>
  <c r="U25" i="43"/>
  <c r="Z25" i="43" s="1"/>
  <c r="U34" i="43"/>
  <c r="Z34" i="43" s="1"/>
  <c r="U33" i="43"/>
  <c r="Z33" i="43" s="1"/>
  <c r="U8" i="43"/>
  <c r="U24" i="43"/>
  <c r="U13" i="43"/>
  <c r="Z13" i="43" s="1"/>
  <c r="U28" i="43"/>
  <c r="U14" i="43"/>
  <c r="Z14" i="43" s="1"/>
  <c r="U6" i="43"/>
  <c r="Z6" i="43" s="1"/>
  <c r="U21" i="43"/>
  <c r="Z21" i="43" s="1"/>
  <c r="U27" i="43"/>
  <c r="Z27" i="43" s="1"/>
  <c r="U20" i="43"/>
  <c r="Z20" i="43" s="1"/>
  <c r="U29" i="43"/>
  <c r="Z29" i="43" s="1"/>
  <c r="U10" i="43"/>
  <c r="Z10" i="43" s="1"/>
  <c r="U15" i="43"/>
  <c r="Z15" i="43" s="1"/>
  <c r="U5" i="43"/>
  <c r="Z5" i="43" s="1"/>
  <c r="U18" i="43"/>
  <c r="U30" i="43"/>
  <c r="U9" i="43"/>
  <c r="Z9" i="43" s="1"/>
  <c r="U16" i="43"/>
  <c r="U22" i="43"/>
  <c r="U12" i="43"/>
  <c r="U26" i="43"/>
  <c r="U17" i="43"/>
  <c r="U11" i="43"/>
  <c r="Z30" i="43"/>
  <c r="U35" i="43"/>
  <c r="U24" i="38"/>
  <c r="Z24" i="38" s="1"/>
  <c r="U8" i="38"/>
  <c r="Z8" i="38" s="1"/>
  <c r="U20" i="38"/>
  <c r="Z20" i="38" s="1"/>
  <c r="U27" i="38"/>
  <c r="Z27" i="38" s="1"/>
  <c r="U13" i="38"/>
  <c r="U22" i="38"/>
  <c r="Z22" i="38" s="1"/>
  <c r="U21" i="38"/>
  <c r="U28" i="38"/>
  <c r="U33" i="38"/>
  <c r="Z33" i="38" s="1"/>
  <c r="U29" i="38"/>
  <c r="Z29" i="38" s="1"/>
  <c r="U31" i="38"/>
  <c r="U7" i="38"/>
  <c r="U25" i="38"/>
  <c r="U10" i="38"/>
  <c r="Z10" i="38" s="1"/>
  <c r="U34" i="38"/>
  <c r="U19" i="38"/>
  <c r="Z19" i="38" s="1"/>
  <c r="U26" i="38"/>
  <c r="U14" i="38"/>
  <c r="Z14" i="38" s="1"/>
  <c r="U17" i="38"/>
  <c r="Z17" i="38" s="1"/>
  <c r="Z28" i="38"/>
  <c r="U11" i="38"/>
  <c r="Z11" i="38" s="1"/>
  <c r="U12" i="38"/>
  <c r="Z12" i="38" s="1"/>
  <c r="U23" i="38"/>
  <c r="U15" i="38"/>
  <c r="Z15" i="38" s="1"/>
  <c r="U16" i="38"/>
  <c r="Z16" i="38" s="1"/>
  <c r="U5" i="38"/>
  <c r="Z5" i="38" s="1"/>
  <c r="U32" i="38"/>
  <c r="U35" i="38"/>
  <c r="Z35" i="38" s="1"/>
  <c r="U6" i="38"/>
  <c r="Z6" i="38" s="1"/>
  <c r="U9" i="38"/>
  <c r="Z9" i="38" s="1"/>
  <c r="U30" i="38"/>
  <c r="Z30" i="38" s="1"/>
  <c r="U18" i="38"/>
  <c r="U33" i="34"/>
  <c r="Z33" i="34" s="1"/>
  <c r="U30" i="34"/>
  <c r="Z30" i="34" s="1"/>
  <c r="U19" i="34"/>
  <c r="Z19" i="34" s="1"/>
  <c r="U9" i="34"/>
  <c r="U27" i="34"/>
  <c r="Z27" i="34" s="1"/>
  <c r="U32" i="34"/>
  <c r="Z32" i="34" s="1"/>
  <c r="U24" i="34"/>
  <c r="Z24" i="34" s="1"/>
  <c r="U14" i="34"/>
  <c r="Z14" i="34" s="1"/>
  <c r="U26" i="34"/>
  <c r="Z26" i="34" s="1"/>
  <c r="U22" i="34"/>
  <c r="Z22" i="34" s="1"/>
  <c r="U17" i="34"/>
  <c r="U20" i="34"/>
  <c r="Z20" i="34" s="1"/>
  <c r="U7" i="34"/>
  <c r="Z7" i="34" s="1"/>
  <c r="U29" i="34"/>
  <c r="Z29" i="34" s="1"/>
  <c r="U31" i="34"/>
  <c r="U11" i="34"/>
  <c r="U12" i="34"/>
  <c r="Z12" i="34" s="1"/>
  <c r="U15" i="34"/>
  <c r="Z15" i="34" s="1"/>
  <c r="U10" i="34"/>
  <c r="U16" i="34"/>
  <c r="U21" i="34"/>
  <c r="U5" i="34"/>
  <c r="Z5" i="34" s="1"/>
  <c r="U13" i="34"/>
  <c r="Z13" i="34" s="1"/>
  <c r="U18" i="34"/>
  <c r="U28" i="34"/>
  <c r="U34" i="34"/>
  <c r="Z34" i="34" s="1"/>
  <c r="U6" i="34"/>
  <c r="Z6" i="34" s="1"/>
  <c r="U23" i="34"/>
  <c r="Z23" i="34" s="1"/>
  <c r="U35" i="34"/>
  <c r="Z35" i="34" s="1"/>
  <c r="U8" i="34"/>
  <c r="Z8" i="34" s="1"/>
  <c r="U25" i="34"/>
  <c r="Z25" i="34" s="1"/>
  <c r="U10" i="37"/>
  <c r="AA10" i="37" s="1"/>
  <c r="U22" i="37"/>
  <c r="AA22" i="37" s="1"/>
  <c r="U31" i="37"/>
  <c r="AA31" i="37" s="1"/>
  <c r="U9" i="37"/>
  <c r="AA9" i="37" s="1"/>
  <c r="U23" i="37"/>
  <c r="U12" i="37"/>
  <c r="AA12" i="37" s="1"/>
  <c r="U17" i="37"/>
  <c r="AA17" i="37" s="1"/>
  <c r="U34" i="37"/>
  <c r="U19" i="37"/>
  <c r="AA19" i="37" s="1"/>
  <c r="U32" i="37"/>
  <c r="U14" i="37"/>
  <c r="AA14" i="37" s="1"/>
  <c r="U18" i="37"/>
  <c r="AA18" i="37" s="1"/>
  <c r="U11" i="37"/>
  <c r="AA11" i="37" s="1"/>
  <c r="U24" i="37"/>
  <c r="AA24" i="37" s="1"/>
  <c r="U25" i="37"/>
  <c r="U5" i="37"/>
  <c r="AA5" i="37" s="1"/>
  <c r="U27" i="37"/>
  <c r="AA27" i="37" s="1"/>
  <c r="U35" i="37"/>
  <c r="AA35" i="37" s="1"/>
  <c r="U29" i="37"/>
  <c r="AA29" i="37" s="1"/>
  <c r="U26" i="37"/>
  <c r="U7" i="37"/>
  <c r="U28" i="37"/>
  <c r="U20" i="37"/>
  <c r="U16" i="37"/>
  <c r="U8" i="37"/>
  <c r="AA8" i="37" s="1"/>
  <c r="U33" i="37"/>
  <c r="AA33" i="37" s="1"/>
  <c r="U30" i="37"/>
  <c r="AA30" i="37" s="1"/>
  <c r="U6" i="37"/>
  <c r="U21" i="37"/>
  <c r="AA21" i="37" s="1"/>
  <c r="U13" i="37"/>
  <c r="U15" i="37"/>
  <c r="U9" i="39"/>
  <c r="Z9" i="39" s="1"/>
  <c r="U13" i="39"/>
  <c r="Z13" i="39" s="1"/>
  <c r="U25" i="39"/>
  <c r="Z25" i="39" s="1"/>
  <c r="U24" i="39"/>
  <c r="Z24" i="39" s="1"/>
  <c r="U20" i="39"/>
  <c r="Z20" i="39" s="1"/>
  <c r="U18" i="39"/>
  <c r="Z18" i="39" s="1"/>
  <c r="U8" i="39"/>
  <c r="Z8" i="39" s="1"/>
  <c r="U11" i="39"/>
  <c r="Z11" i="39" s="1"/>
  <c r="U33" i="39"/>
  <c r="Z33" i="39" s="1"/>
  <c r="U5" i="39"/>
  <c r="Z5" i="39" s="1"/>
  <c r="U16" i="39"/>
  <c r="U17" i="39"/>
  <c r="Z17" i="39" s="1"/>
  <c r="U28" i="39"/>
  <c r="Z28" i="39" s="1"/>
  <c r="U22" i="39"/>
  <c r="Z22" i="39" s="1"/>
  <c r="U12" i="39"/>
  <c r="Z12" i="39" s="1"/>
  <c r="U30" i="39"/>
  <c r="Z30" i="39" s="1"/>
  <c r="U10" i="39"/>
  <c r="U32" i="39"/>
  <c r="Z32" i="39" s="1"/>
  <c r="U34" i="39"/>
  <c r="U21" i="39"/>
  <c r="U27" i="39"/>
  <c r="Z27" i="39" s="1"/>
  <c r="U15" i="39"/>
  <c r="Z15" i="39" s="1"/>
  <c r="U29" i="39"/>
  <c r="Z29" i="39" s="1"/>
  <c r="U35" i="39"/>
  <c r="Z35" i="39" s="1"/>
  <c r="U6" i="39"/>
  <c r="U31" i="39"/>
  <c r="Z31" i="39" s="1"/>
  <c r="U14" i="39"/>
  <c r="Z14" i="39" s="1"/>
  <c r="U26" i="39"/>
  <c r="Z26" i="39" s="1"/>
  <c r="U7" i="39"/>
  <c r="Z7" i="39" s="1"/>
  <c r="U23" i="39"/>
  <c r="U19" i="39"/>
  <c r="U12" i="40"/>
  <c r="Z12" i="40" s="1"/>
  <c r="U34" i="40"/>
  <c r="Z34" i="40" s="1"/>
  <c r="U7" i="40"/>
  <c r="Z7" i="40" s="1"/>
  <c r="U14" i="40"/>
  <c r="Z14" i="40" s="1"/>
  <c r="U6" i="40"/>
  <c r="Z6" i="40" s="1"/>
  <c r="U25" i="40"/>
  <c r="U10" i="40"/>
  <c r="Z10" i="40" s="1"/>
  <c r="U24" i="40"/>
  <c r="Z24" i="40" s="1"/>
  <c r="U32" i="40"/>
  <c r="Z32" i="40" s="1"/>
  <c r="U15" i="40"/>
  <c r="Z15" i="40" s="1"/>
  <c r="U26" i="40"/>
  <c r="Z26" i="40" s="1"/>
  <c r="U20" i="40"/>
  <c r="Z20" i="40" s="1"/>
  <c r="U31" i="40"/>
  <c r="U9" i="40"/>
  <c r="U21" i="40"/>
  <c r="Z21" i="40" s="1"/>
  <c r="U18" i="40"/>
  <c r="Z18" i="40" s="1"/>
  <c r="U30" i="40"/>
  <c r="U23" i="40"/>
  <c r="Z23" i="40" s="1"/>
  <c r="U17" i="40"/>
  <c r="U27" i="40"/>
  <c r="Z27" i="40" s="1"/>
  <c r="U11" i="40"/>
  <c r="Z11" i="40" s="1"/>
  <c r="U22" i="40"/>
  <c r="U13" i="40"/>
  <c r="U8" i="40"/>
  <c r="Z8" i="40" s="1"/>
  <c r="U33" i="40"/>
  <c r="Z33" i="40" s="1"/>
  <c r="U29" i="40"/>
  <c r="U28" i="40"/>
  <c r="U19" i="40"/>
  <c r="Z19" i="40" s="1"/>
  <c r="U5" i="40"/>
  <c r="U35" i="40"/>
  <c r="U16" i="40"/>
  <c r="Z16" i="40" s="1"/>
  <c r="AA37" i="37" l="1"/>
  <c r="Z37" i="36"/>
  <c r="Z37" i="34"/>
  <c r="Z37" i="38"/>
  <c r="U37" i="40"/>
  <c r="AQ35" i="40"/>
  <c r="AP35" i="40"/>
  <c r="AE35" i="40"/>
  <c r="AR35" i="40"/>
  <c r="AO35" i="40"/>
  <c r="V35" i="40"/>
  <c r="AP30" i="40"/>
  <c r="AR30" i="40"/>
  <c r="AE30" i="40"/>
  <c r="AQ30" i="40"/>
  <c r="AO30" i="40"/>
  <c r="V30" i="40"/>
  <c r="W30" i="40" s="1"/>
  <c r="AQ19" i="39"/>
  <c r="AE19" i="39"/>
  <c r="AR19" i="39"/>
  <c r="AP19" i="39"/>
  <c r="AO19" i="39"/>
  <c r="V19" i="39"/>
  <c r="W19" i="39" s="1"/>
  <c r="AR6" i="39"/>
  <c r="AE6" i="39"/>
  <c r="AP6" i="39"/>
  <c r="AQ6" i="39"/>
  <c r="AO6" i="39"/>
  <c r="V6" i="39"/>
  <c r="W6" i="39" s="1"/>
  <c r="AE10" i="39"/>
  <c r="AR10" i="39"/>
  <c r="AQ10" i="39"/>
  <c r="AP10" i="39"/>
  <c r="AO10" i="39"/>
  <c r="V10" i="39"/>
  <c r="W10" i="39" s="1"/>
  <c r="AP5" i="40"/>
  <c r="AE5" i="40"/>
  <c r="AR5" i="40"/>
  <c r="AO5" i="40"/>
  <c r="AQ5" i="40"/>
  <c r="V5" i="40"/>
  <c r="W5" i="40" s="1"/>
  <c r="AE13" i="40"/>
  <c r="AP13" i="40"/>
  <c r="AR13" i="40"/>
  <c r="AQ13" i="40"/>
  <c r="AO13" i="40"/>
  <c r="V13" i="40"/>
  <c r="W13" i="40" s="1"/>
  <c r="AE17" i="40"/>
  <c r="AR17" i="40"/>
  <c r="AQ17" i="40"/>
  <c r="AP17" i="40"/>
  <c r="V17" i="40"/>
  <c r="W17" i="40" s="1"/>
  <c r="AO17" i="40"/>
  <c r="AR21" i="40"/>
  <c r="AP21" i="40"/>
  <c r="AQ21" i="40"/>
  <c r="AE21" i="40"/>
  <c r="AG21" i="40" s="1"/>
  <c r="V21" i="40"/>
  <c r="W21" i="40" s="1"/>
  <c r="AO21" i="40"/>
  <c r="AE20" i="40"/>
  <c r="AG20" i="40" s="1"/>
  <c r="AQ20" i="40"/>
  <c r="AP20" i="40"/>
  <c r="AR20" i="40"/>
  <c r="V20" i="40"/>
  <c r="W20" i="40" s="1"/>
  <c r="AO20" i="40"/>
  <c r="AP10" i="40"/>
  <c r="AR10" i="40"/>
  <c r="AE10" i="40"/>
  <c r="AG10" i="40" s="1"/>
  <c r="AQ10" i="40"/>
  <c r="AO10" i="40"/>
  <c r="V10" i="40"/>
  <c r="W10" i="40" s="1"/>
  <c r="AP7" i="40"/>
  <c r="AE7" i="40"/>
  <c r="AG7" i="40" s="1"/>
  <c r="AQ7" i="40"/>
  <c r="AR7" i="40"/>
  <c r="V7" i="40"/>
  <c r="W7" i="40" s="1"/>
  <c r="AO7" i="40"/>
  <c r="AE23" i="39"/>
  <c r="AQ23" i="39"/>
  <c r="AP23" i="39"/>
  <c r="AO23" i="39"/>
  <c r="AR23" i="39"/>
  <c r="V23" i="39"/>
  <c r="W23" i="39" s="1"/>
  <c r="AE35" i="39"/>
  <c r="AG35" i="39" s="1"/>
  <c r="AR35" i="39"/>
  <c r="U37" i="39"/>
  <c r="AQ35" i="39"/>
  <c r="AP35" i="39"/>
  <c r="V35" i="39"/>
  <c r="AO35" i="39"/>
  <c r="AE21" i="39"/>
  <c r="AR21" i="39"/>
  <c r="AQ21" i="39"/>
  <c r="AP21" i="39"/>
  <c r="AO21" i="39"/>
  <c r="V21" i="39"/>
  <c r="W21" i="39" s="1"/>
  <c r="AP30" i="39"/>
  <c r="AQ30" i="39"/>
  <c r="AE30" i="39"/>
  <c r="AG30" i="39" s="1"/>
  <c r="AR30" i="39"/>
  <c r="V30" i="39"/>
  <c r="W30" i="39" s="1"/>
  <c r="AO30" i="39"/>
  <c r="AE22" i="39"/>
  <c r="AG22" i="39" s="1"/>
  <c r="AQ22" i="39"/>
  <c r="AP22" i="39"/>
  <c r="AR22" i="39"/>
  <c r="V22" i="39"/>
  <c r="W22" i="39" s="1"/>
  <c r="AO22" i="39"/>
  <c r="AQ5" i="39"/>
  <c r="AP5" i="39"/>
  <c r="AE5" i="39"/>
  <c r="AG5" i="39" s="1"/>
  <c r="AR5" i="39"/>
  <c r="AO5" i="39"/>
  <c r="V5" i="39"/>
  <c r="W5" i="39" s="1"/>
  <c r="AR8" i="39"/>
  <c r="AE8" i="39"/>
  <c r="AG8" i="39" s="1"/>
  <c r="AQ8" i="39"/>
  <c r="AP8" i="39"/>
  <c r="AO8" i="39"/>
  <c r="V8" i="39"/>
  <c r="W8" i="39" s="1"/>
  <c r="AE24" i="39"/>
  <c r="AG24" i="39" s="1"/>
  <c r="AR24" i="39"/>
  <c r="AP24" i="39"/>
  <c r="AQ24" i="39"/>
  <c r="V24" i="39"/>
  <c r="W24" i="39" s="1"/>
  <c r="AO24" i="39"/>
  <c r="AF6" i="37"/>
  <c r="AR6" i="37"/>
  <c r="AQ6" i="37"/>
  <c r="AS6" i="37"/>
  <c r="AP6" i="37"/>
  <c r="V6" i="37"/>
  <c r="W6" i="37" s="1"/>
  <c r="AR16" i="37"/>
  <c r="AQ16" i="37"/>
  <c r="AF16" i="37"/>
  <c r="AS16" i="37"/>
  <c r="AP16" i="37"/>
  <c r="V16" i="37"/>
  <c r="W16" i="37" s="1"/>
  <c r="AS26" i="37"/>
  <c r="AR26" i="37"/>
  <c r="AF26" i="37"/>
  <c r="AQ26" i="37"/>
  <c r="AP26" i="37"/>
  <c r="V26" i="37"/>
  <c r="W26" i="37" s="1"/>
  <c r="AF27" i="37"/>
  <c r="AH27" i="37" s="1"/>
  <c r="AQ27" i="37"/>
  <c r="AR27" i="37"/>
  <c r="AP27" i="37"/>
  <c r="AS27" i="37"/>
  <c r="V27" i="37"/>
  <c r="W27" i="37" s="1"/>
  <c r="AQ25" i="37"/>
  <c r="AR25" i="37"/>
  <c r="AS25" i="37"/>
  <c r="AF25" i="37"/>
  <c r="AP25" i="37"/>
  <c r="V25" i="37"/>
  <c r="W25" i="37" s="1"/>
  <c r="AQ14" i="37"/>
  <c r="AF14" i="37"/>
  <c r="AH14" i="37" s="1"/>
  <c r="AR14" i="37"/>
  <c r="AS14" i="37"/>
  <c r="AP14" i="37"/>
  <c r="V14" i="37"/>
  <c r="W14" i="37" s="1"/>
  <c r="AF34" i="37"/>
  <c r="AQ34" i="37"/>
  <c r="AS34" i="37"/>
  <c r="AR34" i="37"/>
  <c r="AP34" i="37"/>
  <c r="V34" i="37"/>
  <c r="W34" i="37" s="1"/>
  <c r="AQ31" i="37"/>
  <c r="AR31" i="37"/>
  <c r="AS31" i="37"/>
  <c r="AF31" i="37"/>
  <c r="AH31" i="37" s="1"/>
  <c r="AP31" i="37"/>
  <c r="V31" i="37"/>
  <c r="W31" i="37" s="1"/>
  <c r="AR22" i="37"/>
  <c r="AF22" i="37"/>
  <c r="AH22" i="37" s="1"/>
  <c r="AQ22" i="37"/>
  <c r="AS22" i="37"/>
  <c r="AP22" i="37"/>
  <c r="V22" i="37"/>
  <c r="W22" i="37" s="1"/>
  <c r="AA6" i="37"/>
  <c r="AQ8" i="34"/>
  <c r="AP8" i="34"/>
  <c r="AE8" i="34"/>
  <c r="AG8" i="34" s="1"/>
  <c r="AR8" i="34"/>
  <c r="AO8" i="34"/>
  <c r="V8" i="34"/>
  <c r="W8" i="34" s="1"/>
  <c r="AR23" i="34"/>
  <c r="AQ23" i="34"/>
  <c r="AE23" i="34"/>
  <c r="AG23" i="34" s="1"/>
  <c r="AP23" i="34"/>
  <c r="V23" i="34"/>
  <c r="W23" i="34" s="1"/>
  <c r="AO23" i="34"/>
  <c r="AE28" i="34"/>
  <c r="AR28" i="34"/>
  <c r="AP28" i="34"/>
  <c r="AQ28" i="34"/>
  <c r="V28" i="34"/>
  <c r="W28" i="34" s="1"/>
  <c r="AO28" i="34"/>
  <c r="AP21" i="34"/>
  <c r="AR21" i="34"/>
  <c r="AQ21" i="34"/>
  <c r="AE21" i="34"/>
  <c r="AO21" i="34"/>
  <c r="V21" i="34"/>
  <c r="W21" i="34" s="1"/>
  <c r="AP15" i="34"/>
  <c r="AR15" i="34"/>
  <c r="AQ15" i="34"/>
  <c r="AE15" i="34"/>
  <c r="AG15" i="34" s="1"/>
  <c r="AO15" i="34"/>
  <c r="V15" i="34"/>
  <c r="W15" i="34" s="1"/>
  <c r="AR29" i="34"/>
  <c r="AE29" i="34"/>
  <c r="AG29" i="34" s="1"/>
  <c r="AP29" i="34"/>
  <c r="AQ29" i="34"/>
  <c r="V29" i="34"/>
  <c r="W29" i="34" s="1"/>
  <c r="AO29" i="34"/>
  <c r="AE17" i="34"/>
  <c r="AP17" i="34"/>
  <c r="AR17" i="34"/>
  <c r="AQ17" i="34"/>
  <c r="V17" i="34"/>
  <c r="W17" i="34" s="1"/>
  <c r="AO17" i="34"/>
  <c r="AQ14" i="34"/>
  <c r="AP14" i="34"/>
  <c r="AR14" i="34"/>
  <c r="AE14" i="34"/>
  <c r="AG14" i="34" s="1"/>
  <c r="V14" i="34"/>
  <c r="W14" i="34" s="1"/>
  <c r="AO14" i="34"/>
  <c r="AP32" i="34"/>
  <c r="AR32" i="34"/>
  <c r="AQ32" i="34"/>
  <c r="AE32" i="34"/>
  <c r="AG32" i="34" s="1"/>
  <c r="V32" i="34"/>
  <c r="W32" i="34" s="1"/>
  <c r="AO32" i="34"/>
  <c r="AP30" i="34"/>
  <c r="AE30" i="34"/>
  <c r="AG30" i="34" s="1"/>
  <c r="AR30" i="34"/>
  <c r="AQ30" i="34"/>
  <c r="V30" i="34"/>
  <c r="W30" i="34" s="1"/>
  <c r="AO30" i="34"/>
  <c r="Z21" i="34"/>
  <c r="AE32" i="38"/>
  <c r="AP32" i="38"/>
  <c r="AQ32" i="38"/>
  <c r="AR32" i="38"/>
  <c r="AO32" i="38"/>
  <c r="V32" i="38"/>
  <c r="W32" i="38" s="1"/>
  <c r="AQ23" i="38"/>
  <c r="AR23" i="38"/>
  <c r="AE23" i="38"/>
  <c r="AP23" i="38"/>
  <c r="AO23" i="38"/>
  <c r="V23" i="38"/>
  <c r="W23" i="38" s="1"/>
  <c r="AR14" i="38"/>
  <c r="AQ14" i="38"/>
  <c r="AE14" i="38"/>
  <c r="AG14" i="38" s="1"/>
  <c r="AP14" i="38"/>
  <c r="V14" i="38"/>
  <c r="W14" i="38" s="1"/>
  <c r="AO14" i="38"/>
  <c r="AE10" i="38"/>
  <c r="AG10" i="38" s="1"/>
  <c r="AP10" i="38"/>
  <c r="AR10" i="38"/>
  <c r="AQ10" i="38"/>
  <c r="AO10" i="38"/>
  <c r="V10" i="38"/>
  <c r="W10" i="38" s="1"/>
  <c r="AQ31" i="38"/>
  <c r="AE31" i="38"/>
  <c r="AP31" i="38"/>
  <c r="AR31" i="38"/>
  <c r="AO31" i="38"/>
  <c r="V31" i="38"/>
  <c r="W31" i="38" s="1"/>
  <c r="AQ28" i="38"/>
  <c r="AE28" i="38"/>
  <c r="AG28" i="38" s="1"/>
  <c r="AP28" i="38"/>
  <c r="AR28" i="38"/>
  <c r="V28" i="38"/>
  <c r="W28" i="38" s="1"/>
  <c r="AO28" i="38"/>
  <c r="AP24" i="38"/>
  <c r="AQ24" i="38"/>
  <c r="AE24" i="38"/>
  <c r="AG24" i="38" s="1"/>
  <c r="AR24" i="38"/>
  <c r="AO24" i="38"/>
  <c r="V24" i="38"/>
  <c r="W24" i="38" s="1"/>
  <c r="Z31" i="38"/>
  <c r="AQ35" i="43"/>
  <c r="U37" i="43"/>
  <c r="AR35" i="43"/>
  <c r="AP35" i="43"/>
  <c r="AO35" i="43"/>
  <c r="V35" i="43"/>
  <c r="AE35" i="43"/>
  <c r="AE17" i="43"/>
  <c r="AP17" i="43"/>
  <c r="AO17" i="43"/>
  <c r="AQ17" i="43"/>
  <c r="AR17" i="43"/>
  <c r="V17" i="43"/>
  <c r="W17" i="43" s="1"/>
  <c r="AQ16" i="43"/>
  <c r="AP16" i="43"/>
  <c r="AE16" i="43"/>
  <c r="AR16" i="43"/>
  <c r="AO16" i="43"/>
  <c r="V16" i="43"/>
  <c r="W16" i="43" s="1"/>
  <c r="AR18" i="43"/>
  <c r="AQ18" i="43"/>
  <c r="AP18" i="43"/>
  <c r="AE18" i="43"/>
  <c r="AO18" i="43"/>
  <c r="V18" i="43"/>
  <c r="W18" i="43" s="1"/>
  <c r="AE10" i="43"/>
  <c r="AG10" i="43" s="1"/>
  <c r="AP10" i="43"/>
  <c r="AQ10" i="43"/>
  <c r="AR10" i="43"/>
  <c r="AO10" i="43"/>
  <c r="V10" i="43"/>
  <c r="W10" i="43" s="1"/>
  <c r="AE19" i="43"/>
  <c r="AG19" i="43" s="1"/>
  <c r="AP19" i="43"/>
  <c r="AQ19" i="43"/>
  <c r="AR19" i="43"/>
  <c r="V19" i="43"/>
  <c r="W19" i="43" s="1"/>
  <c r="AO19" i="43"/>
  <c r="AQ23" i="43"/>
  <c r="AE23" i="43"/>
  <c r="AG23" i="43" s="1"/>
  <c r="AR23" i="43"/>
  <c r="AP23" i="43"/>
  <c r="V23" i="43"/>
  <c r="W23" i="43" s="1"/>
  <c r="AO23" i="43"/>
  <c r="Z17" i="43"/>
  <c r="AG17" i="43" s="1"/>
  <c r="AR34" i="36"/>
  <c r="AE34" i="36"/>
  <c r="AQ34" i="36"/>
  <c r="AP34" i="36"/>
  <c r="AO34" i="36"/>
  <c r="V34" i="36"/>
  <c r="W34" i="36" s="1"/>
  <c r="AE18" i="36"/>
  <c r="AQ18" i="36"/>
  <c r="AP18" i="36"/>
  <c r="AR18" i="36"/>
  <c r="AO18" i="36"/>
  <c r="V18" i="36"/>
  <c r="W18" i="36" s="1"/>
  <c r="AE5" i="36"/>
  <c r="AG5" i="36" s="1"/>
  <c r="AP5" i="36"/>
  <c r="AQ5" i="36"/>
  <c r="AR5" i="36"/>
  <c r="AO5" i="36"/>
  <c r="V5" i="36"/>
  <c r="W5" i="36" s="1"/>
  <c r="AE13" i="36"/>
  <c r="AG13" i="36" s="1"/>
  <c r="AR13" i="36"/>
  <c r="AQ13" i="36"/>
  <c r="AP13" i="36"/>
  <c r="AO13" i="36"/>
  <c r="V13" i="36"/>
  <c r="W13" i="36" s="1"/>
  <c r="AP29" i="36"/>
  <c r="AE29" i="36"/>
  <c r="AG29" i="36" s="1"/>
  <c r="AR29" i="36"/>
  <c r="AQ29" i="36"/>
  <c r="V29" i="36"/>
  <c r="W29" i="36" s="1"/>
  <c r="AO29" i="36"/>
  <c r="Z34" i="36"/>
  <c r="AE21" i="36"/>
  <c r="AG21" i="36" s="1"/>
  <c r="AQ21" i="36"/>
  <c r="AR21" i="36"/>
  <c r="AP21" i="36"/>
  <c r="AO21" i="36"/>
  <c r="V21" i="36"/>
  <c r="W21" i="36" s="1"/>
  <c r="AQ28" i="40"/>
  <c r="AE28" i="40"/>
  <c r="AP28" i="40"/>
  <c r="AR28" i="40"/>
  <c r="V28" i="40"/>
  <c r="W28" i="40" s="1"/>
  <c r="AO28" i="40"/>
  <c r="AR31" i="40"/>
  <c r="AP31" i="40"/>
  <c r="AE31" i="40"/>
  <c r="AQ31" i="40"/>
  <c r="V31" i="40"/>
  <c r="W31" i="40" s="1"/>
  <c r="AO31" i="40"/>
  <c r="AR19" i="40"/>
  <c r="AE19" i="40"/>
  <c r="AG19" i="40" s="1"/>
  <c r="AQ19" i="40"/>
  <c r="AP19" i="40"/>
  <c r="AO19" i="40"/>
  <c r="V19" i="40"/>
  <c r="W19" i="40" s="1"/>
  <c r="AQ29" i="40"/>
  <c r="AR29" i="40"/>
  <c r="AE29" i="40"/>
  <c r="AP29" i="40"/>
  <c r="AO29" i="40"/>
  <c r="V29" i="40"/>
  <c r="W29" i="40" s="1"/>
  <c r="AE18" i="40"/>
  <c r="AG18" i="40" s="1"/>
  <c r="AP18" i="40"/>
  <c r="AQ18" i="40"/>
  <c r="AR18" i="40"/>
  <c r="AO18" i="40"/>
  <c r="V18" i="40"/>
  <c r="W18" i="40" s="1"/>
  <c r="AE26" i="40"/>
  <c r="AG26" i="40" s="1"/>
  <c r="AR26" i="40"/>
  <c r="AQ26" i="40"/>
  <c r="AP26" i="40"/>
  <c r="AO26" i="40"/>
  <c r="V26" i="40"/>
  <c r="W26" i="40" s="1"/>
  <c r="AR32" i="40"/>
  <c r="AQ32" i="40"/>
  <c r="AP32" i="40"/>
  <c r="AE32" i="40"/>
  <c r="AG32" i="40" s="1"/>
  <c r="V32" i="40"/>
  <c r="W32" i="40" s="1"/>
  <c r="AO32" i="40"/>
  <c r="Z5" i="40"/>
  <c r="AE25" i="40"/>
  <c r="AR25" i="40"/>
  <c r="AQ25" i="40"/>
  <c r="AP25" i="40"/>
  <c r="V25" i="40"/>
  <c r="W25" i="40" s="1"/>
  <c r="AO25" i="40"/>
  <c r="Z28" i="40"/>
  <c r="AQ34" i="40"/>
  <c r="AR34" i="40"/>
  <c r="AP34" i="40"/>
  <c r="AE34" i="40"/>
  <c r="AG34" i="40" s="1"/>
  <c r="AO34" i="40"/>
  <c r="V34" i="40"/>
  <c r="W34" i="40" s="1"/>
  <c r="AQ7" i="39"/>
  <c r="AE7" i="39"/>
  <c r="AG7" i="39" s="1"/>
  <c r="AP7" i="39"/>
  <c r="AR7" i="39"/>
  <c r="V7" i="39"/>
  <c r="W7" i="39" s="1"/>
  <c r="AO7" i="39"/>
  <c r="AP14" i="39"/>
  <c r="AE14" i="39"/>
  <c r="AG14" i="39" s="1"/>
  <c r="AR14" i="39"/>
  <c r="AQ14" i="39"/>
  <c r="V14" i="39"/>
  <c r="W14" i="39" s="1"/>
  <c r="AO14" i="39"/>
  <c r="AP29" i="39"/>
  <c r="AQ29" i="39"/>
  <c r="AE29" i="39"/>
  <c r="AG29" i="39" s="1"/>
  <c r="AR29" i="39"/>
  <c r="AO29" i="39"/>
  <c r="V29" i="39"/>
  <c r="W29" i="39" s="1"/>
  <c r="AQ34" i="39"/>
  <c r="AE34" i="39"/>
  <c r="AP34" i="39"/>
  <c r="AR34" i="39"/>
  <c r="AO34" i="39"/>
  <c r="V34" i="39"/>
  <c r="W34" i="39" s="1"/>
  <c r="AE28" i="39"/>
  <c r="AG28" i="39" s="1"/>
  <c r="AQ28" i="39"/>
  <c r="AR28" i="39"/>
  <c r="AP28" i="39"/>
  <c r="AO28" i="39"/>
  <c r="V28" i="39"/>
  <c r="W28" i="39" s="1"/>
  <c r="AR16" i="39"/>
  <c r="AE16" i="39"/>
  <c r="AQ16" i="39"/>
  <c r="AP16" i="39"/>
  <c r="AO16" i="39"/>
  <c r="V16" i="39"/>
  <c r="W16" i="39" s="1"/>
  <c r="AP33" i="39"/>
  <c r="AQ33" i="39"/>
  <c r="AE33" i="39"/>
  <c r="AG33" i="39" s="1"/>
  <c r="AR33" i="39"/>
  <c r="AO33" i="39"/>
  <c r="V33" i="39"/>
  <c r="W33" i="39" s="1"/>
  <c r="Z23" i="39"/>
  <c r="AQ25" i="39"/>
  <c r="AR25" i="39"/>
  <c r="AE25" i="39"/>
  <c r="AG25" i="39" s="1"/>
  <c r="AP25" i="39"/>
  <c r="AO25" i="39"/>
  <c r="V25" i="39"/>
  <c r="W25" i="39" s="1"/>
  <c r="Z21" i="39"/>
  <c r="Z19" i="39"/>
  <c r="AQ15" i="37"/>
  <c r="AS15" i="37"/>
  <c r="AR15" i="37"/>
  <c r="AP15" i="37"/>
  <c r="AF15" i="37"/>
  <c r="V15" i="37"/>
  <c r="W15" i="37" s="1"/>
  <c r="AQ30" i="37"/>
  <c r="AF30" i="37"/>
  <c r="AH30" i="37" s="1"/>
  <c r="AS30" i="37"/>
  <c r="AR30" i="37"/>
  <c r="V30" i="37"/>
  <c r="W30" i="37" s="1"/>
  <c r="AP30" i="37"/>
  <c r="AF20" i="37"/>
  <c r="AR20" i="37"/>
  <c r="AQ20" i="37"/>
  <c r="AS20" i="37"/>
  <c r="AP20" i="37"/>
  <c r="V20" i="37"/>
  <c r="W20" i="37" s="1"/>
  <c r="AS24" i="37"/>
  <c r="AQ24" i="37"/>
  <c r="AF24" i="37"/>
  <c r="AH24" i="37" s="1"/>
  <c r="AR24" i="37"/>
  <c r="AP24" i="37"/>
  <c r="V24" i="37"/>
  <c r="W24" i="37" s="1"/>
  <c r="AS32" i="37"/>
  <c r="AF32" i="37"/>
  <c r="AQ32" i="37"/>
  <c r="AR32" i="37"/>
  <c r="AP32" i="37"/>
  <c r="V32" i="37"/>
  <c r="W32" i="37" s="1"/>
  <c r="AQ17" i="37"/>
  <c r="AF17" i="37"/>
  <c r="AH17" i="37" s="1"/>
  <c r="AR17" i="37"/>
  <c r="AS17" i="37"/>
  <c r="AP17" i="37"/>
  <c r="V17" i="37"/>
  <c r="W17" i="37" s="1"/>
  <c r="AR23" i="37"/>
  <c r="AS23" i="37"/>
  <c r="AQ23" i="37"/>
  <c r="AF23" i="37"/>
  <c r="AP23" i="37"/>
  <c r="V23" i="37"/>
  <c r="W23" i="37" s="1"/>
  <c r="AA16" i="37"/>
  <c r="AR10" i="37"/>
  <c r="AS10" i="37"/>
  <c r="AF10" i="37"/>
  <c r="AH10" i="37" s="1"/>
  <c r="AQ10" i="37"/>
  <c r="AP10" i="37"/>
  <c r="V10" i="37"/>
  <c r="W10" i="37" s="1"/>
  <c r="AA32" i="37"/>
  <c r="AA34" i="37"/>
  <c r="AQ6" i="34"/>
  <c r="AR6" i="34"/>
  <c r="AE6" i="34"/>
  <c r="AG6" i="34" s="1"/>
  <c r="AP6" i="34"/>
  <c r="AO6" i="34"/>
  <c r="V6" i="34"/>
  <c r="W6" i="34" s="1"/>
  <c r="AR18" i="34"/>
  <c r="AQ18" i="34"/>
  <c r="AE18" i="34"/>
  <c r="AP18" i="34"/>
  <c r="AO18" i="34"/>
  <c r="V18" i="34"/>
  <c r="W18" i="34" s="1"/>
  <c r="AP10" i="34"/>
  <c r="AE10" i="34"/>
  <c r="AQ10" i="34"/>
  <c r="AR10" i="34"/>
  <c r="AO10" i="34"/>
  <c r="V10" i="34"/>
  <c r="W10" i="34" s="1"/>
  <c r="AE12" i="34"/>
  <c r="AG12" i="34" s="1"/>
  <c r="AP12" i="34"/>
  <c r="AQ12" i="34"/>
  <c r="AR12" i="34"/>
  <c r="AO12" i="34"/>
  <c r="V12" i="34"/>
  <c r="W12" i="34" s="1"/>
  <c r="AQ7" i="34"/>
  <c r="AO7" i="34"/>
  <c r="AR7" i="34"/>
  <c r="AP7" i="34"/>
  <c r="AE7" i="34"/>
  <c r="AG7" i="34" s="1"/>
  <c r="V7" i="34"/>
  <c r="W7" i="34" s="1"/>
  <c r="AQ22" i="34"/>
  <c r="AR22" i="34"/>
  <c r="AP22" i="34"/>
  <c r="AE22" i="34"/>
  <c r="AG22" i="34" s="1"/>
  <c r="AO22" i="34"/>
  <c r="V22" i="34"/>
  <c r="W22" i="34" s="1"/>
  <c r="AR24" i="34"/>
  <c r="AP24" i="34"/>
  <c r="AQ24" i="34"/>
  <c r="AE24" i="34"/>
  <c r="AG24" i="34" s="1"/>
  <c r="AO24" i="34"/>
  <c r="V24" i="34"/>
  <c r="W24" i="34" s="1"/>
  <c r="AP27" i="34"/>
  <c r="AE27" i="34"/>
  <c r="AG27" i="34" s="1"/>
  <c r="AR27" i="34"/>
  <c r="AQ27" i="34"/>
  <c r="V27" i="34"/>
  <c r="W27" i="34" s="1"/>
  <c r="AO27" i="34"/>
  <c r="Z17" i="34"/>
  <c r="Z28" i="34"/>
  <c r="AG28" i="34" s="1"/>
  <c r="AR18" i="38"/>
  <c r="AP18" i="38"/>
  <c r="AQ18" i="38"/>
  <c r="AE18" i="38"/>
  <c r="AO18" i="38"/>
  <c r="V18" i="38"/>
  <c r="W18" i="38" s="1"/>
  <c r="AP9" i="38"/>
  <c r="AE9" i="38"/>
  <c r="AG9" i="38" s="1"/>
  <c r="AR9" i="38"/>
  <c r="AQ9" i="38"/>
  <c r="AO9" i="38"/>
  <c r="V9" i="38"/>
  <c r="W9" i="38" s="1"/>
  <c r="AQ5" i="38"/>
  <c r="AE5" i="38"/>
  <c r="AG5" i="38" s="1"/>
  <c r="AP5" i="38"/>
  <c r="AR5" i="38"/>
  <c r="AO5" i="38"/>
  <c r="V5" i="38"/>
  <c r="W5" i="38" s="1"/>
  <c r="AP26" i="38"/>
  <c r="AE26" i="38"/>
  <c r="AR26" i="38"/>
  <c r="AQ26" i="38"/>
  <c r="AO26" i="38"/>
  <c r="V26" i="38"/>
  <c r="W26" i="38" s="1"/>
  <c r="AP25" i="38"/>
  <c r="AR25" i="38"/>
  <c r="AQ25" i="38"/>
  <c r="AE25" i="38"/>
  <c r="AO25" i="38"/>
  <c r="V25" i="38"/>
  <c r="W25" i="38" s="1"/>
  <c r="AR29" i="38"/>
  <c r="AE29" i="38"/>
  <c r="AG29" i="38" s="1"/>
  <c r="AQ29" i="38"/>
  <c r="AP29" i="38"/>
  <c r="AO29" i="38"/>
  <c r="V29" i="38"/>
  <c r="W29" i="38" s="1"/>
  <c r="Z23" i="38"/>
  <c r="AQ8" i="38"/>
  <c r="AE8" i="38"/>
  <c r="AG8" i="38" s="1"/>
  <c r="AR8" i="38"/>
  <c r="AP8" i="38"/>
  <c r="AO8" i="38"/>
  <c r="V8" i="38"/>
  <c r="W8" i="38" s="1"/>
  <c r="Z26" i="38"/>
  <c r="Z32" i="38"/>
  <c r="AQ26" i="43"/>
  <c r="AR26" i="43"/>
  <c r="AP26" i="43"/>
  <c r="AE26" i="43"/>
  <c r="V26" i="43"/>
  <c r="W26" i="43" s="1"/>
  <c r="AO26" i="43"/>
  <c r="AP9" i="43"/>
  <c r="AR9" i="43"/>
  <c r="AE9" i="43"/>
  <c r="AG9" i="43" s="1"/>
  <c r="AQ9" i="43"/>
  <c r="V9" i="43"/>
  <c r="W9" i="43" s="1"/>
  <c r="AO9" i="43"/>
  <c r="AP5" i="43"/>
  <c r="AQ5" i="43"/>
  <c r="AR5" i="43"/>
  <c r="AE5" i="43"/>
  <c r="AG5" i="43" s="1"/>
  <c r="AO5" i="43"/>
  <c r="V5" i="43"/>
  <c r="W5" i="43" s="1"/>
  <c r="AR29" i="43"/>
  <c r="AE29" i="43"/>
  <c r="AG29" i="43" s="1"/>
  <c r="AQ29" i="43"/>
  <c r="AP29" i="43"/>
  <c r="AO29" i="43"/>
  <c r="V29" i="43"/>
  <c r="W29" i="43" s="1"/>
  <c r="AP21" i="43"/>
  <c r="AR21" i="43"/>
  <c r="AQ21" i="43"/>
  <c r="AE21" i="43"/>
  <c r="AG21" i="43" s="1"/>
  <c r="V21" i="43"/>
  <c r="W21" i="43" s="1"/>
  <c r="AO21" i="43"/>
  <c r="AE28" i="43"/>
  <c r="AR28" i="43"/>
  <c r="AP28" i="43"/>
  <c r="AQ28" i="43"/>
  <c r="AO28" i="43"/>
  <c r="V28" i="43"/>
  <c r="W28" i="43" s="1"/>
  <c r="AQ24" i="43"/>
  <c r="AR24" i="43"/>
  <c r="AP24" i="43"/>
  <c r="AE24" i="43"/>
  <c r="AO24" i="43"/>
  <c r="V24" i="43"/>
  <c r="W24" i="43" s="1"/>
  <c r="Z28" i="43"/>
  <c r="AE25" i="43"/>
  <c r="AG25" i="43" s="1"/>
  <c r="AP25" i="43"/>
  <c r="AR25" i="43"/>
  <c r="AQ25" i="43"/>
  <c r="V25" i="43"/>
  <c r="W25" i="43" s="1"/>
  <c r="AO25" i="43"/>
  <c r="AE32" i="43"/>
  <c r="AG32" i="43" s="1"/>
  <c r="AR32" i="43"/>
  <c r="AQ32" i="43"/>
  <c r="AP32" i="43"/>
  <c r="V32" i="43"/>
  <c r="W32" i="43" s="1"/>
  <c r="AO32" i="43"/>
  <c r="Z24" i="43"/>
  <c r="AR16" i="36"/>
  <c r="AE16" i="36"/>
  <c r="AG16" i="36" s="1"/>
  <c r="AQ16" i="36"/>
  <c r="AP16" i="36"/>
  <c r="AO16" i="36"/>
  <c r="V16" i="36"/>
  <c r="W16" i="36" s="1"/>
  <c r="AP28" i="36"/>
  <c r="AR28" i="36"/>
  <c r="AQ28" i="36"/>
  <c r="AE28" i="36"/>
  <c r="V28" i="36"/>
  <c r="W28" i="36" s="1"/>
  <c r="AO28" i="36"/>
  <c r="AE22" i="36"/>
  <c r="AQ22" i="36"/>
  <c r="AR22" i="36"/>
  <c r="AP22" i="36"/>
  <c r="AO22" i="36"/>
  <c r="V22" i="36"/>
  <c r="W22" i="36" s="1"/>
  <c r="AE32" i="36"/>
  <c r="AG32" i="36" s="1"/>
  <c r="AQ32" i="36"/>
  <c r="AP32" i="36"/>
  <c r="V32" i="36"/>
  <c r="W32" i="36" s="1"/>
  <c r="AR32" i="36"/>
  <c r="AO32" i="36"/>
  <c r="AE10" i="36"/>
  <c r="AP10" i="36"/>
  <c r="AQ10" i="36"/>
  <c r="AR10" i="36"/>
  <c r="AO10" i="36"/>
  <c r="V10" i="36"/>
  <c r="W10" i="36" s="1"/>
  <c r="Z28" i="36"/>
  <c r="AQ23" i="36"/>
  <c r="AE23" i="36"/>
  <c r="AG23" i="36" s="1"/>
  <c r="AP23" i="36"/>
  <c r="AR23" i="36"/>
  <c r="V23" i="36"/>
  <c r="W23" i="36" s="1"/>
  <c r="AO23" i="36"/>
  <c r="AQ11" i="36"/>
  <c r="AR11" i="36"/>
  <c r="AE11" i="36"/>
  <c r="AG11" i="36" s="1"/>
  <c r="AP11" i="36"/>
  <c r="V11" i="36"/>
  <c r="W11" i="36" s="1"/>
  <c r="AO11" i="36"/>
  <c r="AQ31" i="36"/>
  <c r="AR31" i="36"/>
  <c r="AE31" i="36"/>
  <c r="AG31" i="36" s="1"/>
  <c r="AP31" i="36"/>
  <c r="V31" i="36"/>
  <c r="W31" i="36" s="1"/>
  <c r="AO31" i="36"/>
  <c r="AE11" i="40"/>
  <c r="AG11" i="40" s="1"/>
  <c r="AP11" i="40"/>
  <c r="AQ11" i="40"/>
  <c r="AR11" i="40"/>
  <c r="AO11" i="40"/>
  <c r="V11" i="40"/>
  <c r="W11" i="40" s="1"/>
  <c r="Z31" i="40"/>
  <c r="AE16" i="40"/>
  <c r="AG16" i="40" s="1"/>
  <c r="AP16" i="40"/>
  <c r="AQ16" i="40"/>
  <c r="AR16" i="40"/>
  <c r="V16" i="40"/>
  <c r="W16" i="40" s="1"/>
  <c r="AO16" i="40"/>
  <c r="AP33" i="40"/>
  <c r="AR33" i="40"/>
  <c r="AE33" i="40"/>
  <c r="AG33" i="40" s="1"/>
  <c r="AQ33" i="40"/>
  <c r="V33" i="40"/>
  <c r="W33" i="40" s="1"/>
  <c r="AO33" i="40"/>
  <c r="AE22" i="40"/>
  <c r="AR22" i="40"/>
  <c r="AP22" i="40"/>
  <c r="AQ22" i="40"/>
  <c r="AO22" i="40"/>
  <c r="V22" i="40"/>
  <c r="W22" i="40" s="1"/>
  <c r="AQ27" i="40"/>
  <c r="AE27" i="40"/>
  <c r="AG27" i="40" s="1"/>
  <c r="AR27" i="40"/>
  <c r="AP27" i="40"/>
  <c r="AO27" i="40"/>
  <c r="V27" i="40"/>
  <c r="W27" i="40" s="1"/>
  <c r="AP23" i="40"/>
  <c r="AE23" i="40"/>
  <c r="AG23" i="40" s="1"/>
  <c r="AQ23" i="40"/>
  <c r="AR23" i="40"/>
  <c r="AO23" i="40"/>
  <c r="V23" i="40"/>
  <c r="W23" i="40" s="1"/>
  <c r="Z22" i="40"/>
  <c r="AP9" i="40"/>
  <c r="AR9" i="40"/>
  <c r="AQ9" i="40"/>
  <c r="AE9" i="40"/>
  <c r="V9" i="40"/>
  <c r="W9" i="40" s="1"/>
  <c r="AO9" i="40"/>
  <c r="AQ15" i="40"/>
  <c r="AR15" i="40"/>
  <c r="AE15" i="40"/>
  <c r="AG15" i="40" s="1"/>
  <c r="AP15" i="40"/>
  <c r="AO15" i="40"/>
  <c r="V15" i="40"/>
  <c r="W15" i="40" s="1"/>
  <c r="Z9" i="40"/>
  <c r="Z13" i="40"/>
  <c r="Z25" i="40"/>
  <c r="Z29" i="40"/>
  <c r="AE14" i="40"/>
  <c r="AG14" i="40" s="1"/>
  <c r="AQ14" i="40"/>
  <c r="AP14" i="40"/>
  <c r="AR14" i="40"/>
  <c r="V14" i="40"/>
  <c r="W14" i="40" s="1"/>
  <c r="AO14" i="40"/>
  <c r="AQ12" i="40"/>
  <c r="AP12" i="40"/>
  <c r="AE12" i="40"/>
  <c r="AG12" i="40" s="1"/>
  <c r="AR12" i="40"/>
  <c r="AO12" i="40"/>
  <c r="V12" i="40"/>
  <c r="W12" i="40" s="1"/>
  <c r="AE31" i="39"/>
  <c r="AG31" i="39" s="1"/>
  <c r="AR31" i="39"/>
  <c r="AQ31" i="39"/>
  <c r="AP31" i="39"/>
  <c r="AO31" i="39"/>
  <c r="V31" i="39"/>
  <c r="W31" i="39" s="1"/>
  <c r="AQ15" i="39"/>
  <c r="AP15" i="39"/>
  <c r="AE15" i="39"/>
  <c r="AG15" i="39" s="1"/>
  <c r="AR15" i="39"/>
  <c r="AO15" i="39"/>
  <c r="V15" i="39"/>
  <c r="W15" i="39" s="1"/>
  <c r="AR32" i="39"/>
  <c r="AE32" i="39"/>
  <c r="AG32" i="39" s="1"/>
  <c r="AQ32" i="39"/>
  <c r="AP32" i="39"/>
  <c r="AO32" i="39"/>
  <c r="V32" i="39"/>
  <c r="W32" i="39" s="1"/>
  <c r="AP12" i="39"/>
  <c r="AE12" i="39"/>
  <c r="AG12" i="39" s="1"/>
  <c r="AQ12" i="39"/>
  <c r="AR12" i="39"/>
  <c r="V12" i="39"/>
  <c r="W12" i="39" s="1"/>
  <c r="AO12" i="39"/>
  <c r="AR17" i="39"/>
  <c r="AP17" i="39"/>
  <c r="AQ17" i="39"/>
  <c r="AE17" i="39"/>
  <c r="AG17" i="39" s="1"/>
  <c r="AO17" i="39"/>
  <c r="V17" i="39"/>
  <c r="W17" i="39" s="1"/>
  <c r="Z16" i="39"/>
  <c r="AE18" i="39"/>
  <c r="AG18" i="39" s="1"/>
  <c r="AP18" i="39"/>
  <c r="AQ18" i="39"/>
  <c r="AR18" i="39"/>
  <c r="AO18" i="39"/>
  <c r="V18" i="39"/>
  <c r="W18" i="39" s="1"/>
  <c r="Z34" i="39"/>
  <c r="Z10" i="39"/>
  <c r="AR13" i="37"/>
  <c r="AS13" i="37"/>
  <c r="AQ13" i="37"/>
  <c r="AF13" i="37"/>
  <c r="AP13" i="37"/>
  <c r="V13" i="37"/>
  <c r="W13" i="37" s="1"/>
  <c r="AR33" i="37"/>
  <c r="AF33" i="37"/>
  <c r="AH33" i="37" s="1"/>
  <c r="AQ33" i="37"/>
  <c r="AS33" i="37"/>
  <c r="AP33" i="37"/>
  <c r="V33" i="37"/>
  <c r="W33" i="37" s="1"/>
  <c r="AS28" i="37"/>
  <c r="AF28" i="37"/>
  <c r="AQ28" i="37"/>
  <c r="AR28" i="37"/>
  <c r="AP28" i="37"/>
  <c r="V28" i="37"/>
  <c r="W28" i="37" s="1"/>
  <c r="AF29" i="37"/>
  <c r="AH29" i="37" s="1"/>
  <c r="AS29" i="37"/>
  <c r="AR29" i="37"/>
  <c r="AQ29" i="37"/>
  <c r="V29" i="37"/>
  <c r="W29" i="37" s="1"/>
  <c r="AP29" i="37"/>
  <c r="AA28" i="37"/>
  <c r="AF11" i="37"/>
  <c r="AH11" i="37" s="1"/>
  <c r="AQ11" i="37"/>
  <c r="AR11" i="37"/>
  <c r="AS11" i="37"/>
  <c r="AP11" i="37"/>
  <c r="V11" i="37"/>
  <c r="W11" i="37" s="1"/>
  <c r="AS12" i="37"/>
  <c r="AQ12" i="37"/>
  <c r="AR12" i="37"/>
  <c r="AF12" i="37"/>
  <c r="AH12" i="37" s="1"/>
  <c r="AP12" i="37"/>
  <c r="V12" i="37"/>
  <c r="W12" i="37" s="1"/>
  <c r="AS9" i="37"/>
  <c r="AQ9" i="37"/>
  <c r="AR9" i="37"/>
  <c r="AF9" i="37"/>
  <c r="AH9" i="37" s="1"/>
  <c r="AP9" i="37"/>
  <c r="V9" i="37"/>
  <c r="W9" i="37" s="1"/>
  <c r="AA20" i="37"/>
  <c r="AA26" i="37"/>
  <c r="AA23" i="37"/>
  <c r="AA25" i="37"/>
  <c r="AH25" i="37" s="1"/>
  <c r="AA13" i="37"/>
  <c r="AR34" i="34"/>
  <c r="AE34" i="34"/>
  <c r="AG34" i="34" s="1"/>
  <c r="AQ34" i="34"/>
  <c r="AP34" i="34"/>
  <c r="V34" i="34"/>
  <c r="W34" i="34" s="1"/>
  <c r="AO34" i="34"/>
  <c r="AP13" i="34"/>
  <c r="AR13" i="34"/>
  <c r="AE13" i="34"/>
  <c r="AG13" i="34" s="1"/>
  <c r="AQ13" i="34"/>
  <c r="V13" i="34"/>
  <c r="W13" i="34" s="1"/>
  <c r="AO13" i="34"/>
  <c r="AR16" i="34"/>
  <c r="AP16" i="34"/>
  <c r="AE16" i="34"/>
  <c r="AQ16" i="34"/>
  <c r="AO16" i="34"/>
  <c r="V16" i="34"/>
  <c r="W16" i="34" s="1"/>
  <c r="AR11" i="34"/>
  <c r="AQ11" i="34"/>
  <c r="AP11" i="34"/>
  <c r="AE11" i="34"/>
  <c r="V11" i="34"/>
  <c r="W11" i="34" s="1"/>
  <c r="AO11" i="34"/>
  <c r="AP26" i="34"/>
  <c r="AR26" i="34"/>
  <c r="AE26" i="34"/>
  <c r="AG26" i="34" s="1"/>
  <c r="AQ26" i="34"/>
  <c r="AO26" i="34"/>
  <c r="V26" i="34"/>
  <c r="W26" i="34" s="1"/>
  <c r="Z10" i="34"/>
  <c r="AE9" i="34"/>
  <c r="AR9" i="34"/>
  <c r="AP9" i="34"/>
  <c r="AQ9" i="34"/>
  <c r="AO9" i="34"/>
  <c r="V9" i="34"/>
  <c r="W9" i="34" s="1"/>
  <c r="Z11" i="34"/>
  <c r="Z16" i="34"/>
  <c r="Z9" i="34"/>
  <c r="Z18" i="34"/>
  <c r="AE6" i="38"/>
  <c r="AG6" i="38" s="1"/>
  <c r="AQ6" i="38"/>
  <c r="AR6" i="38"/>
  <c r="AP6" i="38"/>
  <c r="V6" i="38"/>
  <c r="W6" i="38" s="1"/>
  <c r="AO6" i="38"/>
  <c r="AP16" i="38"/>
  <c r="AR16" i="38"/>
  <c r="AE16" i="38"/>
  <c r="AG16" i="38" s="1"/>
  <c r="AQ16" i="38"/>
  <c r="AO16" i="38"/>
  <c r="V16" i="38"/>
  <c r="W16" i="38" s="1"/>
  <c r="AP12" i="38"/>
  <c r="AR12" i="38"/>
  <c r="AQ12" i="38"/>
  <c r="AO12" i="38"/>
  <c r="AE12" i="38"/>
  <c r="AG12" i="38" s="1"/>
  <c r="V12" i="38"/>
  <c r="W12" i="38" s="1"/>
  <c r="AR19" i="38"/>
  <c r="AE19" i="38"/>
  <c r="AG19" i="38" s="1"/>
  <c r="AP19" i="38"/>
  <c r="AQ19" i="38"/>
  <c r="AO19" i="38"/>
  <c r="V19" i="38"/>
  <c r="W19" i="38" s="1"/>
  <c r="AQ21" i="38"/>
  <c r="AR21" i="38"/>
  <c r="AP21" i="38"/>
  <c r="AE21" i="38"/>
  <c r="AO21" i="38"/>
  <c r="V21" i="38"/>
  <c r="W21" i="38" s="1"/>
  <c r="AQ13" i="38"/>
  <c r="AP13" i="38"/>
  <c r="AR13" i="38"/>
  <c r="AE13" i="38"/>
  <c r="AO13" i="38"/>
  <c r="V13" i="38"/>
  <c r="W13" i="38" s="1"/>
  <c r="AR27" i="38"/>
  <c r="AE27" i="38"/>
  <c r="AG27" i="38" s="1"/>
  <c r="AP27" i="38"/>
  <c r="AQ27" i="38"/>
  <c r="V27" i="38"/>
  <c r="W27" i="38" s="1"/>
  <c r="AO27" i="38"/>
  <c r="AR20" i="38"/>
  <c r="AP20" i="38"/>
  <c r="AQ20" i="38"/>
  <c r="AE20" i="38"/>
  <c r="AG20" i="38" s="1"/>
  <c r="AO20" i="38"/>
  <c r="V20" i="38"/>
  <c r="W20" i="38" s="1"/>
  <c r="Z21" i="38"/>
  <c r="Z13" i="38"/>
  <c r="AG13" i="38" s="1"/>
  <c r="Z25" i="38"/>
  <c r="AE12" i="43"/>
  <c r="AQ12" i="43"/>
  <c r="AR12" i="43"/>
  <c r="AP12" i="43"/>
  <c r="AO12" i="43"/>
  <c r="V12" i="43"/>
  <c r="W12" i="43" s="1"/>
  <c r="AQ30" i="43"/>
  <c r="AP30" i="43"/>
  <c r="AR30" i="43"/>
  <c r="AE30" i="43"/>
  <c r="AG30" i="43" s="1"/>
  <c r="AO30" i="43"/>
  <c r="V30" i="43"/>
  <c r="W30" i="43" s="1"/>
  <c r="AQ15" i="43"/>
  <c r="AR15" i="43"/>
  <c r="AP15" i="43"/>
  <c r="AE15" i="43"/>
  <c r="AG15" i="43" s="1"/>
  <c r="V15" i="43"/>
  <c r="W15" i="43" s="1"/>
  <c r="AO15" i="43"/>
  <c r="AE20" i="43"/>
  <c r="AG20" i="43" s="1"/>
  <c r="AR20" i="43"/>
  <c r="AQ20" i="43"/>
  <c r="AP20" i="43"/>
  <c r="V20" i="43"/>
  <c r="W20" i="43" s="1"/>
  <c r="AO20" i="43"/>
  <c r="AQ6" i="43"/>
  <c r="AR6" i="43"/>
  <c r="AP6" i="43"/>
  <c r="AE6" i="43"/>
  <c r="AG6" i="43" s="1"/>
  <c r="AO6" i="43"/>
  <c r="V6" i="43"/>
  <c r="W6" i="43" s="1"/>
  <c r="AP8" i="43"/>
  <c r="AR8" i="43"/>
  <c r="AE8" i="43"/>
  <c r="AQ8" i="43"/>
  <c r="AO8" i="43"/>
  <c r="V8" i="43"/>
  <c r="W8" i="43" s="1"/>
  <c r="AP34" i="43"/>
  <c r="AR34" i="43"/>
  <c r="AE34" i="43"/>
  <c r="AG34" i="43" s="1"/>
  <c r="AQ34" i="43"/>
  <c r="V34" i="43"/>
  <c r="W34" i="43" s="1"/>
  <c r="AO34" i="43"/>
  <c r="AQ31" i="43"/>
  <c r="AR31" i="43"/>
  <c r="AE31" i="43"/>
  <c r="AG31" i="43" s="1"/>
  <c r="AP31" i="43"/>
  <c r="V31" i="43"/>
  <c r="W31" i="43" s="1"/>
  <c r="AO31" i="43"/>
  <c r="Z35" i="43"/>
  <c r="Z16" i="43"/>
  <c r="Z12" i="43"/>
  <c r="Z18" i="43"/>
  <c r="Z8" i="43"/>
  <c r="AR19" i="36"/>
  <c r="AE19" i="36"/>
  <c r="AP19" i="36"/>
  <c r="AQ19" i="36"/>
  <c r="AO19" i="36"/>
  <c r="V19" i="36"/>
  <c r="W19" i="36" s="1"/>
  <c r="AR33" i="36"/>
  <c r="AP33" i="36"/>
  <c r="AQ33" i="36"/>
  <c r="AE33" i="36"/>
  <c r="V33" i="36"/>
  <c r="W33" i="36" s="1"/>
  <c r="AO33" i="36"/>
  <c r="AR9" i="36"/>
  <c r="AQ9" i="36"/>
  <c r="AE9" i="36"/>
  <c r="AG9" i="36" s="1"/>
  <c r="AP9" i="36"/>
  <c r="AO9" i="36"/>
  <c r="V9" i="36"/>
  <c r="W9" i="36" s="1"/>
  <c r="AE7" i="36"/>
  <c r="AQ7" i="36"/>
  <c r="AR7" i="36"/>
  <c r="AP7" i="36"/>
  <c r="V7" i="36"/>
  <c r="W7" i="36" s="1"/>
  <c r="AO7" i="36"/>
  <c r="AR17" i="36"/>
  <c r="AE17" i="36"/>
  <c r="AG17" i="36" s="1"/>
  <c r="AQ17" i="36"/>
  <c r="AP17" i="36"/>
  <c r="V17" i="36"/>
  <c r="W17" i="36" s="1"/>
  <c r="AO17" i="36"/>
  <c r="AE24" i="36"/>
  <c r="AG24" i="36" s="1"/>
  <c r="AR24" i="36"/>
  <c r="AQ24" i="36"/>
  <c r="AP24" i="36"/>
  <c r="AO24" i="36"/>
  <c r="V24" i="36"/>
  <c r="W24" i="36" s="1"/>
  <c r="AQ15" i="36"/>
  <c r="AR15" i="36"/>
  <c r="AE15" i="36"/>
  <c r="AG15" i="36" s="1"/>
  <c r="AP15" i="36"/>
  <c r="AO15" i="36"/>
  <c r="V15" i="36"/>
  <c r="W15" i="36" s="1"/>
  <c r="Z18" i="36"/>
  <c r="Z33" i="36"/>
  <c r="AQ8" i="36"/>
  <c r="AE8" i="36"/>
  <c r="AG8" i="36" s="1"/>
  <c r="AP8" i="36"/>
  <c r="AR8" i="36"/>
  <c r="AO8" i="36"/>
  <c r="V8" i="36"/>
  <c r="W8" i="36" s="1"/>
  <c r="Z10" i="36"/>
  <c r="Z7" i="36"/>
  <c r="AR8" i="40"/>
  <c r="AQ8" i="40"/>
  <c r="AP8" i="40"/>
  <c r="AE8" i="40"/>
  <c r="AG8" i="40" s="1"/>
  <c r="AO8" i="40"/>
  <c r="V8" i="40"/>
  <c r="W8" i="40" s="1"/>
  <c r="Z35" i="40"/>
  <c r="AP24" i="40"/>
  <c r="AQ24" i="40"/>
  <c r="AE24" i="40"/>
  <c r="AG24" i="40" s="1"/>
  <c r="AR24" i="40"/>
  <c r="AO24" i="40"/>
  <c r="V24" i="40"/>
  <c r="W24" i="40" s="1"/>
  <c r="AE6" i="40"/>
  <c r="AG6" i="40" s="1"/>
  <c r="AR6" i="40"/>
  <c r="AQ6" i="40"/>
  <c r="AP6" i="40"/>
  <c r="V6" i="40"/>
  <c r="W6" i="40" s="1"/>
  <c r="AO6" i="40"/>
  <c r="Z30" i="40"/>
  <c r="AE26" i="39"/>
  <c r="AG26" i="39" s="1"/>
  <c r="AP26" i="39"/>
  <c r="AQ26" i="39"/>
  <c r="AR26" i="39"/>
  <c r="V26" i="39"/>
  <c r="W26" i="39" s="1"/>
  <c r="AO26" i="39"/>
  <c r="AE27" i="39"/>
  <c r="AG27" i="39" s="1"/>
  <c r="AP27" i="39"/>
  <c r="AQ27" i="39"/>
  <c r="AR27" i="39"/>
  <c r="AO27" i="39"/>
  <c r="V27" i="39"/>
  <c r="W27" i="39" s="1"/>
  <c r="Z37" i="39"/>
  <c r="AP11" i="39"/>
  <c r="AQ11" i="39"/>
  <c r="AR11" i="39"/>
  <c r="AE11" i="39"/>
  <c r="AG11" i="39" s="1"/>
  <c r="AO11" i="39"/>
  <c r="V11" i="39"/>
  <c r="W11" i="39" s="1"/>
  <c r="AE20" i="39"/>
  <c r="AG20" i="39" s="1"/>
  <c r="AQ20" i="39"/>
  <c r="AP20" i="39"/>
  <c r="AR20" i="39"/>
  <c r="AO20" i="39"/>
  <c r="V20" i="39"/>
  <c r="W20" i="39" s="1"/>
  <c r="AP13" i="39"/>
  <c r="AE13" i="39"/>
  <c r="AG13" i="39" s="1"/>
  <c r="AR13" i="39"/>
  <c r="AQ13" i="39"/>
  <c r="AO13" i="39"/>
  <c r="V13" i="39"/>
  <c r="W13" i="39" s="1"/>
  <c r="AP9" i="39"/>
  <c r="AQ9" i="39"/>
  <c r="AR9" i="39"/>
  <c r="AE9" i="39"/>
  <c r="AG9" i="39" s="1"/>
  <c r="AO9" i="39"/>
  <c r="V9" i="39"/>
  <c r="W9" i="39" s="1"/>
  <c r="Z6" i="39"/>
  <c r="AG6" i="39" s="1"/>
  <c r="AS21" i="37"/>
  <c r="AR21" i="37"/>
  <c r="AQ21" i="37"/>
  <c r="AF21" i="37"/>
  <c r="AH21" i="37" s="1"/>
  <c r="AP21" i="37"/>
  <c r="V21" i="37"/>
  <c r="W21" i="37" s="1"/>
  <c r="AF8" i="37"/>
  <c r="AH8" i="37" s="1"/>
  <c r="AR8" i="37"/>
  <c r="AQ8" i="37"/>
  <c r="AS8" i="37"/>
  <c r="AP8" i="37"/>
  <c r="V8" i="37"/>
  <c r="W8" i="37" s="1"/>
  <c r="AF7" i="37"/>
  <c r="AQ7" i="37"/>
  <c r="AR7" i="37"/>
  <c r="AS7" i="37"/>
  <c r="AP7" i="37"/>
  <c r="V7" i="37"/>
  <c r="W7" i="37" s="1"/>
  <c r="U37" i="37"/>
  <c r="AS35" i="37"/>
  <c r="AR35" i="37"/>
  <c r="AP35" i="37"/>
  <c r="AQ35" i="37"/>
  <c r="AF35" i="37"/>
  <c r="AH35" i="37" s="1"/>
  <c r="V35" i="37"/>
  <c r="AS5" i="37"/>
  <c r="AR5" i="37"/>
  <c r="AQ5" i="37"/>
  <c r="AF5" i="37"/>
  <c r="AH5" i="37" s="1"/>
  <c r="V5" i="37"/>
  <c r="W5" i="37" s="1"/>
  <c r="AP5" i="37"/>
  <c r="AS18" i="37"/>
  <c r="AR18" i="37"/>
  <c r="AF18" i="37"/>
  <c r="AH18" i="37" s="1"/>
  <c r="AQ18" i="37"/>
  <c r="AP18" i="37"/>
  <c r="V18" i="37"/>
  <c r="W18" i="37" s="1"/>
  <c r="AQ19" i="37"/>
  <c r="AF19" i="37"/>
  <c r="AH19" i="37" s="1"/>
  <c r="AR19" i="37"/>
  <c r="AS19" i="37"/>
  <c r="AP19" i="37"/>
  <c r="V19" i="37"/>
  <c r="W19" i="37" s="1"/>
  <c r="AA15" i="37"/>
  <c r="AA7" i="37"/>
  <c r="AE25" i="34"/>
  <c r="AG25" i="34" s="1"/>
  <c r="AQ25" i="34"/>
  <c r="AR25" i="34"/>
  <c r="AP25" i="34"/>
  <c r="V25" i="34"/>
  <c r="W25" i="34" s="1"/>
  <c r="AO25" i="34"/>
  <c r="U37" i="34"/>
  <c r="AQ35" i="34"/>
  <c r="AR35" i="34"/>
  <c r="AP35" i="34"/>
  <c r="AO35" i="34"/>
  <c r="V35" i="34"/>
  <c r="AE35" i="34"/>
  <c r="AG35" i="34" s="1"/>
  <c r="AE5" i="34"/>
  <c r="AG5" i="34" s="1"/>
  <c r="AQ5" i="34"/>
  <c r="AP5" i="34"/>
  <c r="AR5" i="34"/>
  <c r="AO5" i="34"/>
  <c r="V5" i="34"/>
  <c r="W5" i="34" s="1"/>
  <c r="AQ31" i="34"/>
  <c r="AE31" i="34"/>
  <c r="AP31" i="34"/>
  <c r="AR31" i="34"/>
  <c r="AO31" i="34"/>
  <c r="V31" i="34"/>
  <c r="W31" i="34" s="1"/>
  <c r="AR20" i="34"/>
  <c r="AE20" i="34"/>
  <c r="AG20" i="34" s="1"/>
  <c r="AP20" i="34"/>
  <c r="AQ20" i="34"/>
  <c r="AO20" i="34"/>
  <c r="V20" i="34"/>
  <c r="W20" i="34" s="1"/>
  <c r="AR19" i="34"/>
  <c r="AQ19" i="34"/>
  <c r="AP19" i="34"/>
  <c r="AE19" i="34"/>
  <c r="AG19" i="34" s="1"/>
  <c r="AO19" i="34"/>
  <c r="V19" i="34"/>
  <c r="W19" i="34" s="1"/>
  <c r="Z31" i="34"/>
  <c r="AP33" i="34"/>
  <c r="AQ33" i="34"/>
  <c r="AE33" i="34"/>
  <c r="AG33" i="34" s="1"/>
  <c r="AR33" i="34"/>
  <c r="V33" i="34"/>
  <c r="W33" i="34" s="1"/>
  <c r="AO33" i="34"/>
  <c r="AQ30" i="38"/>
  <c r="AE30" i="38"/>
  <c r="AG30" i="38" s="1"/>
  <c r="AR30" i="38"/>
  <c r="AP30" i="38"/>
  <c r="V30" i="38"/>
  <c r="W30" i="38" s="1"/>
  <c r="AO30" i="38"/>
  <c r="U37" i="38"/>
  <c r="AE35" i="38"/>
  <c r="AQ35" i="38"/>
  <c r="AP35" i="38"/>
  <c r="V35" i="38"/>
  <c r="AO35" i="38"/>
  <c r="AR35" i="38"/>
  <c r="AE15" i="38"/>
  <c r="AG15" i="38" s="1"/>
  <c r="AQ15" i="38"/>
  <c r="AR15" i="38"/>
  <c r="AP15" i="38"/>
  <c r="V15" i="38"/>
  <c r="W15" i="38" s="1"/>
  <c r="AO15" i="38"/>
  <c r="AE11" i="38"/>
  <c r="AG11" i="38" s="1"/>
  <c r="AQ11" i="38"/>
  <c r="AP11" i="38"/>
  <c r="AR11" i="38"/>
  <c r="AO11" i="38"/>
  <c r="V11" i="38"/>
  <c r="W11" i="38" s="1"/>
  <c r="AE17" i="38"/>
  <c r="AG17" i="38" s="1"/>
  <c r="AQ17" i="38"/>
  <c r="AP17" i="38"/>
  <c r="AO17" i="38"/>
  <c r="AR17" i="38"/>
  <c r="V17" i="38"/>
  <c r="W17" i="38" s="1"/>
  <c r="AQ34" i="38"/>
  <c r="AR34" i="38"/>
  <c r="AE34" i="38"/>
  <c r="AP34" i="38"/>
  <c r="AO34" i="38"/>
  <c r="V34" i="38"/>
  <c r="W34" i="38" s="1"/>
  <c r="AR7" i="38"/>
  <c r="AQ7" i="38"/>
  <c r="AE7" i="38"/>
  <c r="AP7" i="38"/>
  <c r="AO7" i="38"/>
  <c r="V7" i="38"/>
  <c r="W7" i="38" s="1"/>
  <c r="AP33" i="38"/>
  <c r="AQ33" i="38"/>
  <c r="AE33" i="38"/>
  <c r="AG33" i="38" s="1"/>
  <c r="AR33" i="38"/>
  <c r="AO33" i="38"/>
  <c r="V33" i="38"/>
  <c r="W33" i="38" s="1"/>
  <c r="AQ22" i="38"/>
  <c r="AE22" i="38"/>
  <c r="AG22" i="38" s="1"/>
  <c r="AO22" i="38"/>
  <c r="AR22" i="38"/>
  <c r="AP22" i="38"/>
  <c r="V22" i="38"/>
  <c r="W22" i="38" s="1"/>
  <c r="Z7" i="38"/>
  <c r="Z18" i="38"/>
  <c r="Z34" i="38"/>
  <c r="AP11" i="43"/>
  <c r="AE11" i="43"/>
  <c r="AR11" i="43"/>
  <c r="AQ11" i="43"/>
  <c r="V11" i="43"/>
  <c r="W11" i="43" s="1"/>
  <c r="AO11" i="43"/>
  <c r="AP22" i="43"/>
  <c r="AQ22" i="43"/>
  <c r="AE22" i="43"/>
  <c r="AR22" i="43"/>
  <c r="AO22" i="43"/>
  <c r="V22" i="43"/>
  <c r="W22" i="43" s="1"/>
  <c r="Z11" i="43"/>
  <c r="AP27" i="43"/>
  <c r="AE27" i="43"/>
  <c r="AG27" i="43" s="1"/>
  <c r="AQ27" i="43"/>
  <c r="AR27" i="43"/>
  <c r="V27" i="43"/>
  <c r="W27" i="43" s="1"/>
  <c r="AO27" i="43"/>
  <c r="AE14" i="43"/>
  <c r="AG14" i="43" s="1"/>
  <c r="AP14" i="43"/>
  <c r="AR14" i="43"/>
  <c r="AQ14" i="43"/>
  <c r="AO14" i="43"/>
  <c r="V14" i="43"/>
  <c r="W14" i="43" s="1"/>
  <c r="AQ13" i="43"/>
  <c r="AP13" i="43"/>
  <c r="AE13" i="43"/>
  <c r="AG13" i="43" s="1"/>
  <c r="AR13" i="43"/>
  <c r="AO13" i="43"/>
  <c r="V13" i="43"/>
  <c r="W13" i="43" s="1"/>
  <c r="AP33" i="43"/>
  <c r="AE33" i="43"/>
  <c r="AG33" i="43" s="1"/>
  <c r="AQ33" i="43"/>
  <c r="AR33" i="43"/>
  <c r="AO33" i="43"/>
  <c r="V33" i="43"/>
  <c r="W33" i="43" s="1"/>
  <c r="AQ7" i="43"/>
  <c r="AE7" i="43"/>
  <c r="AG7" i="43" s="1"/>
  <c r="AP7" i="43"/>
  <c r="AR7" i="43"/>
  <c r="V7" i="43"/>
  <c r="W7" i="43" s="1"/>
  <c r="AO7" i="43"/>
  <c r="Z22" i="43"/>
  <c r="Z26" i="43"/>
  <c r="AQ30" i="36"/>
  <c r="AR30" i="36"/>
  <c r="AP30" i="36"/>
  <c r="AE30" i="36"/>
  <c r="AG30" i="36" s="1"/>
  <c r="AO30" i="36"/>
  <c r="V30" i="36"/>
  <c r="W30" i="36" s="1"/>
  <c r="AQ27" i="36"/>
  <c r="AP27" i="36"/>
  <c r="AE27" i="36"/>
  <c r="AG27" i="36" s="1"/>
  <c r="AR27" i="36"/>
  <c r="AO27" i="36"/>
  <c r="V27" i="36"/>
  <c r="W27" i="36" s="1"/>
  <c r="AQ35" i="36"/>
  <c r="AP35" i="36"/>
  <c r="AR35" i="36"/>
  <c r="U37" i="36"/>
  <c r="AE35" i="36"/>
  <c r="AO35" i="36"/>
  <c r="V35" i="36"/>
  <c r="AQ12" i="36"/>
  <c r="AR12" i="36"/>
  <c r="AE12" i="36"/>
  <c r="AG12" i="36" s="1"/>
  <c r="AP12" i="36"/>
  <c r="AO12" i="36"/>
  <c r="V12" i="36"/>
  <c r="W12" i="36" s="1"/>
  <c r="AR6" i="36"/>
  <c r="AP6" i="36"/>
  <c r="AE6" i="36"/>
  <c r="AG6" i="36" s="1"/>
  <c r="AQ6" i="36"/>
  <c r="AO6" i="36"/>
  <c r="V6" i="36"/>
  <c r="W6" i="36" s="1"/>
  <c r="AR26" i="36"/>
  <c r="AE26" i="36"/>
  <c r="AG26" i="36" s="1"/>
  <c r="AP26" i="36"/>
  <c r="AQ26" i="36"/>
  <c r="AO26" i="36"/>
  <c r="V26" i="36"/>
  <c r="W26" i="36" s="1"/>
  <c r="AR14" i="36"/>
  <c r="AP14" i="36"/>
  <c r="AE14" i="36"/>
  <c r="AG14" i="36" s="1"/>
  <c r="AQ14" i="36"/>
  <c r="V14" i="36"/>
  <c r="W14" i="36" s="1"/>
  <c r="AO14" i="36"/>
  <c r="AR20" i="36"/>
  <c r="AQ20" i="36"/>
  <c r="AE20" i="36"/>
  <c r="AG20" i="36" s="1"/>
  <c r="AP20" i="36"/>
  <c r="V20" i="36"/>
  <c r="W20" i="36" s="1"/>
  <c r="AO20" i="36"/>
  <c r="AQ25" i="36"/>
  <c r="AR25" i="36"/>
  <c r="AP25" i="36"/>
  <c r="AO25" i="36"/>
  <c r="AE25" i="36"/>
  <c r="AG25" i="36" s="1"/>
  <c r="V25" i="36"/>
  <c r="W25" i="36" s="1"/>
  <c r="Z19" i="36"/>
  <c r="Z22" i="36"/>
  <c r="Z17" i="40"/>
  <c r="AG8" i="43" l="1"/>
  <c r="AG31" i="40"/>
  <c r="AH15" i="37"/>
  <c r="AG26" i="38"/>
  <c r="AG9" i="34"/>
  <c r="AG28" i="43"/>
  <c r="AG10" i="36"/>
  <c r="AG16" i="43"/>
  <c r="AG29" i="40"/>
  <c r="AP37" i="36"/>
  <c r="AG34" i="39"/>
  <c r="AH20" i="37"/>
  <c r="AG17" i="34"/>
  <c r="AG26" i="43"/>
  <c r="AG18" i="38"/>
  <c r="AR37" i="38"/>
  <c r="AS33" i="38"/>
  <c r="AS34" i="38"/>
  <c r="AG5" i="40"/>
  <c r="AS31" i="38"/>
  <c r="AH7" i="37"/>
  <c r="AS19" i="40"/>
  <c r="AG25" i="38"/>
  <c r="AP37" i="38"/>
  <c r="AG18" i="36"/>
  <c r="AG16" i="39"/>
  <c r="AG25" i="40"/>
  <c r="AS9" i="43"/>
  <c r="AG32" i="38"/>
  <c r="AG23" i="38"/>
  <c r="AS5" i="38"/>
  <c r="AS16" i="39"/>
  <c r="AS34" i="39"/>
  <c r="AS10" i="40"/>
  <c r="AS13" i="40"/>
  <c r="AS10" i="39"/>
  <c r="AG19" i="36"/>
  <c r="AG10" i="34"/>
  <c r="AS11" i="34"/>
  <c r="AS16" i="34"/>
  <c r="AS30" i="36"/>
  <c r="AQ37" i="37"/>
  <c r="AT29" i="37"/>
  <c r="AS15" i="39"/>
  <c r="AS12" i="40"/>
  <c r="AS15" i="40"/>
  <c r="AS16" i="40"/>
  <c r="AS11" i="40"/>
  <c r="AS25" i="38"/>
  <c r="AS18" i="38"/>
  <c r="AS27" i="34"/>
  <c r="AT30" i="37"/>
  <c r="AT15" i="37"/>
  <c r="AS34" i="40"/>
  <c r="AS26" i="40"/>
  <c r="AS29" i="36"/>
  <c r="AS10" i="43"/>
  <c r="AS16" i="43"/>
  <c r="AS17" i="43"/>
  <c r="AS24" i="38"/>
  <c r="AS32" i="38"/>
  <c r="AS32" i="34"/>
  <c r="AS17" i="34"/>
  <c r="AS28" i="34"/>
  <c r="AT25" i="37"/>
  <c r="AP37" i="40"/>
  <c r="AS12" i="36"/>
  <c r="AS27" i="43"/>
  <c r="AS22" i="38"/>
  <c r="AS11" i="38"/>
  <c r="AS33" i="34"/>
  <c r="AS19" i="34"/>
  <c r="AT19" i="37"/>
  <c r="AS13" i="39"/>
  <c r="AS11" i="39"/>
  <c r="AS26" i="39"/>
  <c r="AS17" i="36"/>
  <c r="AS6" i="43"/>
  <c r="AS12" i="43"/>
  <c r="AS6" i="38"/>
  <c r="AT9" i="37"/>
  <c r="AT33" i="37"/>
  <c r="AS23" i="40"/>
  <c r="AS31" i="36"/>
  <c r="AS29" i="43"/>
  <c r="AT17" i="37"/>
  <c r="AS31" i="40"/>
  <c r="AS34" i="36"/>
  <c r="AS15" i="34"/>
  <c r="AS8" i="34"/>
  <c r="AS24" i="39"/>
  <c r="AS30" i="39"/>
  <c r="AS19" i="39"/>
  <c r="AS26" i="36"/>
  <c r="AS31" i="34"/>
  <c r="AS8" i="36"/>
  <c r="AS31" i="43"/>
  <c r="AS13" i="34"/>
  <c r="AS20" i="36"/>
  <c r="AS7" i="43"/>
  <c r="AS33" i="43"/>
  <c r="AS14" i="43"/>
  <c r="AS17" i="38"/>
  <c r="AS20" i="34"/>
  <c r="AS5" i="34"/>
  <c r="AS25" i="34"/>
  <c r="AT5" i="37"/>
  <c r="AT8" i="37"/>
  <c r="AS27" i="39"/>
  <c r="AS6" i="40"/>
  <c r="AS24" i="36"/>
  <c r="AS33" i="36"/>
  <c r="AS34" i="43"/>
  <c r="AS15" i="43"/>
  <c r="AG21" i="38"/>
  <c r="AS21" i="38"/>
  <c r="AS16" i="38"/>
  <c r="AS9" i="34"/>
  <c r="AS34" i="34"/>
  <c r="AT28" i="37"/>
  <c r="AT13" i="37"/>
  <c r="AS18" i="39"/>
  <c r="AS12" i="39"/>
  <c r="AS27" i="40"/>
  <c r="AS11" i="36"/>
  <c r="AS32" i="36"/>
  <c r="AS28" i="36"/>
  <c r="AS25" i="43"/>
  <c r="AS24" i="43"/>
  <c r="AS5" i="43"/>
  <c r="AS8" i="38"/>
  <c r="AS24" i="34"/>
  <c r="AS10" i="34"/>
  <c r="AS6" i="34"/>
  <c r="AT10" i="37"/>
  <c r="AT32" i="37"/>
  <c r="AT20" i="37"/>
  <c r="AS25" i="39"/>
  <c r="AS14" i="39"/>
  <c r="AS28" i="40"/>
  <c r="AS13" i="36"/>
  <c r="AS18" i="36"/>
  <c r="AS23" i="43"/>
  <c r="AS14" i="38"/>
  <c r="AS21" i="34"/>
  <c r="AT27" i="37"/>
  <c r="AS22" i="39"/>
  <c r="AP37" i="39"/>
  <c r="AS6" i="39"/>
  <c r="AS30" i="40"/>
  <c r="AT22" i="37"/>
  <c r="AT34" i="37"/>
  <c r="AT26" i="37"/>
  <c r="AT6" i="37"/>
  <c r="AS8" i="39"/>
  <c r="AS21" i="39"/>
  <c r="AS21" i="40"/>
  <c r="AS5" i="40"/>
  <c r="AS14" i="36"/>
  <c r="AS27" i="36"/>
  <c r="AS13" i="43"/>
  <c r="AS22" i="43"/>
  <c r="AS15" i="38"/>
  <c r="AT7" i="37"/>
  <c r="AT21" i="37"/>
  <c r="AS8" i="40"/>
  <c r="AS15" i="36"/>
  <c r="AS20" i="43"/>
  <c r="AS20" i="38"/>
  <c r="AS13" i="38"/>
  <c r="AS14" i="40"/>
  <c r="AS9" i="40"/>
  <c r="AS22" i="40"/>
  <c r="AS23" i="36"/>
  <c r="AS10" i="36"/>
  <c r="AS32" i="43"/>
  <c r="AS28" i="43"/>
  <c r="AS22" i="34"/>
  <c r="AS12" i="34"/>
  <c r="AS18" i="34"/>
  <c r="AT24" i="37"/>
  <c r="AS7" i="39"/>
  <c r="AS32" i="40"/>
  <c r="AS5" i="36"/>
  <c r="AS19" i="43"/>
  <c r="AS28" i="38"/>
  <c r="AS25" i="36"/>
  <c r="AS6" i="36"/>
  <c r="AS11" i="43"/>
  <c r="AS7" i="38"/>
  <c r="AS30" i="38"/>
  <c r="AT18" i="37"/>
  <c r="AS9" i="39"/>
  <c r="AS20" i="39"/>
  <c r="AS24" i="40"/>
  <c r="AG33" i="36"/>
  <c r="AS7" i="36"/>
  <c r="AS9" i="36"/>
  <c r="AS19" i="36"/>
  <c r="AS8" i="43"/>
  <c r="AS30" i="43"/>
  <c r="AS27" i="38"/>
  <c r="AS19" i="38"/>
  <c r="AS12" i="38"/>
  <c r="AS26" i="34"/>
  <c r="AH13" i="37"/>
  <c r="AT12" i="37"/>
  <c r="AT11" i="37"/>
  <c r="AS17" i="39"/>
  <c r="AS32" i="39"/>
  <c r="AS31" i="39"/>
  <c r="AS33" i="40"/>
  <c r="AS22" i="36"/>
  <c r="AS16" i="36"/>
  <c r="AS21" i="43"/>
  <c r="AS26" i="43"/>
  <c r="AS29" i="38"/>
  <c r="AS26" i="38"/>
  <c r="AS9" i="38"/>
  <c r="AS7" i="34"/>
  <c r="AT23" i="37"/>
  <c r="AS33" i="39"/>
  <c r="AS28" i="39"/>
  <c r="AS29" i="39"/>
  <c r="AS25" i="40"/>
  <c r="AS18" i="40"/>
  <c r="AS29" i="40"/>
  <c r="AS21" i="36"/>
  <c r="AS18" i="43"/>
  <c r="AS10" i="38"/>
  <c r="AS23" i="38"/>
  <c r="AS30" i="34"/>
  <c r="AS14" i="34"/>
  <c r="AS29" i="34"/>
  <c r="AS23" i="34"/>
  <c r="AT31" i="37"/>
  <c r="AT14" i="37"/>
  <c r="AT16" i="37"/>
  <c r="AS5" i="39"/>
  <c r="AS23" i="39"/>
  <c r="AS7" i="40"/>
  <c r="AS20" i="40"/>
  <c r="AS17" i="40"/>
  <c r="AR37" i="36"/>
  <c r="AG11" i="43"/>
  <c r="AQ37" i="36"/>
  <c r="AE37" i="38"/>
  <c r="AG30" i="40"/>
  <c r="AG12" i="43"/>
  <c r="AG11" i="34"/>
  <c r="AH26" i="37"/>
  <c r="AG22" i="40"/>
  <c r="AG13" i="40"/>
  <c r="AG34" i="38"/>
  <c r="AP37" i="34"/>
  <c r="AG18" i="43"/>
  <c r="AG16" i="34"/>
  <c r="AH23" i="37"/>
  <c r="AH28" i="37"/>
  <c r="AG19" i="39"/>
  <c r="AG23" i="39"/>
  <c r="AQ37" i="39"/>
  <c r="AG37" i="34"/>
  <c r="V37" i="36"/>
  <c r="W35" i="36"/>
  <c r="AP37" i="37"/>
  <c r="AT35" i="37"/>
  <c r="AT37" i="37" s="1"/>
  <c r="X7" i="36"/>
  <c r="AH7" i="36"/>
  <c r="AI7" i="36" s="1"/>
  <c r="X6" i="43"/>
  <c r="AH6" i="43"/>
  <c r="AI6" i="43" s="1"/>
  <c r="X12" i="43"/>
  <c r="AH12" i="43"/>
  <c r="AI12" i="43" s="1"/>
  <c r="X18" i="39"/>
  <c r="AH18" i="39"/>
  <c r="AI18" i="39" s="1"/>
  <c r="X17" i="39"/>
  <c r="AH17" i="39"/>
  <c r="AI17" i="39" s="1"/>
  <c r="X31" i="39"/>
  <c r="AH31" i="39"/>
  <c r="AI31" i="39" s="1"/>
  <c r="X9" i="43"/>
  <c r="AH9" i="43"/>
  <c r="AI9" i="43" s="1"/>
  <c r="X12" i="34"/>
  <c r="AH12" i="34"/>
  <c r="AI12" i="34" s="1"/>
  <c r="AI20" i="37"/>
  <c r="AJ20" i="37" s="1"/>
  <c r="X20" i="37"/>
  <c r="Y20" i="37" s="1"/>
  <c r="X28" i="39"/>
  <c r="AH28" i="39"/>
  <c r="AI28" i="39" s="1"/>
  <c r="X29" i="36"/>
  <c r="AH29" i="36"/>
  <c r="AI29" i="36" s="1"/>
  <c r="V37" i="43"/>
  <c r="W35" i="43"/>
  <c r="X14" i="38"/>
  <c r="AH14" i="38"/>
  <c r="AI14" i="38" s="1"/>
  <c r="X15" i="34"/>
  <c r="AH15" i="34"/>
  <c r="AI15" i="34" s="1"/>
  <c r="X8" i="34"/>
  <c r="AH8" i="34"/>
  <c r="AI8" i="34" s="1"/>
  <c r="X7" i="40"/>
  <c r="AH7" i="40"/>
  <c r="AI7" i="40" s="1"/>
  <c r="AH37" i="37"/>
  <c r="X25" i="36"/>
  <c r="AH25" i="36"/>
  <c r="AI25" i="36" s="1"/>
  <c r="X26" i="36"/>
  <c r="AH26" i="36"/>
  <c r="AI26" i="36" s="1"/>
  <c r="AO37" i="36"/>
  <c r="AS35" i="36"/>
  <c r="X30" i="36"/>
  <c r="AH30" i="36"/>
  <c r="AI30" i="36" s="1"/>
  <c r="AG22" i="43"/>
  <c r="X13" i="43"/>
  <c r="AH13" i="43"/>
  <c r="AI13" i="43" s="1"/>
  <c r="X22" i="43"/>
  <c r="AH22" i="43"/>
  <c r="AI22" i="43" s="1"/>
  <c r="AH15" i="38"/>
  <c r="AI15" i="38" s="1"/>
  <c r="X15" i="38"/>
  <c r="AH33" i="34"/>
  <c r="AI33" i="34" s="1"/>
  <c r="X33" i="34"/>
  <c r="X20" i="34"/>
  <c r="AH20" i="34"/>
  <c r="AI20" i="34" s="1"/>
  <c r="X18" i="37"/>
  <c r="Y18" i="37" s="1"/>
  <c r="AI18" i="37"/>
  <c r="AJ18" i="37" s="1"/>
  <c r="V37" i="37"/>
  <c r="W35" i="37"/>
  <c r="AR37" i="37"/>
  <c r="AH9" i="39"/>
  <c r="AI9" i="39" s="1"/>
  <c r="X9" i="39"/>
  <c r="X20" i="39"/>
  <c r="AH20" i="39"/>
  <c r="AI20" i="39" s="1"/>
  <c r="X26" i="39"/>
  <c r="AH26" i="39"/>
  <c r="AI26" i="39" s="1"/>
  <c r="AH24" i="40"/>
  <c r="AI24" i="40" s="1"/>
  <c r="X24" i="40"/>
  <c r="X15" i="36"/>
  <c r="AH15" i="36"/>
  <c r="AI15" i="36" s="1"/>
  <c r="X33" i="36"/>
  <c r="AH33" i="36"/>
  <c r="AI33" i="36" s="1"/>
  <c r="AG35" i="43"/>
  <c r="AG37" i="43" s="1"/>
  <c r="Z37" i="43"/>
  <c r="X34" i="43"/>
  <c r="AH34" i="43"/>
  <c r="AI34" i="43" s="1"/>
  <c r="X15" i="43"/>
  <c r="AH15" i="43"/>
  <c r="AI15" i="43" s="1"/>
  <c r="AH27" i="38"/>
  <c r="AI27" i="38" s="1"/>
  <c r="X27" i="38"/>
  <c r="AG18" i="34"/>
  <c r="X9" i="34"/>
  <c r="AH9" i="34"/>
  <c r="AI9" i="34" s="1"/>
  <c r="X26" i="34"/>
  <c r="AH26" i="34"/>
  <c r="AI26" i="34" s="1"/>
  <c r="X11" i="34"/>
  <c r="AH11" i="34"/>
  <c r="AI11" i="34" s="1"/>
  <c r="X33" i="37"/>
  <c r="Y33" i="37" s="1"/>
  <c r="AI33" i="37"/>
  <c r="AJ33" i="37" s="1"/>
  <c r="X23" i="40"/>
  <c r="AH23" i="40"/>
  <c r="AI23" i="40" s="1"/>
  <c r="X22" i="40"/>
  <c r="AH22" i="40"/>
  <c r="AI22" i="40" s="1"/>
  <c r="X11" i="40"/>
  <c r="AH11" i="40"/>
  <c r="AI11" i="40" s="1"/>
  <c r="AG28" i="36"/>
  <c r="X32" i="43"/>
  <c r="AH32" i="43"/>
  <c r="AI32" i="43" s="1"/>
  <c r="X24" i="43"/>
  <c r="AH24" i="43"/>
  <c r="AI24" i="43" s="1"/>
  <c r="X5" i="43"/>
  <c r="AH5" i="43"/>
  <c r="AI5" i="43" s="1"/>
  <c r="X29" i="38"/>
  <c r="AH29" i="38"/>
  <c r="AI29" i="38" s="1"/>
  <c r="X26" i="38"/>
  <c r="AH26" i="38"/>
  <c r="AI26" i="38" s="1"/>
  <c r="AH9" i="38"/>
  <c r="AI9" i="38" s="1"/>
  <c r="X9" i="38"/>
  <c r="X27" i="34"/>
  <c r="AH27" i="34"/>
  <c r="AI27" i="34" s="1"/>
  <c r="X18" i="34"/>
  <c r="AH18" i="34"/>
  <c r="AI18" i="34" s="1"/>
  <c r="AH34" i="37"/>
  <c r="AH16" i="37"/>
  <c r="AI17" i="37"/>
  <c r="AJ17" i="37" s="1"/>
  <c r="X17" i="37"/>
  <c r="Y17" i="37" s="1"/>
  <c r="X29" i="39"/>
  <c r="AH29" i="39"/>
  <c r="AI29" i="39" s="1"/>
  <c r="AG28" i="40"/>
  <c r="AH19" i="40"/>
  <c r="AI19" i="40" s="1"/>
  <c r="X19" i="40"/>
  <c r="AH31" i="40"/>
  <c r="AI31" i="40" s="1"/>
  <c r="X31" i="40"/>
  <c r="X13" i="36"/>
  <c r="AH13" i="36"/>
  <c r="AI13" i="36" s="1"/>
  <c r="X18" i="36"/>
  <c r="AH18" i="36"/>
  <c r="AI18" i="36" s="1"/>
  <c r="X18" i="43"/>
  <c r="AH18" i="43"/>
  <c r="AI18" i="43" s="1"/>
  <c r="X17" i="43"/>
  <c r="AH17" i="43"/>
  <c r="AI17" i="43" s="1"/>
  <c r="AO37" i="43"/>
  <c r="AS35" i="43"/>
  <c r="AQ37" i="43"/>
  <c r="AH10" i="38"/>
  <c r="AI10" i="38" s="1"/>
  <c r="X10" i="38"/>
  <c r="X23" i="38"/>
  <c r="AH23" i="38"/>
  <c r="AI23" i="38" s="1"/>
  <c r="AG21" i="34"/>
  <c r="AH32" i="34"/>
  <c r="AI32" i="34" s="1"/>
  <c r="X32" i="34"/>
  <c r="X17" i="34"/>
  <c r="AH17" i="34"/>
  <c r="AI17" i="34" s="1"/>
  <c r="X28" i="34"/>
  <c r="AH28" i="34"/>
  <c r="AI28" i="34" s="1"/>
  <c r="AI31" i="37"/>
  <c r="AJ31" i="37" s="1"/>
  <c r="X31" i="37"/>
  <c r="Y31" i="37" s="1"/>
  <c r="AI14" i="37"/>
  <c r="AJ14" i="37" s="1"/>
  <c r="X14" i="37"/>
  <c r="Y14" i="37" s="1"/>
  <c r="X27" i="37"/>
  <c r="Y27" i="37" s="1"/>
  <c r="AI27" i="37"/>
  <c r="AJ27" i="37" s="1"/>
  <c r="AI16" i="37"/>
  <c r="AJ16" i="37" s="1"/>
  <c r="X16" i="37"/>
  <c r="Y16" i="37" s="1"/>
  <c r="X5" i="39"/>
  <c r="AH5" i="39"/>
  <c r="AI5" i="39" s="1"/>
  <c r="AO37" i="39"/>
  <c r="AS35" i="39"/>
  <c r="X23" i="39"/>
  <c r="AH23" i="39"/>
  <c r="AI23" i="39" s="1"/>
  <c r="X10" i="40"/>
  <c r="AH10" i="40"/>
  <c r="AI10" i="40" s="1"/>
  <c r="AH5" i="40"/>
  <c r="AI5" i="40" s="1"/>
  <c r="X5" i="40"/>
  <c r="X6" i="39"/>
  <c r="AH6" i="39"/>
  <c r="AI6" i="39" s="1"/>
  <c r="AO37" i="40"/>
  <c r="AS35" i="40"/>
  <c r="AQ37" i="40"/>
  <c r="X14" i="36"/>
  <c r="AH14" i="36"/>
  <c r="AI14" i="36" s="1"/>
  <c r="X11" i="43"/>
  <c r="AH11" i="43"/>
  <c r="AI11" i="43" s="1"/>
  <c r="X22" i="38"/>
  <c r="AH22" i="38"/>
  <c r="AI22" i="38" s="1"/>
  <c r="AH7" i="38"/>
  <c r="AI7" i="38" s="1"/>
  <c r="X7" i="38"/>
  <c r="X17" i="38"/>
  <c r="AH17" i="38"/>
  <c r="AI17" i="38" s="1"/>
  <c r="AH19" i="34"/>
  <c r="AI19" i="34" s="1"/>
  <c r="X19" i="34"/>
  <c r="X5" i="37"/>
  <c r="Y5" i="37" s="1"/>
  <c r="AI5" i="37"/>
  <c r="AJ5" i="37" s="1"/>
  <c r="X21" i="38"/>
  <c r="AH21" i="38"/>
  <c r="AI21" i="38" s="1"/>
  <c r="X34" i="34"/>
  <c r="AH34" i="34"/>
  <c r="AI34" i="34" s="1"/>
  <c r="X31" i="36"/>
  <c r="AH31" i="36"/>
  <c r="AI31" i="36" s="1"/>
  <c r="X23" i="36"/>
  <c r="AH23" i="36"/>
  <c r="AI23" i="36" s="1"/>
  <c r="X22" i="34"/>
  <c r="AH22" i="34"/>
  <c r="AI22" i="34" s="1"/>
  <c r="X32" i="37"/>
  <c r="Y32" i="37" s="1"/>
  <c r="AI32" i="37"/>
  <c r="AJ32" i="37" s="1"/>
  <c r="X21" i="36"/>
  <c r="AH21" i="36"/>
  <c r="AI21" i="36" s="1"/>
  <c r="X22" i="39"/>
  <c r="AH22" i="39"/>
  <c r="AI22" i="39" s="1"/>
  <c r="X20" i="40"/>
  <c r="AH20" i="40"/>
  <c r="AI20" i="40" s="1"/>
  <c r="X17" i="40"/>
  <c r="AH17" i="40"/>
  <c r="AI17" i="40" s="1"/>
  <c r="V37" i="40"/>
  <c r="W35" i="40"/>
  <c r="AG17" i="40"/>
  <c r="X20" i="36"/>
  <c r="AH20" i="36"/>
  <c r="AI20" i="36" s="1"/>
  <c r="X12" i="36"/>
  <c r="AH12" i="36"/>
  <c r="AI12" i="36" s="1"/>
  <c r="AE37" i="36"/>
  <c r="X27" i="43"/>
  <c r="AH27" i="43"/>
  <c r="AI27" i="43" s="1"/>
  <c r="AG7" i="38"/>
  <c r="X33" i="38"/>
  <c r="AH33" i="38"/>
  <c r="AI33" i="38" s="1"/>
  <c r="AH34" i="38"/>
  <c r="AI34" i="38" s="1"/>
  <c r="X34" i="38"/>
  <c r="X11" i="38"/>
  <c r="AH11" i="38"/>
  <c r="AI11" i="38" s="1"/>
  <c r="AQ37" i="38"/>
  <c r="X30" i="38"/>
  <c r="AH30" i="38"/>
  <c r="AI30" i="38" s="1"/>
  <c r="AG31" i="34"/>
  <c r="AE37" i="34"/>
  <c r="AR37" i="34"/>
  <c r="X25" i="34"/>
  <c r="AH25" i="34"/>
  <c r="AI25" i="34" s="1"/>
  <c r="AF37" i="37"/>
  <c r="AS37" i="37"/>
  <c r="X8" i="37"/>
  <c r="Y8" i="37" s="1"/>
  <c r="AI8" i="37"/>
  <c r="AJ8" i="37" s="1"/>
  <c r="X27" i="39"/>
  <c r="AH27" i="39"/>
  <c r="AI27" i="39" s="1"/>
  <c r="AG7" i="36"/>
  <c r="X17" i="36"/>
  <c r="AH17" i="36"/>
  <c r="AI17" i="36" s="1"/>
  <c r="AH9" i="36"/>
  <c r="AI9" i="36" s="1"/>
  <c r="X9" i="36"/>
  <c r="AH19" i="36"/>
  <c r="AI19" i="36" s="1"/>
  <c r="X19" i="36"/>
  <c r="X8" i="43"/>
  <c r="AH8" i="43"/>
  <c r="AI8" i="43" s="1"/>
  <c r="X30" i="43"/>
  <c r="AH30" i="43"/>
  <c r="AI30" i="43" s="1"/>
  <c r="X20" i="38"/>
  <c r="AH20" i="38"/>
  <c r="AI20" i="38" s="1"/>
  <c r="AH13" i="38"/>
  <c r="AI13" i="38" s="1"/>
  <c r="X13" i="38"/>
  <c r="X12" i="38"/>
  <c r="AH12" i="38"/>
  <c r="AI12" i="38" s="1"/>
  <c r="X13" i="34"/>
  <c r="AH13" i="34"/>
  <c r="AI13" i="34" s="1"/>
  <c r="X12" i="37"/>
  <c r="Y12" i="37" s="1"/>
  <c r="AI12" i="37"/>
  <c r="AJ12" i="37" s="1"/>
  <c r="AI11" i="37"/>
  <c r="AJ11" i="37" s="1"/>
  <c r="X11" i="37"/>
  <c r="Y11" i="37" s="1"/>
  <c r="AI29" i="37"/>
  <c r="AJ29" i="37" s="1"/>
  <c r="X29" i="37"/>
  <c r="Y29" i="37" s="1"/>
  <c r="AG10" i="39"/>
  <c r="X15" i="39"/>
  <c r="AH15" i="39"/>
  <c r="AI15" i="39" s="1"/>
  <c r="X14" i="40"/>
  <c r="AH14" i="40"/>
  <c r="AI14" i="40" s="1"/>
  <c r="AG9" i="40"/>
  <c r="AH11" i="36"/>
  <c r="AI11" i="36" s="1"/>
  <c r="X11" i="36"/>
  <c r="X10" i="36"/>
  <c r="AH10" i="36"/>
  <c r="AI10" i="36" s="1"/>
  <c r="AH28" i="36"/>
  <c r="AI28" i="36" s="1"/>
  <c r="X28" i="36"/>
  <c r="AG24" i="43"/>
  <c r="X21" i="43"/>
  <c r="AH21" i="43"/>
  <c r="AI21" i="43" s="1"/>
  <c r="X26" i="43"/>
  <c r="AH26" i="43"/>
  <c r="AI26" i="43" s="1"/>
  <c r="X8" i="38"/>
  <c r="AH8" i="38"/>
  <c r="AI8" i="38" s="1"/>
  <c r="X24" i="34"/>
  <c r="AH24" i="34"/>
  <c r="AI24" i="34" s="1"/>
  <c r="X7" i="34"/>
  <c r="AH7" i="34"/>
  <c r="AI7" i="34" s="1"/>
  <c r="AH10" i="34"/>
  <c r="AI10" i="34" s="1"/>
  <c r="X10" i="34"/>
  <c r="AH32" i="37"/>
  <c r="X23" i="37"/>
  <c r="Y23" i="37" s="1"/>
  <c r="AI23" i="37"/>
  <c r="AJ23" i="37" s="1"/>
  <c r="AI24" i="37"/>
  <c r="AJ24" i="37" s="1"/>
  <c r="X24" i="37"/>
  <c r="Y24" i="37" s="1"/>
  <c r="AH16" i="39"/>
  <c r="AI16" i="39" s="1"/>
  <c r="X16" i="39"/>
  <c r="X7" i="39"/>
  <c r="AH7" i="39"/>
  <c r="AI7" i="39" s="1"/>
  <c r="X32" i="40"/>
  <c r="AH32" i="40"/>
  <c r="AI32" i="40" s="1"/>
  <c r="X18" i="40"/>
  <c r="AH18" i="40"/>
  <c r="AI18" i="40" s="1"/>
  <c r="AG34" i="36"/>
  <c r="AH19" i="43"/>
  <c r="AI19" i="43" s="1"/>
  <c r="X19" i="43"/>
  <c r="AP37" i="43"/>
  <c r="AG31" i="38"/>
  <c r="X28" i="38"/>
  <c r="AH28" i="38"/>
  <c r="AI28" i="38" s="1"/>
  <c r="X21" i="34"/>
  <c r="AH21" i="34"/>
  <c r="AI21" i="34" s="1"/>
  <c r="AH6" i="37"/>
  <c r="AH24" i="39"/>
  <c r="AI24" i="39" s="1"/>
  <c r="X24" i="39"/>
  <c r="AH30" i="39"/>
  <c r="AI30" i="39" s="1"/>
  <c r="X30" i="39"/>
  <c r="V37" i="39"/>
  <c r="W35" i="39"/>
  <c r="AR37" i="39"/>
  <c r="X21" i="40"/>
  <c r="AH21" i="40"/>
  <c r="AI21" i="40" s="1"/>
  <c r="X13" i="40"/>
  <c r="AH13" i="40"/>
  <c r="AI13" i="40" s="1"/>
  <c r="AH30" i="40"/>
  <c r="AI30" i="40" s="1"/>
  <c r="X30" i="40"/>
  <c r="AR37" i="40"/>
  <c r="AG35" i="38"/>
  <c r="AG37" i="38" s="1"/>
  <c r="V37" i="38"/>
  <c r="W35" i="38"/>
  <c r="AS35" i="34"/>
  <c r="AO37" i="34"/>
  <c r="AI7" i="37"/>
  <c r="AJ7" i="37" s="1"/>
  <c r="X7" i="37"/>
  <c r="Y7" i="37" s="1"/>
  <c r="X21" i="37"/>
  <c r="Y21" i="37" s="1"/>
  <c r="AI21" i="37"/>
  <c r="AJ21" i="37" s="1"/>
  <c r="X6" i="40"/>
  <c r="AH6" i="40"/>
  <c r="AI6" i="40" s="1"/>
  <c r="X8" i="40"/>
  <c r="AH8" i="40"/>
  <c r="AI8" i="40" s="1"/>
  <c r="X8" i="36"/>
  <c r="AH8" i="36"/>
  <c r="AI8" i="36" s="1"/>
  <c r="X16" i="38"/>
  <c r="AH16" i="38"/>
  <c r="AI16" i="38" s="1"/>
  <c r="X32" i="39"/>
  <c r="AH32" i="39"/>
  <c r="AI32" i="39" s="1"/>
  <c r="X15" i="40"/>
  <c r="AH15" i="40"/>
  <c r="AI15" i="40" s="1"/>
  <c r="X33" i="40"/>
  <c r="AH33" i="40"/>
  <c r="AI33" i="40" s="1"/>
  <c r="AI15" i="37"/>
  <c r="AJ15" i="37" s="1"/>
  <c r="X15" i="37"/>
  <c r="Y15" i="37" s="1"/>
  <c r="AH25" i="39"/>
  <c r="AI25" i="39" s="1"/>
  <c r="X25" i="39"/>
  <c r="X14" i="39"/>
  <c r="AH14" i="39"/>
  <c r="AI14" i="39" s="1"/>
  <c r="X23" i="43"/>
  <c r="AH23" i="43"/>
  <c r="AI23" i="43" s="1"/>
  <c r="AG22" i="36"/>
  <c r="X6" i="36"/>
  <c r="AH6" i="36"/>
  <c r="AI6" i="36" s="1"/>
  <c r="X27" i="36"/>
  <c r="AH27" i="36"/>
  <c r="AI27" i="36" s="1"/>
  <c r="X7" i="43"/>
  <c r="AH7" i="43"/>
  <c r="AI7" i="43" s="1"/>
  <c r="AH33" i="43"/>
  <c r="AI33" i="43" s="1"/>
  <c r="X33" i="43"/>
  <c r="X14" i="43"/>
  <c r="AH14" i="43"/>
  <c r="AI14" i="43" s="1"/>
  <c r="AS35" i="38"/>
  <c r="AO37" i="38"/>
  <c r="X31" i="34"/>
  <c r="AH31" i="34"/>
  <c r="AI31" i="34" s="1"/>
  <c r="X5" i="34"/>
  <c r="AH5" i="34"/>
  <c r="AI5" i="34" s="1"/>
  <c r="V37" i="34"/>
  <c r="W35" i="34"/>
  <c r="AQ37" i="34"/>
  <c r="AI19" i="37"/>
  <c r="AJ19" i="37" s="1"/>
  <c r="X19" i="37"/>
  <c r="Y19" i="37" s="1"/>
  <c r="X13" i="39"/>
  <c r="AH13" i="39"/>
  <c r="AI13" i="39" s="1"/>
  <c r="X11" i="39"/>
  <c r="AH11" i="39"/>
  <c r="AI11" i="39" s="1"/>
  <c r="AG37" i="39"/>
  <c r="Z37" i="40"/>
  <c r="AG35" i="40"/>
  <c r="AG37" i="40" s="1"/>
  <c r="AH24" i="36"/>
  <c r="AI24" i="36" s="1"/>
  <c r="X24" i="36"/>
  <c r="X31" i="43"/>
  <c r="AH31" i="43"/>
  <c r="AI31" i="43" s="1"/>
  <c r="X20" i="43"/>
  <c r="AH20" i="43"/>
  <c r="AI20" i="43" s="1"/>
  <c r="X19" i="38"/>
  <c r="AH19" i="38"/>
  <c r="AI19" i="38" s="1"/>
  <c r="X6" i="38"/>
  <c r="AH6" i="38"/>
  <c r="AI6" i="38" s="1"/>
  <c r="AH16" i="34"/>
  <c r="AI16" i="34" s="1"/>
  <c r="X16" i="34"/>
  <c r="X9" i="37"/>
  <c r="Y9" i="37" s="1"/>
  <c r="AI9" i="37"/>
  <c r="AJ9" i="37" s="1"/>
  <c r="AI28" i="37"/>
  <c r="AJ28" i="37" s="1"/>
  <c r="X28" i="37"/>
  <c r="Y28" i="37" s="1"/>
  <c r="AI13" i="37"/>
  <c r="AJ13" i="37" s="1"/>
  <c r="X13" i="37"/>
  <c r="Y13" i="37" s="1"/>
  <c r="X12" i="39"/>
  <c r="AH12" i="39"/>
  <c r="AI12" i="39" s="1"/>
  <c r="X12" i="40"/>
  <c r="AH12" i="40"/>
  <c r="AI12" i="40" s="1"/>
  <c r="AH9" i="40"/>
  <c r="AI9" i="40" s="1"/>
  <c r="X9" i="40"/>
  <c r="X27" i="40"/>
  <c r="AH27" i="40"/>
  <c r="AI27" i="40" s="1"/>
  <c r="X16" i="40"/>
  <c r="AH16" i="40"/>
  <c r="AI16" i="40" s="1"/>
  <c r="X32" i="36"/>
  <c r="AH32" i="36"/>
  <c r="AI32" i="36" s="1"/>
  <c r="X22" i="36"/>
  <c r="AH22" i="36"/>
  <c r="AI22" i="36" s="1"/>
  <c r="X16" i="36"/>
  <c r="AH16" i="36"/>
  <c r="AI16" i="36" s="1"/>
  <c r="AH25" i="43"/>
  <c r="AI25" i="43" s="1"/>
  <c r="X25" i="43"/>
  <c r="X28" i="43"/>
  <c r="AH28" i="43"/>
  <c r="AI28" i="43" s="1"/>
  <c r="X29" i="43"/>
  <c r="AH29" i="43"/>
  <c r="AI29" i="43" s="1"/>
  <c r="AH25" i="38"/>
  <c r="AI25" i="38" s="1"/>
  <c r="X25" i="38"/>
  <c r="AH5" i="38"/>
  <c r="AI5" i="38" s="1"/>
  <c r="X5" i="38"/>
  <c r="X18" i="38"/>
  <c r="AH18" i="38"/>
  <c r="AI18" i="38" s="1"/>
  <c r="AH6" i="34"/>
  <c r="AI6" i="34" s="1"/>
  <c r="X6" i="34"/>
  <c r="AI10" i="37"/>
  <c r="AJ10" i="37" s="1"/>
  <c r="X10" i="37"/>
  <c r="Y10" i="37" s="1"/>
  <c r="AI30" i="37"/>
  <c r="AJ30" i="37" s="1"/>
  <c r="X30" i="37"/>
  <c r="Y30" i="37" s="1"/>
  <c r="AG21" i="39"/>
  <c r="X33" i="39"/>
  <c r="AH33" i="39"/>
  <c r="AI33" i="39" s="1"/>
  <c r="X34" i="39"/>
  <c r="AH34" i="39"/>
  <c r="AI34" i="39" s="1"/>
  <c r="X34" i="40"/>
  <c r="AH34" i="40"/>
  <c r="AI34" i="40" s="1"/>
  <c r="X25" i="40"/>
  <c r="AH25" i="40"/>
  <c r="AI25" i="40" s="1"/>
  <c r="X26" i="40"/>
  <c r="AH26" i="40"/>
  <c r="AI26" i="40" s="1"/>
  <c r="X29" i="40"/>
  <c r="AH29" i="40"/>
  <c r="AI29" i="40" s="1"/>
  <c r="X28" i="40"/>
  <c r="AH28" i="40"/>
  <c r="AI28" i="40" s="1"/>
  <c r="X5" i="36"/>
  <c r="AH5" i="36"/>
  <c r="AI5" i="36" s="1"/>
  <c r="X34" i="36"/>
  <c r="AH34" i="36"/>
  <c r="AI34" i="36" s="1"/>
  <c r="X10" i="43"/>
  <c r="AH10" i="43"/>
  <c r="AI10" i="43" s="1"/>
  <c r="AH16" i="43"/>
  <c r="AI16" i="43" s="1"/>
  <c r="X16" i="43"/>
  <c r="AE37" i="43"/>
  <c r="AR37" i="43"/>
  <c r="AH24" i="38"/>
  <c r="AI24" i="38" s="1"/>
  <c r="X24" i="38"/>
  <c r="X31" i="38"/>
  <c r="AH31" i="38"/>
  <c r="AI31" i="38" s="1"/>
  <c r="X32" i="38"/>
  <c r="AH32" i="38"/>
  <c r="AI32" i="38" s="1"/>
  <c r="AH30" i="34"/>
  <c r="AI30" i="34" s="1"/>
  <c r="X30" i="34"/>
  <c r="AH14" i="34"/>
  <c r="AI14" i="34" s="1"/>
  <c r="X14" i="34"/>
  <c r="AH29" i="34"/>
  <c r="AI29" i="34" s="1"/>
  <c r="X29" i="34"/>
  <c r="X23" i="34"/>
  <c r="AH23" i="34"/>
  <c r="AI23" i="34" s="1"/>
  <c r="AI22" i="37"/>
  <c r="AJ22" i="37" s="1"/>
  <c r="X22" i="37"/>
  <c r="Y22" i="37" s="1"/>
  <c r="X34" i="37"/>
  <c r="Y34" i="37" s="1"/>
  <c r="AI34" i="37"/>
  <c r="AJ34" i="37" s="1"/>
  <c r="X25" i="37"/>
  <c r="Y25" i="37" s="1"/>
  <c r="AI25" i="37"/>
  <c r="AJ25" i="37" s="1"/>
  <c r="X26" i="37"/>
  <c r="Y26" i="37" s="1"/>
  <c r="AI26" i="37"/>
  <c r="AJ26" i="37" s="1"/>
  <c r="X6" i="37"/>
  <c r="Y6" i="37" s="1"/>
  <c r="AI6" i="37"/>
  <c r="AJ6" i="37" s="1"/>
  <c r="X8" i="39"/>
  <c r="AH8" i="39"/>
  <c r="AI8" i="39" s="1"/>
  <c r="X21" i="39"/>
  <c r="AH21" i="39"/>
  <c r="AI21" i="39" s="1"/>
  <c r="AE37" i="39"/>
  <c r="X10" i="39"/>
  <c r="AH10" i="39"/>
  <c r="AI10" i="39" s="1"/>
  <c r="AH19" i="39"/>
  <c r="AI19" i="39" s="1"/>
  <c r="X19" i="39"/>
  <c r="AE37" i="40"/>
  <c r="AG35" i="36"/>
  <c r="AG37" i="36" s="1"/>
  <c r="AS37" i="38" l="1"/>
  <c r="AS37" i="39"/>
  <c r="AS37" i="34"/>
  <c r="AS37" i="36"/>
  <c r="AS37" i="43"/>
  <c r="AS37" i="40"/>
  <c r="W37" i="34"/>
  <c r="X35" i="34"/>
  <c r="X37" i="34" s="1"/>
  <c r="B5" i="48" s="1"/>
  <c r="AH35" i="34"/>
  <c r="W37" i="38"/>
  <c r="AH35" i="38"/>
  <c r="X35" i="38"/>
  <c r="X37" i="38" s="1"/>
  <c r="B6" i="48" s="1"/>
  <c r="W37" i="43"/>
  <c r="AH35" i="43"/>
  <c r="X35" i="43"/>
  <c r="X37" i="43" s="1"/>
  <c r="B7" i="48" s="1"/>
  <c r="W37" i="36"/>
  <c r="X35" i="36"/>
  <c r="X37" i="36" s="1"/>
  <c r="B3" i="48" s="1"/>
  <c r="AH35" i="36"/>
  <c r="W37" i="37"/>
  <c r="X35" i="37"/>
  <c r="AI35" i="37"/>
  <c r="W37" i="39"/>
  <c r="AH35" i="39"/>
  <c r="X35" i="39"/>
  <c r="X37" i="39" s="1"/>
  <c r="B8" i="48" s="1"/>
  <c r="W37" i="40"/>
  <c r="X35" i="40"/>
  <c r="X37" i="40" s="1"/>
  <c r="B9" i="48" s="1"/>
  <c r="AH35" i="40"/>
  <c r="AI37" i="37" l="1"/>
  <c r="AJ35" i="37"/>
  <c r="AJ37" i="37" s="1"/>
  <c r="C4" i="48" s="1"/>
  <c r="AH37" i="34"/>
  <c r="AI35" i="34"/>
  <c r="AI37" i="34" s="1"/>
  <c r="C5" i="48" s="1"/>
  <c r="AH37" i="43"/>
  <c r="AI35" i="43"/>
  <c r="AI37" i="43" s="1"/>
  <c r="C7" i="48" s="1"/>
  <c r="Y35" i="37"/>
  <c r="X37" i="37"/>
  <c r="B4" i="48" s="1"/>
  <c r="AI35" i="36"/>
  <c r="AI37" i="36" s="1"/>
  <c r="C3" i="48" s="1"/>
  <c r="AH37" i="36"/>
  <c r="AH37" i="40"/>
  <c r="AI35" i="40"/>
  <c r="AI37" i="40" s="1"/>
  <c r="C9" i="48" s="1"/>
  <c r="AH37" i="39"/>
  <c r="AI35" i="39"/>
  <c r="AI37" i="39" s="1"/>
  <c r="C8" i="48" s="1"/>
  <c r="AH37" i="38"/>
  <c r="AI35" i="38"/>
  <c r="AI37" i="38" s="1"/>
  <c r="C6" i="48" s="1"/>
</calcChain>
</file>

<file path=xl/sharedStrings.xml><?xml version="1.0" encoding="utf-8"?>
<sst xmlns="http://schemas.openxmlformats.org/spreadsheetml/2006/main" count="1241" uniqueCount="172">
  <si>
    <t>m</t>
  </si>
  <si>
    <t>(-)</t>
  </si>
  <si>
    <t>F</t>
  </si>
  <si>
    <t>epsilon vac</t>
  </si>
  <si>
    <t>(F/m)</t>
  </si>
  <si>
    <t>(V)</t>
  </si>
  <si>
    <t>(Pa.s)</t>
  </si>
  <si>
    <t>(S/m)</t>
  </si>
  <si>
    <t>(S)</t>
  </si>
  <si>
    <t>(m)</t>
  </si>
  <si>
    <t>Cs</t>
  </si>
  <si>
    <t>(K)</t>
  </si>
  <si>
    <t>(mol/L)</t>
  </si>
  <si>
    <t>e</t>
  </si>
  <si>
    <t>GammaSzero</t>
  </si>
  <si>
    <t>Kme</t>
  </si>
  <si>
    <t>pH</t>
  </si>
  <si>
    <t>Kminus</t>
  </si>
  <si>
    <t>pK-</t>
  </si>
  <si>
    <t>pKme</t>
  </si>
  <si>
    <t>Ca</t>
  </si>
  <si>
    <t>Avagadro</t>
  </si>
  <si>
    <t>Kb</t>
  </si>
  <si>
    <t>chizeta</t>
  </si>
  <si>
    <t>J/K</t>
  </si>
  <si>
    <t>SurfConStern</t>
  </si>
  <si>
    <t>SurfConProt</t>
  </si>
  <si>
    <t>SurfConEDL</t>
  </si>
  <si>
    <t>Debye Length</t>
  </si>
  <si>
    <t>TotSurfCon</t>
  </si>
  <si>
    <t>(V/Pa)</t>
  </si>
  <si>
    <t>Grain size</t>
  </si>
  <si>
    <t>Porosity</t>
  </si>
  <si>
    <t>Global Constants</t>
  </si>
  <si>
    <t>betaNa+</t>
  </si>
  <si>
    <t>betaH+</t>
  </si>
  <si>
    <t>betaCl-</t>
  </si>
  <si>
    <t>betaOH-</t>
  </si>
  <si>
    <t>EffMobNa</t>
  </si>
  <si>
    <t>(m2/s/V)</t>
  </si>
  <si>
    <t>EffMobHyd</t>
  </si>
  <si>
    <t>EffMobCl</t>
  </si>
  <si>
    <t>EffMobOH</t>
  </si>
  <si>
    <t>pKw</t>
  </si>
  <si>
    <t>Zetathreshld</t>
  </si>
  <si>
    <t>betaStern</t>
  </si>
  <si>
    <t>Theta2</t>
  </si>
  <si>
    <t>SurfConEDLNa</t>
  </si>
  <si>
    <t>SurfConEDLH</t>
  </si>
  <si>
    <t>SurfConEDLCl</t>
  </si>
  <si>
    <t>SurfConEDLOH</t>
  </si>
  <si>
    <t>Cb</t>
  </si>
  <si>
    <t>HCl</t>
  </si>
  <si>
    <t>NaOH</t>
  </si>
  <si>
    <t>Input Data</t>
  </si>
  <si>
    <t>3 Solution Types</t>
  </si>
  <si>
    <t>If D&gt;0</t>
  </si>
  <si>
    <t>M</t>
  </si>
  <si>
    <t>Kw</t>
  </si>
  <si>
    <t>N</t>
  </si>
  <si>
    <t>K1</t>
  </si>
  <si>
    <t>y1</t>
  </si>
  <si>
    <t>only real</t>
  </si>
  <si>
    <t>K2</t>
  </si>
  <si>
    <t>Working calculation</t>
  </si>
  <si>
    <t>C1</t>
  </si>
  <si>
    <t>If D=0</t>
  </si>
  <si>
    <t>C2</t>
  </si>
  <si>
    <t>C3</t>
  </si>
  <si>
    <t>C4</t>
  </si>
  <si>
    <t>p</t>
  </si>
  <si>
    <t>q</t>
  </si>
  <si>
    <t>r</t>
  </si>
  <si>
    <t>If D&lt;0</t>
  </si>
  <si>
    <t>A</t>
  </si>
  <si>
    <t>phiplus</t>
  </si>
  <si>
    <t>B</t>
  </si>
  <si>
    <t>phiminus</t>
  </si>
  <si>
    <t>D</t>
  </si>
  <si>
    <t>Output Data</t>
  </si>
  <si>
    <t>y2</t>
  </si>
  <si>
    <t>pH Case 1</t>
  </si>
  <si>
    <t>y3</t>
  </si>
  <si>
    <t>pH Case 2</t>
  </si>
  <si>
    <t>x1</t>
  </si>
  <si>
    <t>pH Case 3</t>
  </si>
  <si>
    <t>x2</t>
  </si>
  <si>
    <t>x3</t>
  </si>
  <si>
    <t>x2&amp;x3</t>
  </si>
  <si>
    <t>y2&amp;y3</t>
  </si>
  <si>
    <t>Bjerrum</t>
  </si>
  <si>
    <t>Shear Plane</t>
  </si>
  <si>
    <t>ViscPureWater</t>
  </si>
  <si>
    <t>(g/cm3)</t>
  </si>
  <si>
    <t>(mol/kg)</t>
  </si>
  <si>
    <t>phi</t>
  </si>
  <si>
    <t>(C)</t>
  </si>
  <si>
    <t>Density water</t>
  </si>
  <si>
    <t>(kg/m3)</t>
  </si>
  <si>
    <t>Salinity</t>
  </si>
  <si>
    <t>(mol/dm3)</t>
  </si>
  <si>
    <t>Density Soln</t>
  </si>
  <si>
    <t>Temp.</t>
  </si>
  <si>
    <t>Molality</t>
  </si>
  <si>
    <t>RelPerm Soln</t>
  </si>
  <si>
    <t>Visc Soln</t>
  </si>
  <si>
    <t>Condy Soln</t>
  </si>
  <si>
    <t>Ionic Conc</t>
  </si>
  <si>
    <t>[H+]</t>
  </si>
  <si>
    <t>SternPot</t>
  </si>
  <si>
    <t>Zeta Pot</t>
  </si>
  <si>
    <t>(mV)</t>
  </si>
  <si>
    <t>(sites/nm2)</t>
  </si>
  <si>
    <t>(sites/m2)</t>
  </si>
  <si>
    <t>St Bees 1</t>
  </si>
  <si>
    <t>This study</t>
  </si>
  <si>
    <t>NaCl</t>
  </si>
  <si>
    <t>St Bees 2</t>
  </si>
  <si>
    <t>Stainton B</t>
  </si>
  <si>
    <t>Doddington</t>
  </si>
  <si>
    <t>Sample</t>
  </si>
  <si>
    <t>Study</t>
  </si>
  <si>
    <t>Electrolyte</t>
  </si>
  <si>
    <t>Ionic strength, M</t>
  </si>
  <si>
    <t>s_r, mS/cm</t>
  </si>
  <si>
    <t>T, C</t>
  </si>
  <si>
    <t>C, mV/Mpa</t>
  </si>
  <si>
    <t>z, mV</t>
  </si>
  <si>
    <t>uses Theta=0</t>
  </si>
  <si>
    <t>minus C</t>
  </si>
  <si>
    <t>(mV/MPa)</t>
  </si>
  <si>
    <t>Twice Debye</t>
  </si>
  <si>
    <t>St Bees1</t>
  </si>
  <si>
    <t>St Bees2</t>
  </si>
  <si>
    <t>Stainton</t>
  </si>
  <si>
    <t>gs</t>
  </si>
  <si>
    <t>micron</t>
  </si>
  <si>
    <t>k</t>
  </si>
  <si>
    <t>mD</t>
  </si>
  <si>
    <t>100-200</t>
  </si>
  <si>
    <t>60-200</t>
  </si>
  <si>
    <t>Toggle pH on/off</t>
  </si>
  <si>
    <t>on</t>
  </si>
  <si>
    <t>Sensitivity</t>
  </si>
  <si>
    <t>-Zeta Pot</t>
  </si>
  <si>
    <t>Cf</t>
  </si>
  <si>
    <t>pHo</t>
  </si>
  <si>
    <t>ref</t>
  </si>
  <si>
    <t>exp</t>
  </si>
  <si>
    <t>zetathreshold</t>
  </si>
  <si>
    <t>&lt;Insert acid concentration here (mol/dm3)</t>
  </si>
  <si>
    <t>&lt;Insert base concentration here (mol/dm3)</t>
  </si>
  <si>
    <t>To calculate the pH of an aqueous solution of acids and bases</t>
  </si>
  <si>
    <t>&lt;Result</t>
  </si>
  <si>
    <t>Notes: This page solves the cubic pH equation</t>
  </si>
  <si>
    <t>using Cardano's method</t>
  </si>
  <si>
    <t xml:space="preserve">This spreadsheet contains the model shown in the figure below. </t>
  </si>
  <si>
    <t>Fig 3 for reference --&gt;</t>
  </si>
  <si>
    <t>Data used in paper below</t>
  </si>
  <si>
    <t>Data in this overall control page is automatically</t>
  </si>
  <si>
    <t>Transferred to the red pages. To change just alter the green cells</t>
  </si>
  <si>
    <t>OVERALL CONTROL</t>
  </si>
  <si>
    <t>off</t>
  </si>
  <si>
    <t>Zetachange</t>
  </si>
  <si>
    <t>(%)</t>
  </si>
  <si>
    <t>SPChange</t>
  </si>
  <si>
    <t>Reference</t>
  </si>
  <si>
    <t>from Control</t>
  </si>
  <si>
    <t>If 'off' enter parameters into green boxes in Control tab</t>
  </si>
  <si>
    <t>then they are mirrored in the blue boxes here for reference.</t>
  </si>
  <si>
    <t>If 'on' the parameters in the green boxes on this page are used instead.</t>
  </si>
  <si>
    <t>You can toggle to see the difference.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</si>
</sst>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E+00"/>
    <numFmt numFmtId="165" formatCode="#,##0.000"/>
    <numFmt numFmtId="166" formatCode="0.0000"/>
    <numFmt numFmtId="167" formatCode="0.00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8" borderId="0" xfId="0" applyNumberFormat="1" applyFill="1" applyAlignment="1">
      <alignment horizontal="center"/>
    </xf>
    <xf numFmtId="0" fontId="0" fillId="0" borderId="0" xfId="0" applyFill="1"/>
    <xf numFmtId="0" fontId="6" fillId="0" borderId="0" xfId="0" applyFont="1"/>
    <xf numFmtId="11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6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1" fontId="0" fillId="3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1" fontId="0" fillId="0" borderId="0" xfId="0" applyNumberFormat="1" applyFill="1"/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7" borderId="0" xfId="0" applyNumberFormat="1" applyFill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8" fillId="0" borderId="0" xfId="0" applyFont="1" applyFill="1" applyAlignment="1">
      <alignment horizontal="center"/>
    </xf>
    <xf numFmtId="11" fontId="8" fillId="0" borderId="0" xfId="0" applyNumberFormat="1" applyFont="1" applyFill="1" applyAlignment="1">
      <alignment horizontal="center"/>
    </xf>
    <xf numFmtId="0" fontId="0" fillId="0" borderId="6" xfId="0" applyBorder="1"/>
    <xf numFmtId="0" fontId="4" fillId="0" borderId="1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1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6" xfId="0" applyFill="1" applyBorder="1"/>
    <xf numFmtId="11" fontId="0" fillId="0" borderId="6" xfId="0" applyNumberForma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11" fontId="8" fillId="0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67" fontId="0" fillId="0" borderId="0" xfId="0" applyNumberFormat="1"/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11" fontId="10" fillId="0" borderId="0" xfId="0" applyNumberFormat="1" applyFont="1" applyAlignment="1">
      <alignment horizontal="center"/>
    </xf>
    <xf numFmtId="0" fontId="10" fillId="0" borderId="1" xfId="0" applyFont="1" applyBorder="1"/>
    <xf numFmtId="11" fontId="10" fillId="6" borderId="8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/>
    <xf numFmtId="11" fontId="10" fillId="8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4" fontId="10" fillId="7" borderId="0" xfId="0" applyNumberFormat="1" applyFont="1" applyFill="1" applyBorder="1" applyAlignment="1">
      <alignment horizontal="center"/>
    </xf>
    <xf numFmtId="0" fontId="10" fillId="9" borderId="0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11" fontId="10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/>
    <xf numFmtId="11" fontId="10" fillId="8" borderId="7" xfId="0" applyNumberFormat="1" applyFont="1" applyFill="1" applyBorder="1" applyAlignment="1">
      <alignment horizontal="center"/>
    </xf>
    <xf numFmtId="11" fontId="10" fillId="0" borderId="6" xfId="0" applyNumberFormat="1" applyFont="1" applyBorder="1" applyAlignment="1">
      <alignment horizontal="left"/>
    </xf>
    <xf numFmtId="11" fontId="12" fillId="10" borderId="0" xfId="0" applyNumberFormat="1" applyFont="1" applyFill="1" applyBorder="1" applyAlignment="1">
      <alignment horizontal="center"/>
    </xf>
    <xf numFmtId="11" fontId="10" fillId="9" borderId="0" xfId="0" applyNumberFormat="1" applyFont="1" applyFill="1" applyBorder="1" applyAlignment="1">
      <alignment horizontal="center"/>
    </xf>
    <xf numFmtId="11" fontId="10" fillId="3" borderId="0" xfId="0" applyNumberFormat="1" applyFont="1" applyFill="1" applyBorder="1" applyAlignment="1">
      <alignment horizontal="center"/>
    </xf>
    <xf numFmtId="2" fontId="10" fillId="3" borderId="0" xfId="0" applyNumberFormat="1" applyFont="1" applyFill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166" fontId="10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1" fillId="0" borderId="9" xfId="0" applyFont="1" applyBorder="1"/>
    <xf numFmtId="0" fontId="11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" xfId="0" applyFont="1" applyBorder="1"/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/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1" fontId="0" fillId="8" borderId="7" xfId="0" applyNumberFormat="1" applyFill="1" applyBorder="1" applyAlignment="1">
      <alignment horizontal="center"/>
    </xf>
    <xf numFmtId="0" fontId="5" fillId="8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/>
    <xf numFmtId="0" fontId="0" fillId="0" borderId="0" xfId="0" applyAlignment="1"/>
    <xf numFmtId="0" fontId="2" fillId="5" borderId="0" xfId="0" applyFont="1" applyFill="1" applyAlignment="1">
      <alignment horizontal="left"/>
    </xf>
    <xf numFmtId="0" fontId="9" fillId="5" borderId="0" xfId="0" applyFont="1" applyFill="1"/>
    <xf numFmtId="0" fontId="0" fillId="5" borderId="0" xfId="0" applyFill="1"/>
    <xf numFmtId="0" fontId="10" fillId="5" borderId="0" xfId="0" applyFont="1" applyFill="1"/>
    <xf numFmtId="0" fontId="13" fillId="5" borderId="0" xfId="0" applyFont="1" applyFill="1"/>
    <xf numFmtId="0" fontId="9" fillId="11" borderId="0" xfId="0" applyFont="1" applyFill="1"/>
    <xf numFmtId="0" fontId="10" fillId="11" borderId="0" xfId="0" applyFont="1" applyFill="1" applyAlignment="1">
      <alignment horizontal="center"/>
    </xf>
    <xf numFmtId="0" fontId="10" fillId="11" borderId="0" xfId="0" applyNumberFormat="1" applyFont="1" applyFill="1" applyAlignment="1">
      <alignment horizontal="center"/>
    </xf>
    <xf numFmtId="11" fontId="9" fillId="11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1" fontId="2" fillId="5" borderId="0" xfId="0" applyNumberFormat="1" applyFont="1" applyFill="1"/>
    <xf numFmtId="0" fontId="0" fillId="5" borderId="0" xfId="0" applyFill="1" applyAlignment="1">
      <alignment horizontal="center"/>
    </xf>
    <xf numFmtId="0" fontId="14" fillId="10" borderId="0" xfId="0" applyFont="1" applyFill="1" applyAlignment="1">
      <alignment horizontal="center"/>
    </xf>
    <xf numFmtId="11" fontId="5" fillId="5" borderId="0" xfId="0" applyNumberFormat="1" applyFont="1" applyFill="1"/>
    <xf numFmtId="11" fontId="0" fillId="12" borderId="0" xfId="0" applyNumberForma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99"/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14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17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24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25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26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7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8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9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30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31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32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33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34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5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36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37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8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3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9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03548631343044"/>
          <c:y val="2.0424744204271771E-2"/>
          <c:w val="0.78901082050189653"/>
          <c:h val="0.84589439833534363"/>
        </c:manualLayout>
      </c:layout>
      <c:scatterChart>
        <c:scatterStyle val="lineMarker"/>
        <c:varyColors val="0"/>
        <c:ser>
          <c:idx val="6"/>
          <c:order val="0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94-4D63-ACAB-DC3D73A59DDC}"/>
            </c:ext>
          </c:extLst>
        </c:ser>
        <c:ser>
          <c:idx val="5"/>
          <c:order val="1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894-4D63-ACAB-DC3D73A59DDC}"/>
            </c:ext>
          </c:extLst>
        </c:ser>
        <c:ser>
          <c:idx val="1"/>
          <c:order val="2"/>
          <c:tx>
            <c:v>Vinogradov ... 0.01 M</c:v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spPr>
              <a:ln w="19050">
                <a:prstDash val="dash"/>
              </a:ln>
            </c:spPr>
            <c:trendlineType val="linear"/>
            <c:forward val="0.5"/>
            <c:backward val="0.5"/>
            <c:dispRSqr val="1"/>
            <c:dispEq val="1"/>
            <c:trendlineLbl>
              <c:layout>
                <c:manualLayout>
                  <c:x val="0.13455773057909293"/>
                  <c:y val="7.886866370136395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400" b="1" baseline="0"/>
                      <a:t>y = -10.928x + 52.505
R² = 0.8947</a:t>
                    </a:r>
                    <a:endParaRPr lang="en-US" sz="1400" b="1"/>
                  </a:p>
                </c:rich>
              </c:tx>
              <c:numFmt formatCode="General" sourceLinked="0"/>
            </c:trendlineLbl>
          </c:trendline>
          <c:xVal>
            <c:numRef>
              <c:f>Vinogradov0.01M!$F$2:$F$22</c:f>
              <c:numCache>
                <c:formatCode>General</c:formatCode>
                <c:ptCount val="21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  <c:pt idx="5">
                  <c:v>6.73</c:v>
                </c:pt>
                <c:pt idx="6">
                  <c:v>6.36</c:v>
                </c:pt>
                <c:pt idx="7">
                  <c:v>5.96</c:v>
                </c:pt>
                <c:pt idx="10">
                  <c:v>6.75</c:v>
                </c:pt>
                <c:pt idx="11">
                  <c:v>6.33</c:v>
                </c:pt>
                <c:pt idx="12">
                  <c:v>5.95</c:v>
                </c:pt>
                <c:pt idx="15">
                  <c:v>6.71</c:v>
                </c:pt>
                <c:pt idx="16">
                  <c:v>6.38</c:v>
                </c:pt>
                <c:pt idx="17">
                  <c:v>6.03</c:v>
                </c:pt>
                <c:pt idx="18">
                  <c:v>5.83</c:v>
                </c:pt>
              </c:numCache>
            </c:numRef>
          </c:xVal>
          <c:yVal>
            <c:numRef>
              <c:f>Vinogradov0.01M!$K$2:$K$22</c:f>
              <c:numCache>
                <c:formatCode>General</c:formatCode>
                <c:ptCount val="21"/>
                <c:pt idx="0">
                  <c:v>43.8</c:v>
                </c:pt>
                <c:pt idx="1">
                  <c:v>39.4</c:v>
                </c:pt>
                <c:pt idx="2">
                  <c:v>37.9</c:v>
                </c:pt>
                <c:pt idx="3">
                  <c:v>36.5</c:v>
                </c:pt>
                <c:pt idx="4">
                  <c:v>36.1</c:v>
                </c:pt>
                <c:pt idx="5">
                  <c:v>42</c:v>
                </c:pt>
                <c:pt idx="6">
                  <c:v>36.4</c:v>
                </c:pt>
                <c:pt idx="7">
                  <c:v>26.7</c:v>
                </c:pt>
                <c:pt idx="8">
                  <c:v>22.3</c:v>
                </c:pt>
                <c:pt idx="9">
                  <c:v>21</c:v>
                </c:pt>
                <c:pt idx="10">
                  <c:v>72.3</c:v>
                </c:pt>
                <c:pt idx="11">
                  <c:v>59.928600000000003</c:v>
                </c:pt>
                <c:pt idx="12">
                  <c:v>45.753399999999999</c:v>
                </c:pt>
                <c:pt idx="13">
                  <c:v>44.090800000000002</c:v>
                </c:pt>
                <c:pt idx="14">
                  <c:v>43.553699999999999</c:v>
                </c:pt>
                <c:pt idx="15">
                  <c:v>223.2</c:v>
                </c:pt>
                <c:pt idx="16">
                  <c:v>141.4</c:v>
                </c:pt>
                <c:pt idx="17">
                  <c:v>93.5</c:v>
                </c:pt>
                <c:pt idx="18">
                  <c:v>85.35</c:v>
                </c:pt>
                <c:pt idx="19">
                  <c:v>83.3</c:v>
                </c:pt>
                <c:pt idx="20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94-4D63-ACAB-DC3D73A59DDC}"/>
            </c:ext>
          </c:extLst>
        </c:ser>
        <c:ser>
          <c:idx val="7"/>
          <c:order val="3"/>
          <c:tx>
            <c:v>Vinogradov ... 0.5 M</c:v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xVal>
            <c:numRef>
              <c:f>Vinogradov0.5M!$F$2:$F$21</c:f>
              <c:numCache>
                <c:formatCode>General</c:formatCode>
                <c:ptCount val="20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  <c:pt idx="5">
                  <c:v>7.23</c:v>
                </c:pt>
                <c:pt idx="6">
                  <c:v>7.3</c:v>
                </c:pt>
                <c:pt idx="7">
                  <c:v>7.12</c:v>
                </c:pt>
                <c:pt idx="10">
                  <c:v>7.54</c:v>
                </c:pt>
                <c:pt idx="11">
                  <c:v>7.48</c:v>
                </c:pt>
                <c:pt idx="12">
                  <c:v>7.38</c:v>
                </c:pt>
                <c:pt idx="15">
                  <c:v>7.31</c:v>
                </c:pt>
                <c:pt idx="16">
                  <c:v>7.27</c:v>
                </c:pt>
                <c:pt idx="17">
                  <c:v>7.14</c:v>
                </c:pt>
              </c:numCache>
            </c:numRef>
          </c:xVal>
          <c:yVal>
            <c:numRef>
              <c:f>Vinogradov0.5M!$K$2:$K$21</c:f>
              <c:numCache>
                <c:formatCode>General</c:formatCode>
                <c:ptCount val="20"/>
                <c:pt idx="0">
                  <c:v>2.5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  <c:pt idx="4">
                  <c:v>2.2999999999999998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2.5</c:v>
                </c:pt>
                <c:pt idx="11">
                  <c:v>2.6</c:v>
                </c:pt>
                <c:pt idx="12">
                  <c:v>2.5</c:v>
                </c:pt>
                <c:pt idx="13">
                  <c:v>2.6</c:v>
                </c:pt>
                <c:pt idx="14">
                  <c:v>2.5</c:v>
                </c:pt>
                <c:pt idx="15">
                  <c:v>2.7</c:v>
                </c:pt>
                <c:pt idx="16">
                  <c:v>3.1</c:v>
                </c:pt>
                <c:pt idx="17">
                  <c:v>3</c:v>
                </c:pt>
                <c:pt idx="18">
                  <c:v>3.1</c:v>
                </c:pt>
                <c:pt idx="19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94-4D63-ACAB-DC3D73A5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44104"/>
        <c:axId val="203103112"/>
      </c:scatterChart>
      <c:valAx>
        <c:axId val="203544104"/>
        <c:scaling>
          <c:orientation val="minMax"/>
          <c:max val="8"/>
          <c:min val="5.5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000">
                    <a:latin typeface="Arial" pitchFamily="34" charset="0"/>
                    <a:cs typeface="Arial" pitchFamily="34" charset="0"/>
                  </a:rPr>
                  <a:t>pH (</a:t>
                </a:r>
                <a:r>
                  <a:rPr lang="fr-CA" sz="2000" baseline="3000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0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8622460050417182"/>
              <c:y val="0.9363934558637264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6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103112"/>
        <c:crossesAt val="1"/>
        <c:crossBetween val="midCat"/>
        <c:majorUnit val="0.5"/>
      </c:valAx>
      <c:valAx>
        <c:axId val="203103112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fr-CA" sz="2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Streaming  potential coefficient  (mV/MPa)</a:t>
                </a:r>
                <a:endParaRPr lang="en-GB" sz="20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fr-CA" sz="2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 sz="20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2947209344709354E-2"/>
              <c:y val="0.1335289026900326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6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54410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1505053070295857"/>
          <c:y val="2.7705009897507151E-2"/>
          <c:w val="0.7758689545251588"/>
          <c:h val="0.12767433780487278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1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3.8421293705145104E-2"/>
          <c:w val="0.76695217054702691"/>
          <c:h val="0.82857684748391125"/>
        </c:manualLayout>
      </c:layout>
      <c:scatterChart>
        <c:scatterStyle val="lineMarker"/>
        <c:varyColors val="0"/>
        <c:ser>
          <c:idx val="8"/>
          <c:order val="0"/>
          <c:tx>
            <c:v>0.5 M [Vinogradov and Jackson, 2015]</c:v>
          </c:tx>
          <c:spPr>
            <a:ln>
              <a:noFill/>
            </a:ln>
          </c:spPr>
          <c:marker>
            <c:symbol val="circ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2"/>
            <c:spPr>
              <a:ln w="25400">
                <a:solidFill>
                  <a:sysClr val="windowText" lastClr="000000"/>
                </a:solidFill>
              </a:ln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Vinogradov0.5M!$G$2:$G$21</c:f>
              <c:numCache>
                <c:formatCode>General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  <c:pt idx="5">
                  <c:v>21</c:v>
                </c:pt>
                <c:pt idx="6">
                  <c:v>40</c:v>
                </c:pt>
                <c:pt idx="7">
                  <c:v>76</c:v>
                </c:pt>
                <c:pt idx="8">
                  <c:v>120</c:v>
                </c:pt>
                <c:pt idx="9">
                  <c:v>150</c:v>
                </c:pt>
                <c:pt idx="10">
                  <c:v>22</c:v>
                </c:pt>
                <c:pt idx="11">
                  <c:v>39</c:v>
                </c:pt>
                <c:pt idx="12">
                  <c:v>77</c:v>
                </c:pt>
                <c:pt idx="13">
                  <c:v>118</c:v>
                </c:pt>
                <c:pt idx="14">
                  <c:v>147</c:v>
                </c:pt>
                <c:pt idx="15">
                  <c:v>21</c:v>
                </c:pt>
                <c:pt idx="16">
                  <c:v>40</c:v>
                </c:pt>
                <c:pt idx="17">
                  <c:v>76</c:v>
                </c:pt>
                <c:pt idx="18">
                  <c:v>120</c:v>
                </c:pt>
                <c:pt idx="19">
                  <c:v>150</c:v>
                </c:pt>
              </c:numCache>
            </c:numRef>
          </c:xVal>
          <c:yVal>
            <c:numRef>
              <c:f>Vinogradov0.5M!$F$2:$F$21</c:f>
              <c:numCache>
                <c:formatCode>General</c:formatCode>
                <c:ptCount val="20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  <c:pt idx="5">
                  <c:v>7.23</c:v>
                </c:pt>
                <c:pt idx="6">
                  <c:v>7.3</c:v>
                </c:pt>
                <c:pt idx="7">
                  <c:v>7.12</c:v>
                </c:pt>
                <c:pt idx="10">
                  <c:v>7.54</c:v>
                </c:pt>
                <c:pt idx="11">
                  <c:v>7.48</c:v>
                </c:pt>
                <c:pt idx="12">
                  <c:v>7.38</c:v>
                </c:pt>
                <c:pt idx="15">
                  <c:v>7.31</c:v>
                </c:pt>
                <c:pt idx="16">
                  <c:v>7.27</c:v>
                </c:pt>
                <c:pt idx="17">
                  <c:v>7.14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87-42D6-94C1-B9589014940F}"/>
            </c:ext>
          </c:extLst>
        </c:ser>
        <c:ser>
          <c:idx val="7"/>
          <c:order val="1"/>
          <c:tx>
            <c:v>0.01 M [Vinogradov and Jackson, 2015]</c:v>
          </c:tx>
          <c:spPr>
            <a:ln>
              <a:noFill/>
            </a:ln>
          </c:spPr>
          <c:marker>
            <c:symbol val="circle"/>
            <c:size val="14"/>
            <c:spPr>
              <a:solidFill>
                <a:sysClr val="windowText" lastClr="000000"/>
              </a:solidFill>
              <a:ln w="19050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2"/>
            <c:spPr>
              <a:ln w="2540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Vinogradov0.01M!$G$2:$G$22</c:f>
              <c:numCache>
                <c:formatCode>General</c:formatCode>
                <c:ptCount val="21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  <c:pt idx="5">
                  <c:v>22</c:v>
                </c:pt>
                <c:pt idx="6">
                  <c:v>39</c:v>
                </c:pt>
                <c:pt idx="7">
                  <c:v>78</c:v>
                </c:pt>
                <c:pt idx="8">
                  <c:v>118</c:v>
                </c:pt>
                <c:pt idx="9">
                  <c:v>147</c:v>
                </c:pt>
                <c:pt idx="10">
                  <c:v>21</c:v>
                </c:pt>
                <c:pt idx="11">
                  <c:v>43</c:v>
                </c:pt>
                <c:pt idx="12">
                  <c:v>82</c:v>
                </c:pt>
                <c:pt idx="13">
                  <c:v>118</c:v>
                </c:pt>
                <c:pt idx="14">
                  <c:v>146</c:v>
                </c:pt>
                <c:pt idx="15">
                  <c:v>22</c:v>
                </c:pt>
                <c:pt idx="16">
                  <c:v>38</c:v>
                </c:pt>
                <c:pt idx="17">
                  <c:v>70</c:v>
                </c:pt>
                <c:pt idx="18">
                  <c:v>78</c:v>
                </c:pt>
                <c:pt idx="19">
                  <c:v>118</c:v>
                </c:pt>
                <c:pt idx="20">
                  <c:v>147</c:v>
                </c:pt>
              </c:numCache>
            </c:numRef>
          </c:xVal>
          <c:yVal>
            <c:numRef>
              <c:f>Vinogradov0.01M!$F$2:$F$22</c:f>
              <c:numCache>
                <c:formatCode>General</c:formatCode>
                <c:ptCount val="21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  <c:pt idx="5">
                  <c:v>6.73</c:v>
                </c:pt>
                <c:pt idx="6">
                  <c:v>6.36</c:v>
                </c:pt>
                <c:pt idx="7">
                  <c:v>5.96</c:v>
                </c:pt>
                <c:pt idx="10">
                  <c:v>6.75</c:v>
                </c:pt>
                <c:pt idx="11">
                  <c:v>6.33</c:v>
                </c:pt>
                <c:pt idx="12">
                  <c:v>5.95</c:v>
                </c:pt>
                <c:pt idx="15">
                  <c:v>6.71</c:v>
                </c:pt>
                <c:pt idx="16">
                  <c:v>6.38</c:v>
                </c:pt>
                <c:pt idx="17">
                  <c:v>6.03</c:v>
                </c:pt>
                <c:pt idx="18">
                  <c:v>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87-42D6-94C1-B9589014940F}"/>
            </c:ext>
          </c:extLst>
        </c:ser>
        <c:ser>
          <c:idx val="3"/>
          <c:order val="2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87-42D6-94C1-B9589014940F}"/>
            </c:ext>
          </c:extLst>
        </c:ser>
        <c:ser>
          <c:idx val="4"/>
          <c:order val="3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'0.0001M'!$P$5:$P$35</c:f>
              <c:numCache>
                <c:formatCode>0.00000</c:formatCode>
                <c:ptCount val="31"/>
                <c:pt idx="0">
                  <c:v>7.7284690313493307</c:v>
                </c:pt>
                <c:pt idx="1">
                  <c:v>6.8672227111073116</c:v>
                </c:pt>
                <c:pt idx="2">
                  <c:v>6.6137814415534919</c:v>
                </c:pt>
                <c:pt idx="3">
                  <c:v>6.4501553484001066</c:v>
                </c:pt>
                <c:pt idx="4">
                  <c:v>6.2809602692331818</c:v>
                </c:pt>
                <c:pt idx="5">
                  <c:v>6.0786633702578996</c:v>
                </c:pt>
                <c:pt idx="6">
                  <c:v>5.849207648238445</c:v>
                </c:pt>
                <c:pt idx="7">
                  <c:v>5.6095786966141343</c:v>
                </c:pt>
                <c:pt idx="8">
                  <c:v>5.3737387179552956</c:v>
                </c:pt>
                <c:pt idx="9">
                  <c:v>5.1493756489503522</c:v>
                </c:pt>
                <c:pt idx="10">
                  <c:v>4.9395200372988608</c:v>
                </c:pt>
                <c:pt idx="11">
                  <c:v>4.7446320718388542</c:v>
                </c:pt>
                <c:pt idx="12">
                  <c:v>4.5639759870810348</c:v>
                </c:pt>
                <c:pt idx="13">
                  <c:v>4.3963561545827066</c:v>
                </c:pt>
                <c:pt idx="14">
                  <c:v>4.2404725256369975</c:v>
                </c:pt>
                <c:pt idx="15">
                  <c:v>4.0950780781756064</c:v>
                </c:pt>
                <c:pt idx="16">
                  <c:v>3.9590396525146097</c:v>
                </c:pt>
                <c:pt idx="17">
                  <c:v>3.8313537304727916</c:v>
                </c:pt>
                <c:pt idx="18">
                  <c:v>3.7111423826228536</c:v>
                </c:pt>
                <c:pt idx="19">
                  <c:v>3.5976414368813039</c:v>
                </c:pt>
                <c:pt idx="20">
                  <c:v>3.4901864747382572</c:v>
                </c:pt>
                <c:pt idx="21">
                  <c:v>3.3881991401026763</c:v>
                </c:pt>
                <c:pt idx="22">
                  <c:v>3.2911747516515613</c:v>
                </c:pt>
                <c:pt idx="23">
                  <c:v>3.1986715095053926</c:v>
                </c:pt>
                <c:pt idx="24">
                  <c:v>3.1103012734576732</c:v>
                </c:pt>
                <c:pt idx="25">
                  <c:v>3.025721763006703</c:v>
                </c:pt>
                <c:pt idx="26">
                  <c:v>2.9446299907772904</c:v>
                </c:pt>
                <c:pt idx="27">
                  <c:v>2.8667567422550402</c:v>
                </c:pt>
                <c:pt idx="28">
                  <c:v>2.7918619325073974</c:v>
                </c:pt>
                <c:pt idx="29">
                  <c:v>2.7197306934605097</c:v>
                </c:pt>
                <c:pt idx="30">
                  <c:v>2.6501700681824492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387-42D6-94C1-B9589014940F}"/>
            </c:ext>
          </c:extLst>
        </c:ser>
        <c:ser>
          <c:idx val="2"/>
          <c:order val="4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'0.001M'!$P$5:$P$35</c:f>
              <c:numCache>
                <c:formatCode>0.00000</c:formatCode>
                <c:ptCount val="31"/>
                <c:pt idx="0">
                  <c:v>7.671351773511998</c:v>
                </c:pt>
                <c:pt idx="1">
                  <c:v>7.0254170333304833</c:v>
                </c:pt>
                <c:pt idx="2">
                  <c:v>6.8353360811651189</c:v>
                </c:pt>
                <c:pt idx="3">
                  <c:v>6.7126165113000802</c:v>
                </c:pt>
                <c:pt idx="4">
                  <c:v>6.5857202019248868</c:v>
                </c:pt>
                <c:pt idx="5">
                  <c:v>6.4339975276934247</c:v>
                </c:pt>
                <c:pt idx="6">
                  <c:v>6.2619057361788339</c:v>
                </c:pt>
                <c:pt idx="7">
                  <c:v>6.0821840224606012</c:v>
                </c:pt>
                <c:pt idx="8">
                  <c:v>5.9053040384664719</c:v>
                </c:pt>
                <c:pt idx="9">
                  <c:v>5.7370317367127637</c:v>
                </c:pt>
                <c:pt idx="10">
                  <c:v>5.5796400279741452</c:v>
                </c:pt>
                <c:pt idx="11">
                  <c:v>5.4334740538791406</c:v>
                </c:pt>
                <c:pt idx="12">
                  <c:v>5.2979819903107765</c:v>
                </c:pt>
                <c:pt idx="13">
                  <c:v>5.1722671159370295</c:v>
                </c:pt>
                <c:pt idx="14">
                  <c:v>5.0553543942277477</c:v>
                </c:pt>
                <c:pt idx="15">
                  <c:v>4.9463085586317046</c:v>
                </c:pt>
                <c:pt idx="16">
                  <c:v>4.8442797393859571</c:v>
                </c:pt>
                <c:pt idx="17">
                  <c:v>4.7485152978545937</c:v>
                </c:pt>
                <c:pt idx="18">
                  <c:v>4.6583567869671398</c:v>
                </c:pt>
                <c:pt idx="19">
                  <c:v>4.5732310776609779</c:v>
                </c:pt>
                <c:pt idx="20">
                  <c:v>4.4926398560536924</c:v>
                </c:pt>
                <c:pt idx="21">
                  <c:v>4.4161493550770068</c:v>
                </c:pt>
                <c:pt idx="22">
                  <c:v>4.3433810637386712</c:v>
                </c:pt>
                <c:pt idx="23">
                  <c:v>4.2740036321290447</c:v>
                </c:pt>
                <c:pt idx="24">
                  <c:v>4.2077259550932542</c:v>
                </c:pt>
                <c:pt idx="25">
                  <c:v>4.1442913222550271</c:v>
                </c:pt>
                <c:pt idx="26">
                  <c:v>4.0834724930829669</c:v>
                </c:pt>
                <c:pt idx="27">
                  <c:v>4.0250675566912797</c:v>
                </c:pt>
                <c:pt idx="28">
                  <c:v>3.9688964493805474</c:v>
                </c:pt>
                <c:pt idx="29">
                  <c:v>3.914798020095382</c:v>
                </c:pt>
                <c:pt idx="30">
                  <c:v>3.8626275511368369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387-42D6-94C1-B9589014940F}"/>
            </c:ext>
          </c:extLst>
        </c:ser>
        <c:ser>
          <c:idx val="6"/>
          <c:order val="5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387-42D6-94C1-B9589014940F}"/>
            </c:ext>
          </c:extLst>
        </c:ser>
        <c:ser>
          <c:idx val="1"/>
          <c:order val="6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'0.1M'!$P$5:$P$35</c:f>
              <c:numCache>
                <c:formatCode>0.00000</c:formatCode>
                <c:ptCount val="31"/>
                <c:pt idx="0">
                  <c:v>7.5571172578373327</c:v>
                </c:pt>
                <c:pt idx="1">
                  <c:v>7.3418056777768275</c:v>
                </c:pt>
                <c:pt idx="2">
                  <c:v>7.278445360388373</c:v>
                </c:pt>
                <c:pt idx="3">
                  <c:v>7.2375388371000264</c:v>
                </c:pt>
                <c:pt idx="4">
                  <c:v>7.1952400673082959</c:v>
                </c:pt>
                <c:pt idx="5">
                  <c:v>7.1446658425644749</c:v>
                </c:pt>
                <c:pt idx="6">
                  <c:v>7.087301912059611</c:v>
                </c:pt>
                <c:pt idx="7">
                  <c:v>7.027394674153534</c:v>
                </c:pt>
                <c:pt idx="8">
                  <c:v>6.9684346794888237</c:v>
                </c:pt>
                <c:pt idx="9">
                  <c:v>6.9123439122375876</c:v>
                </c:pt>
                <c:pt idx="10">
                  <c:v>6.8598800093247148</c:v>
                </c:pt>
                <c:pt idx="11">
                  <c:v>6.8111580179597135</c:v>
                </c:pt>
                <c:pt idx="12">
                  <c:v>6.7659939967702591</c:v>
                </c:pt>
                <c:pt idx="13">
                  <c:v>6.7240890386456762</c:v>
                </c:pt>
                <c:pt idx="14">
                  <c:v>6.6851181314092489</c:v>
                </c:pt>
                <c:pt idx="15">
                  <c:v>6.6487695195439018</c:v>
                </c:pt>
                <c:pt idx="16">
                  <c:v>6.6147599131286521</c:v>
                </c:pt>
                <c:pt idx="17">
                  <c:v>6.5828384326181979</c:v>
                </c:pt>
                <c:pt idx="18">
                  <c:v>6.5527855956557133</c:v>
                </c:pt>
                <c:pt idx="19">
                  <c:v>6.524410359220326</c:v>
                </c:pt>
                <c:pt idx="20">
                  <c:v>6.4975466186845647</c:v>
                </c:pt>
                <c:pt idx="21">
                  <c:v>6.4720497850256695</c:v>
                </c:pt>
                <c:pt idx="22">
                  <c:v>6.4477936879128901</c:v>
                </c:pt>
                <c:pt idx="23">
                  <c:v>6.4246678773763479</c:v>
                </c:pt>
                <c:pt idx="24">
                  <c:v>6.4025753183644181</c:v>
                </c:pt>
                <c:pt idx="25">
                  <c:v>6.381430440751676</c:v>
                </c:pt>
                <c:pt idx="26">
                  <c:v>6.3611574976943226</c:v>
                </c:pt>
                <c:pt idx="27">
                  <c:v>6.3416891855637605</c:v>
                </c:pt>
                <c:pt idx="28">
                  <c:v>6.3229654831268496</c:v>
                </c:pt>
                <c:pt idx="29">
                  <c:v>6.3049326733651272</c:v>
                </c:pt>
                <c:pt idx="30">
                  <c:v>6.2875425170456118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387-42D6-94C1-B9589014940F}"/>
            </c:ext>
          </c:extLst>
        </c:ser>
        <c:ser>
          <c:idx val="5"/>
          <c:order val="7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E387-42D6-94C1-B9589014940F}"/>
            </c:ext>
          </c:extLst>
        </c:ser>
        <c:ser>
          <c:idx val="0"/>
          <c:order val="8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'1M'!$P$5:$P$35</c:f>
              <c:numCache>
                <c:formatCode>0.00000</c:formatCode>
                <c:ptCount val="31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E387-42D6-94C1-B9589014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12864"/>
        <c:axId val="235513256"/>
      </c:scatterChart>
      <c:valAx>
        <c:axId val="235512864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3256"/>
        <c:crossesAt val="0"/>
        <c:crossBetween val="midCat"/>
        <c:majorUnit val="20"/>
        <c:minorUnit val="10"/>
      </c:valAx>
      <c:valAx>
        <c:axId val="235513256"/>
        <c:scaling>
          <c:orientation val="minMax"/>
          <c:max val="8"/>
          <c:min val="1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pH (-)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7059055076665806E-2"/>
              <c:y val="0.243011108108752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2864"/>
        <c:crossesAt val="1.0000000000000192E-6"/>
        <c:crossBetween val="midCat"/>
        <c:majorUnit val="1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1754167330863024"/>
          <c:y val="0.6866851489184157"/>
          <c:w val="0.74818815379479187"/>
          <c:h val="0.16728043221802738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3.533225875306719E-2"/>
          <c:w val="0.76695217054702691"/>
          <c:h val="0.83170153340642072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'1e-5M'!$S$5:$S$35</c:f>
              <c:numCache>
                <c:formatCode>General</c:formatCode>
                <c:ptCount val="31"/>
                <c:pt idx="0">
                  <c:v>9.7227545089137452E-8</c:v>
                </c:pt>
                <c:pt idx="1">
                  <c:v>9.6145642756041906E-8</c:v>
                </c:pt>
                <c:pt idx="2">
                  <c:v>9.4934829342391494E-8</c:v>
                </c:pt>
                <c:pt idx="3">
                  <c:v>9.3595060230690129E-8</c:v>
                </c:pt>
                <c:pt idx="4">
                  <c:v>9.1600582528469249E-8</c:v>
                </c:pt>
                <c:pt idx="5">
                  <c:v>8.807061602283113E-8</c:v>
                </c:pt>
                <c:pt idx="6">
                  <c:v>8.1919842530287826E-8</c:v>
                </c:pt>
                <c:pt idx="7">
                  <c:v>7.257321834632924E-8</c:v>
                </c:pt>
                <c:pt idx="8">
                  <c:v>6.0921007061736875E-8</c:v>
                </c:pt>
                <c:pt idx="9">
                  <c:v>4.8999094355282846E-8</c:v>
                </c:pt>
                <c:pt idx="10">
                  <c:v>3.8505739581845083E-8</c:v>
                </c:pt>
                <c:pt idx="11">
                  <c:v>3.0074731980015975E-8</c:v>
                </c:pt>
                <c:pt idx="12">
                  <c:v>2.3595787568162245E-8</c:v>
                </c:pt>
                <c:pt idx="13">
                  <c:v>1.8694448698131463E-8</c:v>
                </c:pt>
                <c:pt idx="14">
                  <c:v>1.4987097569941866E-8</c:v>
                </c:pt>
                <c:pt idx="15">
                  <c:v>1.2161795036938277E-8</c:v>
                </c:pt>
                <c:pt idx="16">
                  <c:v>9.9852035172870525E-9</c:v>
                </c:pt>
                <c:pt idx="17">
                  <c:v>8.2881170292129293E-9</c:v>
                </c:pt>
                <c:pt idx="18">
                  <c:v>6.9488241525972314E-9</c:v>
                </c:pt>
                <c:pt idx="19">
                  <c:v>5.8795352780552014E-9</c:v>
                </c:pt>
                <c:pt idx="20">
                  <c:v>5.016422281530396E-9</c:v>
                </c:pt>
                <c:pt idx="21">
                  <c:v>4.3125955858739732E-9</c:v>
                </c:pt>
                <c:pt idx="22">
                  <c:v>3.7332182551065089E-9</c:v>
                </c:pt>
                <c:pt idx="23">
                  <c:v>3.2521100960560569E-9</c:v>
                </c:pt>
                <c:pt idx="24">
                  <c:v>2.8493749421156316E-9</c:v>
                </c:pt>
                <c:pt idx="25">
                  <c:v>2.5097288614315685E-9</c:v>
                </c:pt>
                <c:pt idx="26">
                  <c:v>2.2213104976155404E-9</c:v>
                </c:pt>
                <c:pt idx="27">
                  <c:v>1.9748255351547783E-9</c:v>
                </c:pt>
                <c:pt idx="28">
                  <c:v>1.762924858567966E-9</c:v>
                </c:pt>
                <c:pt idx="29">
                  <c:v>1.5797478046591913E-9</c:v>
                </c:pt>
                <c:pt idx="30">
                  <c:v>1.4205832485160639E-9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9E-463D-8268-F4BE2FFFDEFC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'0.0001M'!$S$5:$S$35</c:f>
              <c:numCache>
                <c:formatCode>General</c:formatCode>
                <c:ptCount val="31"/>
                <c:pt idx="0">
                  <c:v>3.07681459136287E-8</c:v>
                </c:pt>
                <c:pt idx="1">
                  <c:v>3.067853558163856E-8</c:v>
                </c:pt>
                <c:pt idx="2">
                  <c:v>3.058595232479993E-8</c:v>
                </c:pt>
                <c:pt idx="3">
                  <c:v>3.0488585211063868E-8</c:v>
                </c:pt>
                <c:pt idx="4">
                  <c:v>3.037850789361235E-8</c:v>
                </c:pt>
                <c:pt idx="5">
                  <c:v>3.02434355248331E-8</c:v>
                </c:pt>
                <c:pt idx="6">
                  <c:v>3.0064988466555046E-8</c:v>
                </c:pt>
                <c:pt idx="7">
                  <c:v>2.981690334357817E-8</c:v>
                </c:pt>
                <c:pt idx="8">
                  <c:v>2.9464946378045825E-8</c:v>
                </c:pt>
                <c:pt idx="9">
                  <c:v>2.8969479605504543E-8</c:v>
                </c:pt>
                <c:pt idx="10">
                  <c:v>2.8291150832588594E-8</c:v>
                </c:pt>
                <c:pt idx="11">
                  <c:v>2.739935500772277E-8</c:v>
                </c:pt>
                <c:pt idx="12">
                  <c:v>2.6281573350680553E-8</c:v>
                </c:pt>
                <c:pt idx="13">
                  <c:v>2.4950147427504962E-8</c:v>
                </c:pt>
                <c:pt idx="14">
                  <c:v>2.3443010799164091E-8</c:v>
                </c:pt>
                <c:pt idx="15">
                  <c:v>2.1817257507521646E-8</c:v>
                </c:pt>
                <c:pt idx="16">
                  <c:v>2.0137941323234541E-8</c:v>
                </c:pt>
                <c:pt idx="17">
                  <c:v>1.8466570206057412E-8</c:v>
                </c:pt>
                <c:pt idx="18">
                  <c:v>1.6853032119356451E-8</c:v>
                </c:pt>
                <c:pt idx="19">
                  <c:v>1.5332249586960932E-8</c:v>
                </c:pt>
                <c:pt idx="20">
                  <c:v>1.3924705096761696E-8</c:v>
                </c:pt>
                <c:pt idx="21">
                  <c:v>1.2639116645885213E-8</c:v>
                </c:pt>
                <c:pt idx="22">
                  <c:v>1.1475743055376022E-8</c:v>
                </c:pt>
                <c:pt idx="23">
                  <c:v>1.0429402300017266E-8</c:v>
                </c:pt>
                <c:pt idx="24">
                  <c:v>9.4918311776441691E-9</c:v>
                </c:pt>
                <c:pt idx="25">
                  <c:v>8.6533493735187676E-9</c:v>
                </c:pt>
                <c:pt idx="26">
                  <c:v>7.9039406991626568E-9</c:v>
                </c:pt>
                <c:pt idx="27">
                  <c:v>7.2339018142871055E-9</c:v>
                </c:pt>
                <c:pt idx="28">
                  <c:v>6.6341943423878365E-9</c:v>
                </c:pt>
                <c:pt idx="29">
                  <c:v>6.0966054884902962E-9</c:v>
                </c:pt>
                <c:pt idx="30">
                  <c:v>5.613791634627082E-9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39E-463D-8268-F4BE2FFFDEFC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'0.001M'!$S$5:$S$35</c:f>
              <c:numCache>
                <c:formatCode>General</c:formatCode>
                <c:ptCount val="31"/>
                <c:pt idx="0">
                  <c:v>9.7298981181998271E-9</c:v>
                </c:pt>
                <c:pt idx="1">
                  <c:v>9.7068674827307167E-9</c:v>
                </c:pt>
                <c:pt idx="2">
                  <c:v>9.6825048347366283E-9</c:v>
                </c:pt>
                <c:pt idx="3">
                  <c:v>9.6567944956330016E-9</c:v>
                </c:pt>
                <c:pt idx="4">
                  <c:v>9.6296932901383352E-9</c:v>
                </c:pt>
                <c:pt idx="5">
                  <c:v>9.6011427942996836E-9</c:v>
                </c:pt>
                <c:pt idx="6">
                  <c:v>9.5710677986735731E-9</c:v>
                </c:pt>
                <c:pt idx="7">
                  <c:v>9.5393751884620041E-9</c:v>
                </c:pt>
                <c:pt idx="8">
                  <c:v>9.505955336020966E-9</c:v>
                </c:pt>
                <c:pt idx="9">
                  <c:v>9.4706846991259923E-9</c:v>
                </c:pt>
                <c:pt idx="10">
                  <c:v>9.4334284402935989E-9</c:v>
                </c:pt>
                <c:pt idx="11">
                  <c:v>9.3940427302051138E-9</c:v>
                </c:pt>
                <c:pt idx="12">
                  <c:v>9.3523767861515715E-9</c:v>
                </c:pt>
                <c:pt idx="13">
                  <c:v>9.3082747611537088E-9</c:v>
                </c:pt>
                <c:pt idx="14">
                  <c:v>9.2615775725425815E-9</c:v>
                </c:pt>
                <c:pt idx="15">
                  <c:v>9.2121247247477551E-9</c:v>
                </c:pt>
                <c:pt idx="16">
                  <c:v>9.1597561557313473E-9</c:v>
                </c:pt>
                <c:pt idx="17">
                  <c:v>9.104314118918222E-9</c:v>
                </c:pt>
                <c:pt idx="18">
                  <c:v>9.0456450997442719E-9</c:v>
                </c:pt>
                <c:pt idx="19">
                  <c:v>8.9836017561065492E-9</c:v>
                </c:pt>
                <c:pt idx="20">
                  <c:v>8.9180448639839178E-9</c:v>
                </c:pt>
                <c:pt idx="21">
                  <c:v>8.8488452428146111E-9</c:v>
                </c:pt>
                <c:pt idx="22">
                  <c:v>8.775885629706971E-9</c:v>
                </c:pt>
                <c:pt idx="23">
                  <c:v>8.6990624672413936E-9</c:v>
                </c:pt>
                <c:pt idx="24">
                  <c:v>8.6182875666060359E-9</c:v>
                </c:pt>
                <c:pt idx="25">
                  <c:v>8.5334896062379526E-9</c:v>
                </c:pt>
                <c:pt idx="26">
                  <c:v>8.4446154261481456E-9</c:v>
                </c:pt>
                <c:pt idx="27">
                  <c:v>8.3516310797846298E-9</c:v>
                </c:pt>
                <c:pt idx="28">
                  <c:v>8.2545226086578895E-9</c:v>
                </c:pt>
                <c:pt idx="29">
                  <c:v>8.1532965099604098E-9</c:v>
                </c:pt>
                <c:pt idx="30">
                  <c:v>8.0479798739064806E-9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39E-463D-8268-F4BE2FFFDEFC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'0.01M'!$S$5:$S$35</c:f>
              <c:numCache>
                <c:formatCode>General</c:formatCode>
                <c:ptCount val="31"/>
                <c:pt idx="0">
                  <c:v>3.0748407067480707E-9</c:v>
                </c:pt>
                <c:pt idx="1">
                  <c:v>3.0676209649963214E-9</c:v>
                </c:pt>
                <c:pt idx="2">
                  <c:v>3.0599493836857573E-9</c:v>
                </c:pt>
                <c:pt idx="3">
                  <c:v>3.0518450595575765E-9</c:v>
                </c:pt>
                <c:pt idx="4">
                  <c:v>3.0433267473653258E-9</c:v>
                </c:pt>
                <c:pt idx="5">
                  <c:v>3.034412227403147E-9</c:v>
                </c:pt>
                <c:pt idx="6">
                  <c:v>3.0251182723506892E-9</c:v>
                </c:pt>
                <c:pt idx="7">
                  <c:v>3.0154605966689234E-9</c:v>
                </c:pt>
                <c:pt idx="8">
                  <c:v>3.0054537646633085E-9</c:v>
                </c:pt>
                <c:pt idx="9">
                  <c:v>2.9951111103760828E-9</c:v>
                </c:pt>
                <c:pt idx="10">
                  <c:v>2.9844446863948099E-9</c:v>
                </c:pt>
                <c:pt idx="11">
                  <c:v>2.9734652323866652E-9</c:v>
                </c:pt>
                <c:pt idx="12">
                  <c:v>2.9621821524782555E-9</c:v>
                </c:pt>
                <c:pt idx="13">
                  <c:v>2.9506034952128597E-9</c:v>
                </c:pt>
                <c:pt idx="14">
                  <c:v>2.9387359331690427E-9</c:v>
                </c:pt>
                <c:pt idx="15">
                  <c:v>2.9265847409717181E-9</c:v>
                </c:pt>
                <c:pt idx="16">
                  <c:v>2.9141537711338495E-9</c:v>
                </c:pt>
                <c:pt idx="17">
                  <c:v>2.901445427449912E-9</c:v>
                </c:pt>
                <c:pt idx="18">
                  <c:v>2.8884606357642138E-9</c:v>
                </c:pt>
                <c:pt idx="19">
                  <c:v>2.8751988119615662E-9</c:v>
                </c:pt>
                <c:pt idx="20">
                  <c:v>2.8616578270168995E-9</c:v>
                </c:pt>
                <c:pt idx="21">
                  <c:v>2.8478339689117432E-9</c:v>
                </c:pt>
                <c:pt idx="22">
                  <c:v>2.8337219011857773E-9</c:v>
                </c:pt>
                <c:pt idx="23">
                  <c:v>2.819314617843379E-9</c:v>
                </c:pt>
                <c:pt idx="24">
                  <c:v>2.8046033942788577E-9</c:v>
                </c:pt>
                <c:pt idx="25">
                  <c:v>2.7895777338192255E-9</c:v>
                </c:pt>
                <c:pt idx="26">
                  <c:v>2.774225309408976E-9</c:v>
                </c:pt>
                <c:pt idx="27">
                  <c:v>2.7585318998757647E-9</c:v>
                </c:pt>
                <c:pt idx="28">
                  <c:v>2.7424813201172739E-9</c:v>
                </c:pt>
                <c:pt idx="29">
                  <c:v>2.7260553444353692E-9</c:v>
                </c:pt>
                <c:pt idx="30">
                  <c:v>2.7092336221109903E-9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39E-463D-8268-F4BE2FFFDEFC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'0.1M'!$S$5:$S$35</c:f>
              <c:numCache>
                <c:formatCode>General</c:formatCode>
                <c:ptCount val="31"/>
                <c:pt idx="0">
                  <c:v>9.6589004818342253E-10</c:v>
                </c:pt>
                <c:pt idx="1">
                  <c:v>9.6347462719336205E-10</c:v>
                </c:pt>
                <c:pt idx="2">
                  <c:v>9.609137802255269E-10</c:v>
                </c:pt>
                <c:pt idx="3">
                  <c:v>9.5821420830319312E-10</c:v>
                </c:pt>
                <c:pt idx="4">
                  <c:v>9.5538221780566543E-10</c:v>
                </c:pt>
                <c:pt idx="5">
                  <c:v>9.5242370115295499E-10</c:v>
                </c:pt>
                <c:pt idx="6">
                  <c:v>9.493441362685078E-10</c:v>
                </c:pt>
                <c:pt idx="7">
                  <c:v>9.4614858520239382E-10</c:v>
                </c:pt>
                <c:pt idx="8">
                  <c:v>9.4284169178775248E-10</c:v>
                </c:pt>
                <c:pt idx="9">
                  <c:v>9.3942767918462732E-10</c:v>
                </c:pt>
                <c:pt idx="10">
                  <c:v>9.3591034715377267E-10</c:v>
                </c:pt>
                <c:pt idx="11">
                  <c:v>9.3229306866045702E-10</c:v>
                </c:pt>
                <c:pt idx="12">
                  <c:v>9.2857878560557342E-10</c:v>
                </c:pt>
                <c:pt idx="13">
                  <c:v>9.2477000363188703E-10</c:v>
                </c:pt>
                <c:pt idx="14">
                  <c:v>9.2086878600631248E-10</c:v>
                </c:pt>
                <c:pt idx="15">
                  <c:v>9.1687674658633505E-10</c:v>
                </c:pt>
                <c:pt idx="16">
                  <c:v>9.1279504187117811E-10</c:v>
                </c:pt>
                <c:pt idx="17">
                  <c:v>9.0862436212699568E-10</c:v>
                </c:pt>
                <c:pt idx="18">
                  <c:v>9.0436492156314126E-10</c:v>
                </c:pt>
                <c:pt idx="19">
                  <c:v>9.0001644752380326E-10</c:v>
                </c:pt>
                <c:pt idx="20">
                  <c:v>8.9557816864576248E-10</c:v>
                </c:pt>
                <c:pt idx="21">
                  <c:v>8.9104880191836188E-10</c:v>
                </c:pt>
                <c:pt idx="22">
                  <c:v>8.8642653856560657E-10</c:v>
                </c:pt>
                <c:pt idx="23">
                  <c:v>8.8170902865219674E-10</c:v>
                </c:pt>
                <c:pt idx="24">
                  <c:v>8.768933642949141E-10</c:v>
                </c:pt>
                <c:pt idx="25">
                  <c:v>8.7197606133756475E-10</c:v>
                </c:pt>
                <c:pt idx="26">
                  <c:v>8.6695303932118311E-10</c:v>
                </c:pt>
                <c:pt idx="27">
                  <c:v>8.6181959955070455E-10</c:v>
                </c:pt>
                <c:pt idx="28">
                  <c:v>8.5657040102412021E-10</c:v>
                </c:pt>
                <c:pt idx="29">
                  <c:v>8.5119943394924165E-10</c:v>
                </c:pt>
                <c:pt idx="30">
                  <c:v>8.4569999052555576E-10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39E-463D-8268-F4BE2FFFDEFC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'0.5M'!$S$5:$S$35</c:f>
              <c:numCache>
                <c:formatCode>General</c:formatCode>
                <c:ptCount val="31"/>
                <c:pt idx="0">
                  <c:v>4.194047500381159E-10</c:v>
                </c:pt>
                <c:pt idx="1">
                  <c:v>4.1805822430606573E-10</c:v>
                </c:pt>
                <c:pt idx="2">
                  <c:v>4.1664304549825585E-10</c:v>
                </c:pt>
                <c:pt idx="3">
                  <c:v>4.1516216144450928E-10</c:v>
                </c:pt>
                <c:pt idx="4">
                  <c:v>4.1361832867339159E-10</c:v>
                </c:pt>
                <c:pt idx="5">
                  <c:v>4.1201411251211238E-10</c:v>
                </c:pt>
                <c:pt idx="6">
                  <c:v>4.1035188727072116E-10</c:v>
                </c:pt>
                <c:pt idx="7">
                  <c:v>4.086338358816932E-10</c:v>
                </c:pt>
                <c:pt idx="8">
                  <c:v>4.0686194901084096E-10</c:v>
                </c:pt>
                <c:pt idx="9">
                  <c:v>4.0503802366741066E-10</c:v>
                </c:pt>
                <c:pt idx="10">
                  <c:v>4.0316366131469409E-10</c:v>
                </c:pt>
                <c:pt idx="11">
                  <c:v>4.0124026547942555E-10</c:v>
                </c:pt>
                <c:pt idx="12">
                  <c:v>3.9926903886126343E-10</c:v>
                </c:pt>
                <c:pt idx="13">
                  <c:v>3.9725097994259705E-10</c:v>
                </c:pt>
                <c:pt idx="14">
                  <c:v>3.9518687909497152E-10</c:v>
                </c:pt>
                <c:pt idx="15">
                  <c:v>3.9307731417334468E-10</c:v>
                </c:pt>
                <c:pt idx="16">
                  <c:v>3.9092264558378078E-10</c:v>
                </c:pt>
                <c:pt idx="17">
                  <c:v>3.8872301080409027E-10</c:v>
                </c:pt>
                <c:pt idx="18">
                  <c:v>3.8647831833021972E-10</c:v>
                </c:pt>
                <c:pt idx="19">
                  <c:v>3.8418824101372412E-10</c:v>
                </c:pt>
                <c:pt idx="20">
                  <c:v>3.8185220874723238E-10</c:v>
                </c:pt>
                <c:pt idx="21">
                  <c:v>3.794694004452569E-10</c:v>
                </c:pt>
                <c:pt idx="22">
                  <c:v>3.7703873525676759E-10</c:v>
                </c:pt>
                <c:pt idx="23">
                  <c:v>3.7455886293336059E-10</c:v>
                </c:pt>
                <c:pt idx="24">
                  <c:v>3.7202815326231507E-10</c:v>
                </c:pt>
                <c:pt idx="25">
                  <c:v>3.6944468445691183E-10</c:v>
                </c:pt>
                <c:pt idx="26">
                  <c:v>3.6680623037665251E-10</c:v>
                </c:pt>
                <c:pt idx="27">
                  <c:v>3.6411024642684587E-10</c:v>
                </c:pt>
                <c:pt idx="28">
                  <c:v>3.6135385395972707E-10</c:v>
                </c:pt>
                <c:pt idx="29">
                  <c:v>3.5853382296692652E-10</c:v>
                </c:pt>
                <c:pt idx="30">
                  <c:v>3.55646552814612E-10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39E-463D-8268-F4BE2FFFDEFC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'1M'!$S$5:$S$35</c:f>
              <c:numCache>
                <c:formatCode>General</c:formatCode>
                <c:ptCount val="31"/>
                <c:pt idx="0">
                  <c:v>2.8594431784052017E-10</c:v>
                </c:pt>
                <c:pt idx="1">
                  <c:v>2.8475794305917838E-10</c:v>
                </c:pt>
                <c:pt idx="2">
                  <c:v>2.8351935688254442E-10</c:v>
                </c:pt>
                <c:pt idx="3">
                  <c:v>2.8223055728297078E-10</c:v>
                </c:pt>
                <c:pt idx="4">
                  <c:v>2.8089340238319099E-10</c:v>
                </c:pt>
                <c:pt idx="5">
                  <c:v>2.7950961051310775E-10</c:v>
                </c:pt>
                <c:pt idx="6">
                  <c:v>2.780807597880373E-10</c:v>
                </c:pt>
                <c:pt idx="7">
                  <c:v>2.7660828722117402E-10</c:v>
                </c:pt>
                <c:pt idx="8">
                  <c:v>2.7509348737903316E-10</c:v>
                </c:pt>
                <c:pt idx="9">
                  <c:v>2.7353751058466671E-10</c:v>
                </c:pt>
                <c:pt idx="10">
                  <c:v>2.719413606694367E-10</c:v>
                </c:pt>
                <c:pt idx="11">
                  <c:v>2.7030589226998591E-10</c:v>
                </c:pt>
                <c:pt idx="12">
                  <c:v>2.6863180766269492E-10</c:v>
                </c:pt>
                <c:pt idx="13">
                  <c:v>2.6691965312322817E-10</c:v>
                </c:pt>
                <c:pt idx="14">
                  <c:v>2.6516981479368402E-10</c:v>
                </c:pt>
                <c:pt idx="15">
                  <c:v>2.6338251403422529E-10</c:v>
                </c:pt>
                <c:pt idx="16">
                  <c:v>2.6155780222975452E-10</c:v>
                </c:pt>
                <c:pt idx="17">
                  <c:v>2.5969555501506021E-10</c:v>
                </c:pt>
                <c:pt idx="18">
                  <c:v>2.5779546587369664E-10</c:v>
                </c:pt>
                <c:pt idx="19">
                  <c:v>2.5585703905647486E-10</c:v>
                </c:pt>
                <c:pt idx="20">
                  <c:v>2.5387958175454587E-10</c:v>
                </c:pt>
                <c:pt idx="21">
                  <c:v>2.5186219544936003E-10</c:v>
                </c:pt>
                <c:pt idx="22">
                  <c:v>2.4980376634688912E-10</c:v>
                </c:pt>
                <c:pt idx="23">
                  <c:v>2.4770295478591709E-10</c:v>
                </c:pt>
                <c:pt idx="24">
                  <c:v>2.4555818348938489E-10</c:v>
                </c:pt>
                <c:pt idx="25">
                  <c:v>2.4336762450294699E-10</c:v>
                </c:pt>
                <c:pt idx="26">
                  <c:v>2.4112918463518648E-10</c:v>
                </c:pt>
                <c:pt idx="27">
                  <c:v>2.3884048917815412E-10</c:v>
                </c:pt>
                <c:pt idx="28">
                  <c:v>2.3649886364360719E-10</c:v>
                </c:pt>
                <c:pt idx="29">
                  <c:v>2.3410131319763152E-10</c:v>
                </c:pt>
                <c:pt idx="30">
                  <c:v>2.3164449941183682E-10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39E-463D-8268-F4BE2FFFD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14040"/>
        <c:axId val="204440000"/>
      </c:scatterChart>
      <c:valAx>
        <c:axId val="235514040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0000"/>
        <c:crossesAt val="0"/>
        <c:crossBetween val="midCat"/>
        <c:majorUnit val="20"/>
        <c:minorUnit val="10"/>
      </c:valAx>
      <c:valAx>
        <c:axId val="204440000"/>
        <c:scaling>
          <c:logBase val="10"/>
          <c:orientation val="minMax"/>
          <c:max val="1.0000000000000004E-6"/>
          <c:min val="1.0000000000000006E-1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800">
                    <a:latin typeface="Arial" pitchFamily="34" charset="0"/>
                    <a:cs typeface="Arial" pitchFamily="34" charset="0"/>
                  </a:rPr>
                  <a:t>Debye length (m)</a:t>
                </a:r>
              </a:p>
            </c:rich>
          </c:tx>
          <c:layout>
            <c:manualLayout>
              <c:xMode val="edge"/>
              <c:yMode val="edge"/>
              <c:x val="9.604561299559073E-3"/>
              <c:y val="0.21725728926861687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404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26255490898755424"/>
          <c:y val="5.0594055139850026E-2"/>
          <c:w val="0.66028085730956865"/>
          <c:h val="0.11007400167197036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6988826489442"/>
          <c:y val="2.0424744204271771E-2"/>
          <c:w val="0.59763309218355054"/>
          <c:h val="0.83462715010167166"/>
        </c:manualLayout>
      </c:layout>
      <c:scatterChart>
        <c:scatterStyle val="lineMarker"/>
        <c:varyColors val="0"/>
        <c:ser>
          <c:idx val="3"/>
          <c:order val="0"/>
          <c:tx>
            <c:v>0.00001 M, pH variable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'1e-5M'!$X$5:$X$35</c:f>
              <c:numCache>
                <c:formatCode>0.00</c:formatCode>
                <c:ptCount val="31"/>
                <c:pt idx="0">
                  <c:v>-147.33194815284907</c:v>
                </c:pt>
                <c:pt idx="1">
                  <c:v>-112.10186901411313</c:v>
                </c:pt>
                <c:pt idx="2">
                  <c:v>-102.50303676519935</c:v>
                </c:pt>
                <c:pt idx="3">
                  <c:v>-96.543449000932128</c:v>
                </c:pt>
                <c:pt idx="4">
                  <c:v>-89.930057992892102</c:v>
                </c:pt>
                <c:pt idx="5">
                  <c:v>-81.157770761279124</c:v>
                </c:pt>
                <c:pt idx="6">
                  <c:v>-70.140506640420881</c:v>
                </c:pt>
                <c:pt idx="7">
                  <c:v>-57.361201536748077</c:v>
                </c:pt>
                <c:pt idx="8">
                  <c:v>-43.456535143601883</c:v>
                </c:pt>
                <c:pt idx="9">
                  <c:v>-29.172885954746423</c:v>
                </c:pt>
                <c:pt idx="10">
                  <c:v>-15.267902775603602</c:v>
                </c:pt>
                <c:pt idx="11">
                  <c:v>-2.3599446900008516</c:v>
                </c:pt>
                <c:pt idx="12">
                  <c:v>9.1209617933186387</c:v>
                </c:pt>
                <c:pt idx="13">
                  <c:v>18.901829027636431</c:v>
                </c:pt>
                <c:pt idx="14">
                  <c:v>26.82429553921175</c:v>
                </c:pt>
                <c:pt idx="15">
                  <c:v>32.817309100937536</c:v>
                </c:pt>
                <c:pt idx="16">
                  <c:v>36.883739392631668</c:v>
                </c:pt>
                <c:pt idx="17">
                  <c:v>39.094009001589313</c:v>
                </c:pt>
                <c:pt idx="18">
                  <c:v>39.581257667927396</c:v>
                </c:pt>
                <c:pt idx="19">
                  <c:v>38.534816133633932</c:v>
                </c:pt>
                <c:pt idx="20">
                  <c:v>36.190524464276628</c:v>
                </c:pt>
                <c:pt idx="21">
                  <c:v>32.817682891609167</c:v>
                </c:pt>
                <c:pt idx="22">
                  <c:v>28.703317486823718</c:v>
                </c:pt>
                <c:pt idx="23">
                  <c:v>24.135052437259628</c:v>
                </c:pt>
                <c:pt idx="24">
                  <c:v>19.384218268555887</c:v>
                </c:pt>
                <c:pt idx="25">
                  <c:v>14.690885116705315</c:v>
                </c:pt>
                <c:pt idx="26">
                  <c:v>10.252300336733621</c:v>
                </c:pt>
                <c:pt idx="27">
                  <c:v>6.2157707138631286</c:v>
                </c:pt>
                <c:pt idx="28">
                  <c:v>2.6764373591794519</c:v>
                </c:pt>
                <c:pt idx="29">
                  <c:v>-0.32025138420702437</c:v>
                </c:pt>
                <c:pt idx="30">
                  <c:v>-2.7721461509409853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D0-4BD5-A4AF-466828D2C054}"/>
            </c:ext>
          </c:extLst>
        </c:ser>
        <c:ser>
          <c:idx val="4"/>
          <c:order val="1"/>
          <c:tx>
            <c:v>0.0001 M, pH variable</c:v>
          </c:tx>
          <c:spPr>
            <a:ln w="3810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'0.0001M'!$X$5:$X$35</c:f>
              <c:numCache>
                <c:formatCode>0.00</c:formatCode>
                <c:ptCount val="31"/>
                <c:pt idx="0">
                  <c:v>-115.78381723007278</c:v>
                </c:pt>
                <c:pt idx="1">
                  <c:v>-90.773341525529332</c:v>
                </c:pt>
                <c:pt idx="2">
                  <c:v>-84.156977014574679</c:v>
                </c:pt>
                <c:pt idx="3">
                  <c:v>-80.169718649077836</c:v>
                </c:pt>
                <c:pt idx="4">
                  <c:v>-75.813807052445938</c:v>
                </c:pt>
                <c:pt idx="5">
                  <c:v>-70.150313939830923</c:v>
                </c:pt>
                <c:pt idx="6">
                  <c:v>-63.315338513867545</c:v>
                </c:pt>
                <c:pt idx="7">
                  <c:v>-55.8357007673224</c:v>
                </c:pt>
                <c:pt idx="8">
                  <c:v>-48.165797538828613</c:v>
                </c:pt>
                <c:pt idx="9">
                  <c:v>-40.565431517554657</c:v>
                </c:pt>
                <c:pt idx="10">
                  <c:v>-33.144807715228154</c:v>
                </c:pt>
                <c:pt idx="11">
                  <c:v>-25.933544604836051</c:v>
                </c:pt>
                <c:pt idx="12">
                  <c:v>-18.930623894106663</c:v>
                </c:pt>
                <c:pt idx="13">
                  <c:v>-12.133842204656364</c:v>
                </c:pt>
                <c:pt idx="14">
                  <c:v>-5.5543613097430589</c:v>
                </c:pt>
                <c:pt idx="15">
                  <c:v>0.77919071526911732</c:v>
                </c:pt>
                <c:pt idx="16">
                  <c:v>6.8235457637161376</c:v>
                </c:pt>
                <c:pt idx="17">
                  <c:v>12.527184989369983</c:v>
                </c:pt>
                <c:pt idx="18">
                  <c:v>17.837336379392152</c:v>
                </c:pt>
                <c:pt idx="19">
                  <c:v>22.705646823671717</c:v>
                </c:pt>
                <c:pt idx="20">
                  <c:v>27.091802205026472</c:v>
                </c:pt>
                <c:pt idx="21">
                  <c:v>30.965248197877042</c:v>
                </c:pt>
                <c:pt idx="22">
                  <c:v>34.305550270455804</c:v>
                </c:pt>
                <c:pt idx="23">
                  <c:v>37.101953548546099</c:v>
                </c:pt>
                <c:pt idx="24">
                  <c:v>39.352562873390632</c:v>
                </c:pt>
                <c:pt idx="25">
                  <c:v>41.063400070685475</c:v>
                </c:pt>
                <c:pt idx="26">
                  <c:v>42.247469011494509</c:v>
                </c:pt>
                <c:pt idx="27">
                  <c:v>42.923879583016983</c:v>
                </c:pt>
                <c:pt idx="28">
                  <c:v>43.117039334509712</c:v>
                </c:pt>
                <c:pt idx="29">
                  <c:v>42.855903060267472</c:v>
                </c:pt>
                <c:pt idx="30">
                  <c:v>42.173265396620721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D0-4BD5-A4AF-466828D2C054}"/>
            </c:ext>
          </c:extLst>
        </c:ser>
        <c:ser>
          <c:idx val="2"/>
          <c:order val="2"/>
          <c:tx>
            <c:v>0.001 M, pH variable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'0.001M'!$X$5:$X$35</c:f>
              <c:numCache>
                <c:formatCode>0.00</c:formatCode>
                <c:ptCount val="31"/>
                <c:pt idx="0">
                  <c:v>-72.240767686273472</c:v>
                </c:pt>
                <c:pt idx="1">
                  <c:v>-59.140062642834117</c:v>
                </c:pt>
                <c:pt idx="2">
                  <c:v>-55.742446826913813</c:v>
                </c:pt>
                <c:pt idx="3">
                  <c:v>-53.732465043478754</c:v>
                </c:pt>
                <c:pt idx="4">
                  <c:v>-51.533549377987235</c:v>
                </c:pt>
                <c:pt idx="5">
                  <c:v>-48.657925883033244</c:v>
                </c:pt>
                <c:pt idx="6">
                  <c:v>-45.18593660051588</c:v>
                </c:pt>
                <c:pt idx="7">
                  <c:v>-41.404710983025332</c:v>
                </c:pt>
                <c:pt idx="8">
                  <c:v>-37.564097762111373</c:v>
                </c:pt>
                <c:pt idx="9">
                  <c:v>-33.81177855479222</c:v>
                </c:pt>
                <c:pt idx="10">
                  <c:v>-30.215412311821712</c:v>
                </c:pt>
                <c:pt idx="11">
                  <c:v>-26.796474329335116</c:v>
                </c:pt>
                <c:pt idx="12">
                  <c:v>-23.553599626527891</c:v>
                </c:pt>
                <c:pt idx="13">
                  <c:v>-20.47553979419548</c:v>
                </c:pt>
                <c:pt idx="14">
                  <c:v>-17.547684397918704</c:v>
                </c:pt>
                <c:pt idx="15">
                  <c:v>-14.755135171039029</c:v>
                </c:pt>
                <c:pt idx="16">
                  <c:v>-12.084044939933712</c:v>
                </c:pt>
                <c:pt idx="17">
                  <c:v>-9.5221138075773553</c:v>
                </c:pt>
                <c:pt idx="18">
                  <c:v>-7.0586905070524084</c:v>
                </c:pt>
                <c:pt idx="19">
                  <c:v>-4.6846995496829749</c:v>
                </c:pt>
                <c:pt idx="20">
                  <c:v>-2.392501119361107</c:v>
                </c:pt>
                <c:pt idx="21">
                  <c:v>-0.17573425791767711</c:v>
                </c:pt>
                <c:pt idx="22">
                  <c:v>1.9708339675475872</c:v>
                </c:pt>
                <c:pt idx="23">
                  <c:v>4.0514442533007795</c:v>
                </c:pt>
                <c:pt idx="24">
                  <c:v>6.0694632705863443</c:v>
                </c:pt>
                <c:pt idx="25">
                  <c:v>8.0274847537842806</c:v>
                </c:pt>
                <c:pt idx="26">
                  <c:v>9.9274151488964328</c:v>
                </c:pt>
                <c:pt idx="27">
                  <c:v>11.770545880982363</c:v>
                </c:pt>
                <c:pt idx="28">
                  <c:v>13.557614273388326</c:v>
                </c:pt>
                <c:pt idx="29">
                  <c:v>15.288854953377855</c:v>
                </c:pt>
                <c:pt idx="30">
                  <c:v>16.964043320636684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D0-4BD5-A4AF-466828D2C054}"/>
            </c:ext>
          </c:extLst>
        </c:ser>
        <c:ser>
          <c:idx val="6"/>
          <c:order val="3"/>
          <c:tx>
            <c:v>0.01 M, pH variable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3D0-4BD5-A4AF-466828D2C054}"/>
            </c:ext>
          </c:extLst>
        </c:ser>
        <c:ser>
          <c:idx val="1"/>
          <c:order val="4"/>
          <c:tx>
            <c:v>0.1 M, pH variable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'0.1M'!$X$5:$X$35</c:f>
              <c:numCache>
                <c:formatCode>0.00</c:formatCode>
                <c:ptCount val="31"/>
                <c:pt idx="0">
                  <c:v>-9.8561014507874223</c:v>
                </c:pt>
                <c:pt idx="1">
                  <c:v>-9.8176286016179528</c:v>
                </c:pt>
                <c:pt idx="2">
                  <c:v>-9.8068753230995203</c:v>
                </c:pt>
                <c:pt idx="3">
                  <c:v>-9.8000091153544826</c:v>
                </c:pt>
                <c:pt idx="4">
                  <c:v>-9.7924758293978815</c:v>
                </c:pt>
                <c:pt idx="5">
                  <c:v>-9.7829415363212338</c:v>
                </c:pt>
                <c:pt idx="6">
                  <c:v>-9.7717167635554585</c:v>
                </c:pt>
                <c:pt idx="7">
                  <c:v>-9.7596797483940758</c:v>
                </c:pt>
                <c:pt idx="8">
                  <c:v>-9.7475740732856107</c:v>
                </c:pt>
                <c:pt idx="9">
                  <c:v>-9.7358326240494026</c:v>
                </c:pt>
                <c:pt idx="10">
                  <c:v>-9.7246497523418682</c:v>
                </c:pt>
                <c:pt idx="11">
                  <c:v>-9.7140833742404897</c:v>
                </c:pt>
                <c:pt idx="12">
                  <c:v>-9.7041244329982721</c:v>
                </c:pt>
                <c:pt idx="13">
                  <c:v>-9.6947351785646436</c:v>
                </c:pt>
                <c:pt idx="14">
                  <c:v>-9.68586829892085</c:v>
                </c:pt>
                <c:pt idx="15">
                  <c:v>-9.6774758449096439</c:v>
                </c:pt>
                <c:pt idx="16">
                  <c:v>-9.6695130413258159</c:v>
                </c:pt>
                <c:pt idx="17">
                  <c:v>-9.6619396303455876</c:v>
                </c:pt>
                <c:pt idx="18">
                  <c:v>-9.6547200709745233</c:v>
                </c:pt>
                <c:pt idx="19">
                  <c:v>-9.6478232438350808</c:v>
                </c:pt>
                <c:pt idx="20">
                  <c:v>-9.641221974135961</c:v>
                </c:pt>
                <c:pt idx="21">
                  <c:v>-9.634892519190462</c:v>
                </c:pt>
                <c:pt idx="22">
                  <c:v>-9.6288140849915731</c:v>
                </c:pt>
                <c:pt idx="23">
                  <c:v>-9.6229683965548247</c:v>
                </c:pt>
                <c:pt idx="24">
                  <c:v>-9.6173393278702779</c:v>
                </c:pt>
                <c:pt idx="25">
                  <c:v>-9.6119125888277637</c:v>
                </c:pt>
                <c:pt idx="26">
                  <c:v>-9.6066754631156357</c:v>
                </c:pt>
                <c:pt idx="27">
                  <c:v>-9.6016165901891295</c:v>
                </c:pt>
                <c:pt idx="28">
                  <c:v>-9.5967257846261056</c:v>
                </c:pt>
                <c:pt idx="29">
                  <c:v>-9.5919938868718564</c:v>
                </c:pt>
                <c:pt idx="30">
                  <c:v>-9.5874126401971971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3D0-4BD5-A4AF-466828D2C054}"/>
            </c:ext>
          </c:extLst>
        </c:ser>
        <c:ser>
          <c:idx val="5"/>
          <c:order val="5"/>
          <c:tx>
            <c:v>0.5 M, pH variable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3D0-4BD5-A4AF-466828D2C054}"/>
            </c:ext>
          </c:extLst>
        </c:ser>
        <c:ser>
          <c:idx val="0"/>
          <c:order val="6"/>
          <c:tx>
            <c:v>1 M, pH variable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'1M'!$X$5:$X$35</c:f>
              <c:numCache>
                <c:formatCode>0.00</c:formatCode>
                <c:ptCount val="31"/>
                <c:pt idx="0">
                  <c:v>-9.5000008854323159</c:v>
                </c:pt>
                <c:pt idx="1">
                  <c:v>-9.5000008398639668</c:v>
                </c:pt>
                <c:pt idx="2">
                  <c:v>-9.5000007933870343</c:v>
                </c:pt>
                <c:pt idx="3">
                  <c:v>-9.5000007464514269</c:v>
                </c:pt>
                <c:pt idx="4">
                  <c:v>-9.5000006994738424</c:v>
                </c:pt>
                <c:pt idx="5">
                  <c:v>-9.5000006528350127</c:v>
                </c:pt>
                <c:pt idx="6">
                  <c:v>-9.500000606877876</c:v>
                </c:pt>
                <c:pt idx="7">
                  <c:v>-9.5000005619065959</c:v>
                </c:pt>
                <c:pt idx="8">
                  <c:v>-9.5000005181863649</c:v>
                </c:pt>
                <c:pt idx="9">
                  <c:v>-9.500000475943855</c:v>
                </c:pt>
                <c:pt idx="10">
                  <c:v>-9.5000004353682623</c:v>
                </c:pt>
                <c:pt idx="11">
                  <c:v>-9.5000003966128155</c:v>
                </c:pt>
                <c:pt idx="12">
                  <c:v>-9.5000003597966778</c:v>
                </c:pt>
                <c:pt idx="13">
                  <c:v>-9.500000325007159</c:v>
                </c:pt>
                <c:pt idx="14">
                  <c:v>-9.5000002923021292</c:v>
                </c:pt>
                <c:pt idx="15">
                  <c:v>-9.5000002617125716</c:v>
                </c:pt>
                <c:pt idx="16">
                  <c:v>-9.5000002332452507</c:v>
                </c:pt>
                <c:pt idx="17">
                  <c:v>-9.5000002068853533</c:v>
                </c:pt>
                <c:pt idx="18">
                  <c:v>-9.5000001825991358</c:v>
                </c:pt>
                <c:pt idx="19">
                  <c:v>-9.500000160336473</c:v>
                </c:pt>
                <c:pt idx="20">
                  <c:v>-9.5000001400333254</c:v>
                </c:pt>
                <c:pt idx="21">
                  <c:v>-9.5000001216140664</c:v>
                </c:pt>
                <c:pt idx="22">
                  <c:v>-9.5000001049936564</c:v>
                </c:pt>
                <c:pt idx="23">
                  <c:v>-9.5000000900796593</c:v>
                </c:pt>
                <c:pt idx="24">
                  <c:v>-9.5000000767740982</c:v>
                </c:pt>
                <c:pt idx="25">
                  <c:v>-9.5000000649751311</c:v>
                </c:pt>
                <c:pt idx="26">
                  <c:v>-9.5000000545785515</c:v>
                </c:pt>
                <c:pt idx="27">
                  <c:v>-9.5000000454791511</c:v>
                </c:pt>
                <c:pt idx="28">
                  <c:v>-9.5000000375719065</c:v>
                </c:pt>
                <c:pt idx="29">
                  <c:v>-9.5000000307530321</c:v>
                </c:pt>
                <c:pt idx="30">
                  <c:v>-9.5000000249208956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3D0-4BD5-A4AF-466828D2C054}"/>
            </c:ext>
          </c:extLst>
        </c:ser>
        <c:ser>
          <c:idx val="7"/>
          <c:order val="7"/>
          <c:tx>
            <c:v>0.00001 M, pH=7</c:v>
          </c:tx>
          <c:spPr>
            <a:ln w="381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'1e-5M'!$AU$5:$AU$35</c:f>
              <c:numCache>
                <c:formatCode>0.00</c:formatCode>
                <c:ptCount val="31"/>
                <c:pt idx="0">
                  <c:v>-101.14019575500507</c:v>
                </c:pt>
                <c:pt idx="1">
                  <c:v>-102.81544358397331</c:v>
                </c:pt>
                <c:pt idx="2">
                  <c:v>-104.50308728004093</c:v>
                </c:pt>
                <c:pt idx="3">
                  <c:v>-106.19517524277805</c:v>
                </c:pt>
                <c:pt idx="4">
                  <c:v>-107.88321445230413</c:v>
                </c:pt>
                <c:pt idx="5">
                  <c:v>-109.5581862765943</c:v>
                </c:pt>
                <c:pt idx="6">
                  <c:v>-111.21061002095871</c:v>
                </c:pt>
                <c:pt idx="7">
                  <c:v>-112.83065736227873</c:v>
                </c:pt>
                <c:pt idx="8">
                  <c:v>-114.40831818799299</c:v>
                </c:pt>
                <c:pt idx="9">
                  <c:v>-115.93361434719435</c:v>
                </c:pt>
                <c:pt idx="10">
                  <c:v>-117.39685275233626</c:v>
                </c:pt>
                <c:pt idx="11">
                  <c:v>-118.78890380587985</c:v>
                </c:pt>
                <c:pt idx="12">
                  <c:v>-120.10148621992695</c:v>
                </c:pt>
                <c:pt idx="13">
                  <c:v>-121.32743603884961</c:v>
                </c:pt>
                <c:pt idx="14">
                  <c:v>-122.46093703085818</c:v>
                </c:pt>
                <c:pt idx="15">
                  <c:v>-123.49769212546117</c:v>
                </c:pt>
                <c:pt idx="16">
                  <c:v>-124.43502112755515</c:v>
                </c:pt>
                <c:pt idx="17">
                  <c:v>-125.27187771827577</c:v>
                </c:pt>
                <c:pt idx="18">
                  <c:v>-126.00878740853993</c:v>
                </c:pt>
                <c:pt idx="19">
                  <c:v>-126.64771611310132</c:v>
                </c:pt>
                <c:pt idx="20">
                  <c:v>-127.19188505344626</c:v>
                </c:pt>
                <c:pt idx="21">
                  <c:v>-127.64555100298855</c:v>
                </c:pt>
                <c:pt idx="22">
                  <c:v>-128.01377133665437</c:v>
                </c:pt>
                <c:pt idx="23">
                  <c:v>-128.3021713870931</c:v>
                </c:pt>
                <c:pt idx="24">
                  <c:v>-128.51672803815669</c:v>
                </c:pt>
                <c:pt idx="25">
                  <c:v>-128.66357919108361</c:v>
                </c:pt>
                <c:pt idx="26">
                  <c:v>-128.74886449087231</c:v>
                </c:pt>
                <c:pt idx="27">
                  <c:v>-128.77859903657551</c:v>
                </c:pt>
                <c:pt idx="28">
                  <c:v>-128.75857899790569</c:v>
                </c:pt>
                <c:pt idx="29">
                  <c:v>-128.69431618085255</c:v>
                </c:pt>
                <c:pt idx="30">
                  <c:v>-128.59099753684481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3D0-4BD5-A4AF-466828D2C054}"/>
            </c:ext>
          </c:extLst>
        </c:ser>
        <c:ser>
          <c:idx val="8"/>
          <c:order val="8"/>
          <c:tx>
            <c:v>0.0001 M, pH=7</c:v>
          </c:tx>
          <c:spPr>
            <a:ln w="381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'0.0001M'!$AV$5:$AV$35</c:f>
              <c:numCache>
                <c:formatCode>General</c:formatCode>
                <c:ptCount val="31"/>
                <c:pt idx="0">
                  <c:v>-78.235645717016013</c:v>
                </c:pt>
                <c:pt idx="1">
                  <c:v>-79.505680245976521</c:v>
                </c:pt>
                <c:pt idx="2">
                  <c:v>-80.778052264653752</c:v>
                </c:pt>
                <c:pt idx="3">
                  <c:v>-82.052015995682893</c:v>
                </c:pt>
                <c:pt idx="4">
                  <c:v>-83.326770985669086</c:v>
                </c:pt>
                <c:pt idx="5">
                  <c:v>-84.601462681540355</c:v>
                </c:pt>
                <c:pt idx="6">
                  <c:v>-85.875183475225455</c:v>
                </c:pt>
                <c:pt idx="7">
                  <c:v>-87.14697426569299</c:v>
                </c:pt>
                <c:pt idx="8">
                  <c:v>-88.415826584446194</c:v>
                </c:pt>
                <c:pt idx="9">
                  <c:v>-89.680685325912876</c:v>
                </c:pt>
                <c:pt idx="10">
                  <c:v>-90.940452117646515</c:v>
                </c:pt>
                <c:pt idx="11">
                  <c:v>-92.193989356767275</c:v>
                </c:pt>
                <c:pt idx="12">
                  <c:v>-93.440124928578655</c:v>
                </c:pt>
                <c:pt idx="13">
                  <c:v>-94.67765761085704</c:v>
                </c:pt>
                <c:pt idx="14">
                  <c:v>-95.90536315307078</c:v>
                </c:pt>
                <c:pt idx="15">
                  <c:v>-97.122001004014038</c:v>
                </c:pt>
                <c:pt idx="16">
                  <c:v>-98.326321644411152</c:v>
                </c:pt>
                <c:pt idx="17">
                  <c:v>-99.517074463462023</c:v>
                </c:pt>
                <c:pt idx="18">
                  <c:v>-100.69301610065533</c:v>
                </c:pt>
                <c:pt idx="19">
                  <c:v>-101.85291915716495</c:v>
                </c:pt>
                <c:pt idx="20">
                  <c:v>-102.99558116550956</c:v>
                </c:pt>
                <c:pt idx="21">
                  <c:v>-104.11983369265766</c:v>
                </c:pt>
                <c:pt idx="22">
                  <c:v>-105.22455144113852</c:v>
                </c:pt>
                <c:pt idx="23">
                  <c:v>-106.30866120563469</c:v>
                </c:pt>
                <c:pt idx="24">
                  <c:v>-107.37115053951442</c:v>
                </c:pt>
                <c:pt idx="25">
                  <c:v>-108.41107598718257</c:v>
                </c:pt>
                <c:pt idx="26">
                  <c:v>-109.42757074413717</c:v>
                </c:pt>
                <c:pt idx="27">
                  <c:v>-110.41985161714079</c:v>
                </c:pt>
                <c:pt idx="28">
                  <c:v>-111.38722517163148</c:v>
                </c:pt>
                <c:pt idx="29">
                  <c:v>-112.32909297185427</c:v>
                </c:pt>
                <c:pt idx="30">
                  <c:v>-113.24495584042455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3D0-4BD5-A4AF-466828D2C054}"/>
            </c:ext>
          </c:extLst>
        </c:ser>
        <c:ser>
          <c:idx val="9"/>
          <c:order val="9"/>
          <c:tx>
            <c:v>0.001 M, pH=7</c:v>
          </c:tx>
          <c:spPr>
            <a:ln w="38100">
              <a:solidFill>
                <a:srgbClr val="0000FF"/>
              </a:solidFill>
              <a:prstDash val="dash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'0.001M'!$AU$5:$AU$35</c:f>
              <c:numCache>
                <c:formatCode>General</c:formatCode>
                <c:ptCount val="31"/>
                <c:pt idx="0">
                  <c:v>-50.640518961453367</c:v>
                </c:pt>
                <c:pt idx="1">
                  <c:v>-51.384190294202114</c:v>
                </c:pt>
                <c:pt idx="2">
                  <c:v>-52.12687712429139</c:v>
                </c:pt>
                <c:pt idx="3">
                  <c:v>-52.868486282945007</c:v>
                </c:pt>
                <c:pt idx="4">
                  <c:v>-53.608918695152433</c:v>
                </c:pt>
                <c:pt idx="5">
                  <c:v>-54.348069323389218</c:v>
                </c:pt>
                <c:pt idx="6">
                  <c:v>-55.085827090781983</c:v>
                </c:pt>
                <c:pt idx="7">
                  <c:v>-55.822074781810343</c:v>
                </c:pt>
                <c:pt idx="8">
                  <c:v>-56.556688918461958</c:v>
                </c:pt>
                <c:pt idx="9">
                  <c:v>-57.2895396095591</c:v>
                </c:pt>
                <c:pt idx="10">
                  <c:v>-58.020490370745684</c:v>
                </c:pt>
                <c:pt idx="11">
                  <c:v>-58.749397912361566</c:v>
                </c:pt>
                <c:pt idx="12">
                  <c:v>-59.476111892124187</c:v>
                </c:pt>
                <c:pt idx="13">
                  <c:v>-60.200474629181791</c:v>
                </c:pt>
                <c:pt idx="14">
                  <c:v>-60.922320775684582</c:v>
                </c:pt>
                <c:pt idx="15">
                  <c:v>-61.641476941529291</c:v>
                </c:pt>
                <c:pt idx="16">
                  <c:v>-62.357761267354803</c:v>
                </c:pt>
                <c:pt idx="17">
                  <c:v>-63.070982940183306</c:v>
                </c:pt>
                <c:pt idx="18">
                  <c:v>-63.780941645294781</c:v>
                </c:pt>
                <c:pt idx="19">
                  <c:v>-64.487426946966067</c:v>
                </c:pt>
                <c:pt idx="20">
                  <c:v>-65.190217589572981</c:v>
                </c:pt>
                <c:pt idx="21">
                  <c:v>-65.889080709209267</c:v>
                </c:pt>
                <c:pt idx="22">
                  <c:v>-66.583770944377321</c:v>
                </c:pt>
                <c:pt idx="23">
                  <c:v>-67.274029432407346</c:v>
                </c:pt>
                <c:pt idx="24">
                  <c:v>-67.959582675996771</c:v>
                </c:pt>
                <c:pt idx="25">
                  <c:v>-68.640141261564239</c:v>
                </c:pt>
                <c:pt idx="26">
                  <c:v>-69.315398407887812</c:v>
                </c:pt>
                <c:pt idx="27">
                  <c:v>-69.985028319637237</c:v>
                </c:pt>
                <c:pt idx="28">
                  <c:v>-70.648684315780812</c:v>
                </c:pt>
                <c:pt idx="29">
                  <c:v>-71.305996697276854</c:v>
                </c:pt>
                <c:pt idx="30">
                  <c:v>-71.956570311743022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3D0-4BD5-A4AF-466828D2C054}"/>
            </c:ext>
          </c:extLst>
        </c:ser>
        <c:ser>
          <c:idx val="10"/>
          <c:order val="10"/>
          <c:tx>
            <c:v>0.01 M, pH=7</c:v>
          </c:tx>
          <c:spPr>
            <a:ln w="38100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'0.01M'!$AU$5:$AU$35</c:f>
              <c:numCache>
                <c:formatCode>General</c:formatCode>
                <c:ptCount val="31"/>
                <c:pt idx="0">
                  <c:v>-22.585831046928128</c:v>
                </c:pt>
                <c:pt idx="1">
                  <c:v>-22.801733406556057</c:v>
                </c:pt>
                <c:pt idx="2">
                  <c:v>-23.015152686053739</c:v>
                </c:pt>
                <c:pt idx="3">
                  <c:v>-23.226049933417293</c:v>
                </c:pt>
                <c:pt idx="4">
                  <c:v>-23.434384906190285</c:v>
                </c:pt>
                <c:pt idx="5">
                  <c:v>-23.640115780958705</c:v>
                </c:pt>
                <c:pt idx="6">
                  <c:v>-23.843198834151291</c:v>
                </c:pt>
                <c:pt idx="7">
                  <c:v>-24.043588091815934</c:v>
                </c:pt>
                <c:pt idx="8">
                  <c:v>-24.241234945966287</c:v>
                </c:pt>
                <c:pt idx="9">
                  <c:v>-24.436087734993691</c:v>
                </c:pt>
                <c:pt idx="10">
                  <c:v>-24.628091285514767</c:v>
                </c:pt>
                <c:pt idx="11">
                  <c:v>-24.817186412870761</c:v>
                </c:pt>
                <c:pt idx="12">
                  <c:v>-25.003309377306298</c:v>
                </c:pt>
                <c:pt idx="13">
                  <c:v>-25.186391292626176</c:v>
                </c:pt>
                <c:pt idx="14">
                  <c:v>-25.366357483853811</c:v>
                </c:pt>
                <c:pt idx="15">
                  <c:v>-25.543126790085427</c:v>
                </c:pt>
                <c:pt idx="16">
                  <c:v>-25.716610808341297</c:v>
                </c:pt>
                <c:pt idx="17">
                  <c:v>-25.886713073749316</c:v>
                </c:pt>
                <c:pt idx="18">
                  <c:v>-26.053328170844875</c:v>
                </c:pt>
                <c:pt idx="19">
                  <c:v>-26.21634077012061</c:v>
                </c:pt>
                <c:pt idx="20">
                  <c:v>-26.375624583193964</c:v>
                </c:pt>
                <c:pt idx="21">
                  <c:v>-26.531041229061497</c:v>
                </c:pt>
                <c:pt idx="22">
                  <c:v>-26.682439002854711</c:v>
                </c:pt>
                <c:pt idx="23">
                  <c:v>-26.829651537276725</c:v>
                </c:pt>
                <c:pt idx="24">
                  <c:v>-26.972496345454164</c:v>
                </c:pt>
                <c:pt idx="25">
                  <c:v>-27.110773232247144</c:v>
                </c:pt>
                <c:pt idx="26">
                  <c:v>-27.2442625590825</c:v>
                </c:pt>
                <c:pt idx="27">
                  <c:v>-27.372723345060031</c:v>
                </c:pt>
                <c:pt idx="28">
                  <c:v>-27.495891184371562</c:v>
                </c:pt>
                <c:pt idx="29">
                  <c:v>-27.613475956895172</c:v>
                </c:pt>
                <c:pt idx="30">
                  <c:v>-27.725159305098604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3D0-4BD5-A4AF-466828D2C054}"/>
            </c:ext>
          </c:extLst>
        </c:ser>
        <c:ser>
          <c:idx val="11"/>
          <c:order val="11"/>
          <c:tx>
            <c:v>0.1 M, pH=7</c:v>
          </c:tx>
          <c:spPr>
            <a:ln w="38100">
              <a:solidFill>
                <a:srgbClr val="F79646">
                  <a:lumMod val="50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'0.1M'!$AU$5:$AU$35</c:f>
              <c:numCache>
                <c:formatCode>General</c:formatCode>
                <c:ptCount val="31"/>
                <c:pt idx="0">
                  <c:v>-10.098803496282359</c:v>
                </c:pt>
                <c:pt idx="1">
                  <c:v>-10.105308878533998</c:v>
                </c:pt>
                <c:pt idx="2">
                  <c:v>-10.111387494381317</c:v>
                </c:pt>
                <c:pt idx="3">
                  <c:v>-10.117039413035938</c:v>
                </c:pt>
                <c:pt idx="4">
                  <c:v>-10.122264920574315</c:v>
                </c:pt>
                <c:pt idx="5">
                  <c:v>-10.127064460871541</c:v>
                </c:pt>
                <c:pt idx="6">
                  <c:v>-10.131438575537089</c:v>
                </c:pt>
                <c:pt idx="7">
                  <c:v>-10.135387842864413</c:v>
                </c:pt>
                <c:pt idx="8">
                  <c:v>-10.138912815835132</c:v>
                </c:pt>
                <c:pt idx="9">
                  <c:v>-10.142013959246786</c:v>
                </c:pt>
                <c:pt idx="10">
                  <c:v>-10.144691586060867</c:v>
                </c:pt>
                <c:pt idx="11">
                  <c:v>-10.146945793095563</c:v>
                </c:pt>
                <c:pt idx="12">
                  <c:v>-10.148776396215613</c:v>
                </c:pt>
                <c:pt idx="13">
                  <c:v>-10.15018286520009</c:v>
                </c:pt>
                <c:pt idx="14">
                  <c:v>-10.151164258498611</c:v>
                </c:pt>
                <c:pt idx="15">
                  <c:v>-10.151719158117588</c:v>
                </c:pt>
                <c:pt idx="16">
                  <c:v>-10.151845604911781</c:v>
                </c:pt>
                <c:pt idx="17">
                  <c:v>-10.151541034592849</c:v>
                </c:pt>
                <c:pt idx="18">
                  <c:v>-10.150802214807291</c:v>
                </c:pt>
                <c:pt idx="19">
                  <c:v>-10.149625183681879</c:v>
                </c:pt>
                <c:pt idx="20">
                  <c:v>-10.148005190286815</c:v>
                </c:pt>
                <c:pt idx="21">
                  <c:v>-10.145936637526869</c:v>
                </c:pt>
                <c:pt idx="22">
                  <c:v>-10.143413028040792</c:v>
                </c:pt>
                <c:pt idx="23">
                  <c:v>-10.140426913770895</c:v>
                </c:pt>
                <c:pt idx="24">
                  <c:v>-10.136969849961064</c:v>
                </c:pt>
                <c:pt idx="25">
                  <c:v>-10.133032354455013</c:v>
                </c:pt>
                <c:pt idx="26">
                  <c:v>-10.1286038733013</c:v>
                </c:pt>
                <c:pt idx="27">
                  <c:v>-10.123672753831324</c:v>
                </c:pt>
                <c:pt idx="28">
                  <c:v>-10.118226226566376</c:v>
                </c:pt>
                <c:pt idx="29">
                  <c:v>-10.112250397535711</c:v>
                </c:pt>
                <c:pt idx="30">
                  <c:v>-10.105730252856366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3D0-4BD5-A4AF-466828D2C054}"/>
            </c:ext>
          </c:extLst>
        </c:ser>
        <c:ser>
          <c:idx val="12"/>
          <c:order val="12"/>
          <c:tx>
            <c:v>0.5 M, pH=7</c:v>
          </c:tx>
          <c:spPr>
            <a:ln w="38100">
              <a:solidFill>
                <a:srgbClr val="F79646">
                  <a:lumMod val="75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'0.5M'!$AU$5:$AU$35</c:f>
              <c:numCache>
                <c:formatCode>General</c:formatCode>
                <c:ptCount val="31"/>
                <c:pt idx="0">
                  <c:v>-9.5020080862097132</c:v>
                </c:pt>
                <c:pt idx="1">
                  <c:v>-9.5020024997372374</c:v>
                </c:pt>
                <c:pt idx="2">
                  <c:v>-9.5019937467036115</c:v>
                </c:pt>
                <c:pt idx="3">
                  <c:v>-9.5019819200018656</c:v>
                </c:pt>
                <c:pt idx="4">
                  <c:v>-9.5019671182353491</c:v>
                </c:pt>
                <c:pt idx="5">
                  <c:v>-9.5019494449582123</c:v>
                </c:pt>
                <c:pt idx="6">
                  <c:v>-9.5019290079362246</c:v>
                </c:pt>
                <c:pt idx="7">
                  <c:v>-9.5019059184326959</c:v>
                </c:pt>
                <c:pt idx="8">
                  <c:v>-9.5018802905244328</c:v>
                </c:pt>
                <c:pt idx="9">
                  <c:v>-9.5018522404528394</c:v>
                </c:pt>
                <c:pt idx="10">
                  <c:v>-9.5018218860151897</c:v>
                </c:pt>
                <c:pt idx="11">
                  <c:v>-9.501789346001166</c:v>
                </c:pt>
                <c:pt idx="12">
                  <c:v>-9.5017547396794502</c:v>
                </c:pt>
                <c:pt idx="13">
                  <c:v>-9.5017181863391063</c:v>
                </c:pt>
                <c:pt idx="14">
                  <c:v>-9.5016798048900384</c:v>
                </c:pt>
                <c:pt idx="15">
                  <c:v>-9.5016397135265844</c:v>
                </c:pt>
                <c:pt idx="16">
                  <c:v>-9.5015980294578544</c:v>
                </c:pt>
                <c:pt idx="17">
                  <c:v>-9.5015548687079736</c:v>
                </c:pt>
                <c:pt idx="18">
                  <c:v>-9.5015103459888994</c:v>
                </c:pt>
                <c:pt idx="19">
                  <c:v>-9.5014645746479225</c:v>
                </c:pt>
                <c:pt idx="20">
                  <c:v>-9.5014176666913972</c:v>
                </c:pt>
                <c:pt idx="21">
                  <c:v>-9.5013697328855518</c:v>
                </c:pt>
                <c:pt idx="22">
                  <c:v>-9.5013208829344951</c:v>
                </c:pt>
                <c:pt idx="23">
                  <c:v>-9.5012712257347616</c:v>
                </c:pt>
                <c:pt idx="24">
                  <c:v>-9.5012208697047225</c:v>
                </c:pt>
                <c:pt idx="25">
                  <c:v>-9.5011699231862305</c:v>
                </c:pt>
                <c:pt idx="26">
                  <c:v>-9.501118494914488</c:v>
                </c:pt>
                <c:pt idx="27">
                  <c:v>-9.5010666945507563</c:v>
                </c:pt>
                <c:pt idx="28">
                  <c:v>-9.5010146332707794</c:v>
                </c:pt>
                <c:pt idx="29">
                  <c:v>-9.5009624243996686</c:v>
                </c:pt>
                <c:pt idx="30">
                  <c:v>-9.5009101840816346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3D0-4BD5-A4AF-466828D2C054}"/>
            </c:ext>
          </c:extLst>
        </c:ser>
        <c:ser>
          <c:idx val="13"/>
          <c:order val="13"/>
          <c:tx>
            <c:v>1 M, pH=7</c:v>
          </c:tx>
          <c:spPr>
            <a:ln w="38100">
              <a:solidFill>
                <a:srgbClr val="0070C0"/>
              </a:solidFill>
              <a:prstDash val="dash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'1M'!$AU$5:$AU$35</c:f>
              <c:numCache>
                <c:formatCode>General</c:formatCode>
                <c:ptCount val="31"/>
                <c:pt idx="0">
                  <c:v>-9.5000076187177616</c:v>
                </c:pt>
                <c:pt idx="1">
                  <c:v>-9.5000076776639677</c:v>
                </c:pt>
                <c:pt idx="2">
                  <c:v>-9.500007715795153</c:v>
                </c:pt>
                <c:pt idx="3">
                  <c:v>-9.5000077320155594</c:v>
                </c:pt>
                <c:pt idx="4">
                  <c:v>-9.5000077255062507</c:v>
                </c:pt>
                <c:pt idx="5">
                  <c:v>-9.5000076957305506</c:v>
                </c:pt>
                <c:pt idx="6">
                  <c:v>-9.5000076424337188</c:v>
                </c:pt>
                <c:pt idx="7">
                  <c:v>-9.5000075656374481</c:v>
                </c:pt>
                <c:pt idx="8">
                  <c:v>-9.5000074656298636</c:v>
                </c:pt>
                <c:pt idx="9">
                  <c:v>-9.5000073429516512</c:v>
                </c:pt>
                <c:pt idx="10">
                  <c:v>-9.5000071983790022</c:v>
                </c:pt>
                <c:pt idx="11">
                  <c:v>-9.5000070329040724</c:v>
                </c:pt>
                <c:pt idx="12">
                  <c:v>-9.5000068477135695</c:v>
                </c:pt>
                <c:pt idx="13">
                  <c:v>-9.500006644166076</c:v>
                </c:pt>
                <c:pt idx="14">
                  <c:v>-9.5000064237686921</c:v>
                </c:pt>
                <c:pt idx="15">
                  <c:v>-9.5000061881534492</c:v>
                </c:pt>
                <c:pt idx="16">
                  <c:v>-9.5000059390539597</c:v>
                </c:pt>
                <c:pt idx="17">
                  <c:v>-9.500005678282653</c:v>
                </c:pt>
                <c:pt idx="18">
                  <c:v>-9.500005407708878</c:v>
                </c:pt>
                <c:pt idx="19">
                  <c:v>-9.5000051292381222</c:v>
                </c:pt>
                <c:pt idx="20">
                  <c:v>-9.5000048447924694</c:v>
                </c:pt>
                <c:pt idx="21">
                  <c:v>-9.50000455629241</c:v>
                </c:pt>
                <c:pt idx="22">
                  <c:v>-9.5000042656400172</c:v>
                </c:pt>
                <c:pt idx="23">
                  <c:v>-9.5000039747034695</c:v>
                </c:pt>
                <c:pt idx="24">
                  <c:v>-9.5000036853028273</c:v>
                </c:pt>
                <c:pt idx="25">
                  <c:v>-9.5000033991969772</c:v>
                </c:pt>
                <c:pt idx="26">
                  <c:v>-9.5000031180715663</c:v>
                </c:pt>
                <c:pt idx="27">
                  <c:v>-9.5000028435277351</c:v>
                </c:pt>
                <c:pt idx="28">
                  <c:v>-9.5000025770715055</c:v>
                </c:pt>
                <c:pt idx="29">
                  <c:v>-9.5000023201035884</c:v>
                </c:pt>
                <c:pt idx="30">
                  <c:v>-9.5000020739094406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3D0-4BD5-A4AF-466828D2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40784"/>
        <c:axId val="204441176"/>
      </c:scatterChart>
      <c:valAx>
        <c:axId val="204440784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32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32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5149045018931935"/>
              <c:y val="0.93961274469296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1176"/>
        <c:crossesAt val="-150"/>
        <c:crossBetween val="midCat"/>
        <c:majorUnit val="20"/>
        <c:minorUnit val="10"/>
      </c:valAx>
      <c:valAx>
        <c:axId val="204441176"/>
        <c:scaling>
          <c:orientation val="minMax"/>
          <c:max val="50"/>
          <c:min val="-15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Zeta potential </a:t>
                </a:r>
                <a:r>
                  <a:rPr lang="fr-CA" sz="3200" baseline="0">
                    <a:latin typeface="Arial" pitchFamily="34" charset="0"/>
                    <a:cs typeface="Arial" pitchFamily="34" charset="0"/>
                  </a:rPr>
                  <a:t>(mV)</a:t>
                </a:r>
                <a:endParaRPr lang="fr-CA" sz="32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2069442552165763E-2"/>
              <c:y val="0.2220861303011422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0784"/>
        <c:crossesAt val="1.0000000000000192E-6"/>
        <c:crossBetween val="midCat"/>
        <c:majorUnit val="50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643663506932501"/>
          <c:y val="2.5133927462442768E-2"/>
          <c:w val="0.23117115294680929"/>
          <c:h val="0.72215672516873064"/>
        </c:manualLayout>
      </c:layout>
      <c:overlay val="0"/>
      <c:spPr>
        <a:solidFill>
          <a:sysClr val="window" lastClr="FFFFFF"/>
        </a:solidFill>
        <a:ln w="38100">
          <a:solidFill>
            <a:sysClr val="windowText" lastClr="000000"/>
          </a:solidFill>
        </a:ln>
      </c:spPr>
      <c:txPr>
        <a:bodyPr/>
        <a:lstStyle/>
        <a:p>
          <a:pPr>
            <a:defRPr sz="2200" b="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3784637745668855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'1e-5M'!$X$5:$X$35</c:f>
              <c:numCache>
                <c:formatCode>0.00</c:formatCode>
                <c:ptCount val="31"/>
                <c:pt idx="0">
                  <c:v>-147.33194815284907</c:v>
                </c:pt>
                <c:pt idx="1">
                  <c:v>-112.10186901411313</c:v>
                </c:pt>
                <c:pt idx="2">
                  <c:v>-102.50303676519935</c:v>
                </c:pt>
                <c:pt idx="3">
                  <c:v>-96.543449000932128</c:v>
                </c:pt>
                <c:pt idx="4">
                  <c:v>-89.930057992892102</c:v>
                </c:pt>
                <c:pt idx="5">
                  <c:v>-81.157770761279124</c:v>
                </c:pt>
                <c:pt idx="6">
                  <c:v>-70.140506640420881</c:v>
                </c:pt>
                <c:pt idx="7">
                  <c:v>-57.361201536748077</c:v>
                </c:pt>
                <c:pt idx="8">
                  <c:v>-43.456535143601883</c:v>
                </c:pt>
                <c:pt idx="9">
                  <c:v>-29.172885954746423</c:v>
                </c:pt>
                <c:pt idx="10">
                  <c:v>-15.267902775603602</c:v>
                </c:pt>
                <c:pt idx="11">
                  <c:v>-2.3599446900008516</c:v>
                </c:pt>
                <c:pt idx="12">
                  <c:v>9.1209617933186387</c:v>
                </c:pt>
                <c:pt idx="13">
                  <c:v>18.901829027636431</c:v>
                </c:pt>
                <c:pt idx="14">
                  <c:v>26.82429553921175</c:v>
                </c:pt>
                <c:pt idx="15">
                  <c:v>32.817309100937536</c:v>
                </c:pt>
                <c:pt idx="16">
                  <c:v>36.883739392631668</c:v>
                </c:pt>
                <c:pt idx="17">
                  <c:v>39.094009001589313</c:v>
                </c:pt>
                <c:pt idx="18">
                  <c:v>39.581257667927396</c:v>
                </c:pt>
                <c:pt idx="19">
                  <c:v>38.534816133633932</c:v>
                </c:pt>
                <c:pt idx="20">
                  <c:v>36.190524464276628</c:v>
                </c:pt>
                <c:pt idx="21">
                  <c:v>32.817682891609167</c:v>
                </c:pt>
                <c:pt idx="22">
                  <c:v>28.703317486823718</c:v>
                </c:pt>
                <c:pt idx="23">
                  <c:v>24.135052437259628</c:v>
                </c:pt>
                <c:pt idx="24">
                  <c:v>19.384218268555887</c:v>
                </c:pt>
                <c:pt idx="25">
                  <c:v>14.690885116705315</c:v>
                </c:pt>
                <c:pt idx="26">
                  <c:v>10.252300336733621</c:v>
                </c:pt>
                <c:pt idx="27">
                  <c:v>6.2157707138631286</c:v>
                </c:pt>
                <c:pt idx="28">
                  <c:v>2.6764373591794519</c:v>
                </c:pt>
                <c:pt idx="29">
                  <c:v>-0.32025138420702437</c:v>
                </c:pt>
                <c:pt idx="30">
                  <c:v>-2.7721461509409853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3D-47F7-AD84-FDE5E58CB699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'0.0001M'!$X$5:$X$35</c:f>
              <c:numCache>
                <c:formatCode>0.00</c:formatCode>
                <c:ptCount val="31"/>
                <c:pt idx="0">
                  <c:v>-115.78381723007278</c:v>
                </c:pt>
                <c:pt idx="1">
                  <c:v>-90.773341525529332</c:v>
                </c:pt>
                <c:pt idx="2">
                  <c:v>-84.156977014574679</c:v>
                </c:pt>
                <c:pt idx="3">
                  <c:v>-80.169718649077836</c:v>
                </c:pt>
                <c:pt idx="4">
                  <c:v>-75.813807052445938</c:v>
                </c:pt>
                <c:pt idx="5">
                  <c:v>-70.150313939830923</c:v>
                </c:pt>
                <c:pt idx="6">
                  <c:v>-63.315338513867545</c:v>
                </c:pt>
                <c:pt idx="7">
                  <c:v>-55.8357007673224</c:v>
                </c:pt>
                <c:pt idx="8">
                  <c:v>-48.165797538828613</c:v>
                </c:pt>
                <c:pt idx="9">
                  <c:v>-40.565431517554657</c:v>
                </c:pt>
                <c:pt idx="10">
                  <c:v>-33.144807715228154</c:v>
                </c:pt>
                <c:pt idx="11">
                  <c:v>-25.933544604836051</c:v>
                </c:pt>
                <c:pt idx="12">
                  <c:v>-18.930623894106663</c:v>
                </c:pt>
                <c:pt idx="13">
                  <c:v>-12.133842204656364</c:v>
                </c:pt>
                <c:pt idx="14">
                  <c:v>-5.5543613097430589</c:v>
                </c:pt>
                <c:pt idx="15">
                  <c:v>0.77919071526911732</c:v>
                </c:pt>
                <c:pt idx="16">
                  <c:v>6.8235457637161376</c:v>
                </c:pt>
                <c:pt idx="17">
                  <c:v>12.527184989369983</c:v>
                </c:pt>
                <c:pt idx="18">
                  <c:v>17.837336379392152</c:v>
                </c:pt>
                <c:pt idx="19">
                  <c:v>22.705646823671717</c:v>
                </c:pt>
                <c:pt idx="20">
                  <c:v>27.091802205026472</c:v>
                </c:pt>
                <c:pt idx="21">
                  <c:v>30.965248197877042</c:v>
                </c:pt>
                <c:pt idx="22">
                  <c:v>34.305550270455804</c:v>
                </c:pt>
                <c:pt idx="23">
                  <c:v>37.101953548546099</c:v>
                </c:pt>
                <c:pt idx="24">
                  <c:v>39.352562873390632</c:v>
                </c:pt>
                <c:pt idx="25">
                  <c:v>41.063400070685475</c:v>
                </c:pt>
                <c:pt idx="26">
                  <c:v>42.247469011494509</c:v>
                </c:pt>
                <c:pt idx="27">
                  <c:v>42.923879583016983</c:v>
                </c:pt>
                <c:pt idx="28">
                  <c:v>43.117039334509712</c:v>
                </c:pt>
                <c:pt idx="29">
                  <c:v>42.855903060267472</c:v>
                </c:pt>
                <c:pt idx="30">
                  <c:v>42.173265396620721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3D-47F7-AD84-FDE5E58CB699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'0.001M'!$X$5:$X$35</c:f>
              <c:numCache>
                <c:formatCode>0.00</c:formatCode>
                <c:ptCount val="31"/>
                <c:pt idx="0">
                  <c:v>-72.240767686273472</c:v>
                </c:pt>
                <c:pt idx="1">
                  <c:v>-59.140062642834117</c:v>
                </c:pt>
                <c:pt idx="2">
                  <c:v>-55.742446826913813</c:v>
                </c:pt>
                <c:pt idx="3">
                  <c:v>-53.732465043478754</c:v>
                </c:pt>
                <c:pt idx="4">
                  <c:v>-51.533549377987235</c:v>
                </c:pt>
                <c:pt idx="5">
                  <c:v>-48.657925883033244</c:v>
                </c:pt>
                <c:pt idx="6">
                  <c:v>-45.18593660051588</c:v>
                </c:pt>
                <c:pt idx="7">
                  <c:v>-41.404710983025332</c:v>
                </c:pt>
                <c:pt idx="8">
                  <c:v>-37.564097762111373</c:v>
                </c:pt>
                <c:pt idx="9">
                  <c:v>-33.81177855479222</c:v>
                </c:pt>
                <c:pt idx="10">
                  <c:v>-30.215412311821712</c:v>
                </c:pt>
                <c:pt idx="11">
                  <c:v>-26.796474329335116</c:v>
                </c:pt>
                <c:pt idx="12">
                  <c:v>-23.553599626527891</c:v>
                </c:pt>
                <c:pt idx="13">
                  <c:v>-20.47553979419548</c:v>
                </c:pt>
                <c:pt idx="14">
                  <c:v>-17.547684397918704</c:v>
                </c:pt>
                <c:pt idx="15">
                  <c:v>-14.755135171039029</c:v>
                </c:pt>
                <c:pt idx="16">
                  <c:v>-12.084044939933712</c:v>
                </c:pt>
                <c:pt idx="17">
                  <c:v>-9.5221138075773553</c:v>
                </c:pt>
                <c:pt idx="18">
                  <c:v>-7.0586905070524084</c:v>
                </c:pt>
                <c:pt idx="19">
                  <c:v>-4.6846995496829749</c:v>
                </c:pt>
                <c:pt idx="20">
                  <c:v>-2.392501119361107</c:v>
                </c:pt>
                <c:pt idx="21">
                  <c:v>-0.17573425791767711</c:v>
                </c:pt>
                <c:pt idx="22">
                  <c:v>1.9708339675475872</c:v>
                </c:pt>
                <c:pt idx="23">
                  <c:v>4.0514442533007795</c:v>
                </c:pt>
                <c:pt idx="24">
                  <c:v>6.0694632705863443</c:v>
                </c:pt>
                <c:pt idx="25">
                  <c:v>8.0274847537842806</c:v>
                </c:pt>
                <c:pt idx="26">
                  <c:v>9.9274151488964328</c:v>
                </c:pt>
                <c:pt idx="27">
                  <c:v>11.770545880982363</c:v>
                </c:pt>
                <c:pt idx="28">
                  <c:v>13.557614273388326</c:v>
                </c:pt>
                <c:pt idx="29">
                  <c:v>15.288854953377855</c:v>
                </c:pt>
                <c:pt idx="30">
                  <c:v>16.964043320636684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3D-47F7-AD84-FDE5E58CB699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43D-47F7-AD84-FDE5E58CB699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'0.1M'!$P$5:$P$35</c:f>
              <c:numCache>
                <c:formatCode>0.00000</c:formatCode>
                <c:ptCount val="31"/>
                <c:pt idx="0">
                  <c:v>7.5571172578373327</c:v>
                </c:pt>
                <c:pt idx="1">
                  <c:v>7.3418056777768275</c:v>
                </c:pt>
                <c:pt idx="2">
                  <c:v>7.278445360388373</c:v>
                </c:pt>
                <c:pt idx="3">
                  <c:v>7.2375388371000264</c:v>
                </c:pt>
                <c:pt idx="4">
                  <c:v>7.1952400673082959</c:v>
                </c:pt>
                <c:pt idx="5">
                  <c:v>7.1446658425644749</c:v>
                </c:pt>
                <c:pt idx="6">
                  <c:v>7.087301912059611</c:v>
                </c:pt>
                <c:pt idx="7">
                  <c:v>7.027394674153534</c:v>
                </c:pt>
                <c:pt idx="8">
                  <c:v>6.9684346794888237</c:v>
                </c:pt>
                <c:pt idx="9">
                  <c:v>6.9123439122375876</c:v>
                </c:pt>
                <c:pt idx="10">
                  <c:v>6.8598800093247148</c:v>
                </c:pt>
                <c:pt idx="11">
                  <c:v>6.8111580179597135</c:v>
                </c:pt>
                <c:pt idx="12">
                  <c:v>6.7659939967702591</c:v>
                </c:pt>
                <c:pt idx="13">
                  <c:v>6.7240890386456762</c:v>
                </c:pt>
                <c:pt idx="14">
                  <c:v>6.6851181314092489</c:v>
                </c:pt>
                <c:pt idx="15">
                  <c:v>6.6487695195439018</c:v>
                </c:pt>
                <c:pt idx="16">
                  <c:v>6.6147599131286521</c:v>
                </c:pt>
                <c:pt idx="17">
                  <c:v>6.5828384326181979</c:v>
                </c:pt>
                <c:pt idx="18">
                  <c:v>6.5527855956557133</c:v>
                </c:pt>
                <c:pt idx="19">
                  <c:v>6.524410359220326</c:v>
                </c:pt>
                <c:pt idx="20">
                  <c:v>6.4975466186845647</c:v>
                </c:pt>
                <c:pt idx="21">
                  <c:v>6.4720497850256695</c:v>
                </c:pt>
                <c:pt idx="22">
                  <c:v>6.4477936879128901</c:v>
                </c:pt>
                <c:pt idx="23">
                  <c:v>6.4246678773763479</c:v>
                </c:pt>
                <c:pt idx="24">
                  <c:v>6.4025753183644181</c:v>
                </c:pt>
                <c:pt idx="25">
                  <c:v>6.381430440751676</c:v>
                </c:pt>
                <c:pt idx="26">
                  <c:v>6.3611574976943226</c:v>
                </c:pt>
                <c:pt idx="27">
                  <c:v>6.3416891855637605</c:v>
                </c:pt>
                <c:pt idx="28">
                  <c:v>6.3229654831268496</c:v>
                </c:pt>
                <c:pt idx="29">
                  <c:v>6.3049326733651272</c:v>
                </c:pt>
                <c:pt idx="30">
                  <c:v>6.2875425170456118</c:v>
                </c:pt>
              </c:numCache>
            </c:numRef>
          </c:xVal>
          <c:yVal>
            <c:numRef>
              <c:f>'0.1M'!$X$5:$X$35</c:f>
              <c:numCache>
                <c:formatCode>0.00</c:formatCode>
                <c:ptCount val="31"/>
                <c:pt idx="0">
                  <c:v>-9.8561014507874223</c:v>
                </c:pt>
                <c:pt idx="1">
                  <c:v>-9.8176286016179528</c:v>
                </c:pt>
                <c:pt idx="2">
                  <c:v>-9.8068753230995203</c:v>
                </c:pt>
                <c:pt idx="3">
                  <c:v>-9.8000091153544826</c:v>
                </c:pt>
                <c:pt idx="4">
                  <c:v>-9.7924758293978815</c:v>
                </c:pt>
                <c:pt idx="5">
                  <c:v>-9.7829415363212338</c:v>
                </c:pt>
                <c:pt idx="6">
                  <c:v>-9.7717167635554585</c:v>
                </c:pt>
                <c:pt idx="7">
                  <c:v>-9.7596797483940758</c:v>
                </c:pt>
                <c:pt idx="8">
                  <c:v>-9.7475740732856107</c:v>
                </c:pt>
                <c:pt idx="9">
                  <c:v>-9.7358326240494026</c:v>
                </c:pt>
                <c:pt idx="10">
                  <c:v>-9.7246497523418682</c:v>
                </c:pt>
                <c:pt idx="11">
                  <c:v>-9.7140833742404897</c:v>
                </c:pt>
                <c:pt idx="12">
                  <c:v>-9.7041244329982721</c:v>
                </c:pt>
                <c:pt idx="13">
                  <c:v>-9.6947351785646436</c:v>
                </c:pt>
                <c:pt idx="14">
                  <c:v>-9.68586829892085</c:v>
                </c:pt>
                <c:pt idx="15">
                  <c:v>-9.6774758449096439</c:v>
                </c:pt>
                <c:pt idx="16">
                  <c:v>-9.6695130413258159</c:v>
                </c:pt>
                <c:pt idx="17">
                  <c:v>-9.6619396303455876</c:v>
                </c:pt>
                <c:pt idx="18">
                  <c:v>-9.6547200709745233</c:v>
                </c:pt>
                <c:pt idx="19">
                  <c:v>-9.6478232438350808</c:v>
                </c:pt>
                <c:pt idx="20">
                  <c:v>-9.641221974135961</c:v>
                </c:pt>
                <c:pt idx="21">
                  <c:v>-9.634892519190462</c:v>
                </c:pt>
                <c:pt idx="22">
                  <c:v>-9.6288140849915731</c:v>
                </c:pt>
                <c:pt idx="23">
                  <c:v>-9.6229683965548247</c:v>
                </c:pt>
                <c:pt idx="24">
                  <c:v>-9.6173393278702779</c:v>
                </c:pt>
                <c:pt idx="25">
                  <c:v>-9.6119125888277637</c:v>
                </c:pt>
                <c:pt idx="26">
                  <c:v>-9.6066754631156357</c:v>
                </c:pt>
                <c:pt idx="27">
                  <c:v>-9.6016165901891295</c:v>
                </c:pt>
                <c:pt idx="28">
                  <c:v>-9.5967257846261056</c:v>
                </c:pt>
                <c:pt idx="29">
                  <c:v>-9.5919938868718564</c:v>
                </c:pt>
                <c:pt idx="30">
                  <c:v>-9.5874126401971971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43D-47F7-AD84-FDE5E58CB699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43D-47F7-AD84-FDE5E58CB699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'1M'!$P$5:$P$35</c:f>
              <c:numCache>
                <c:formatCode>0.00000</c:formatCode>
                <c:ptCount val="31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</c:numCache>
            </c:numRef>
          </c:xVal>
          <c:yVal>
            <c:numRef>
              <c:f>'1M'!$X$5:$X$35</c:f>
              <c:numCache>
                <c:formatCode>0.00</c:formatCode>
                <c:ptCount val="31"/>
                <c:pt idx="0">
                  <c:v>-9.5000008854323159</c:v>
                </c:pt>
                <c:pt idx="1">
                  <c:v>-9.5000008398639668</c:v>
                </c:pt>
                <c:pt idx="2">
                  <c:v>-9.5000007933870343</c:v>
                </c:pt>
                <c:pt idx="3">
                  <c:v>-9.5000007464514269</c:v>
                </c:pt>
                <c:pt idx="4">
                  <c:v>-9.5000006994738424</c:v>
                </c:pt>
                <c:pt idx="5">
                  <c:v>-9.5000006528350127</c:v>
                </c:pt>
                <c:pt idx="6">
                  <c:v>-9.500000606877876</c:v>
                </c:pt>
                <c:pt idx="7">
                  <c:v>-9.5000005619065959</c:v>
                </c:pt>
                <c:pt idx="8">
                  <c:v>-9.5000005181863649</c:v>
                </c:pt>
                <c:pt idx="9">
                  <c:v>-9.500000475943855</c:v>
                </c:pt>
                <c:pt idx="10">
                  <c:v>-9.5000004353682623</c:v>
                </c:pt>
                <c:pt idx="11">
                  <c:v>-9.5000003966128155</c:v>
                </c:pt>
                <c:pt idx="12">
                  <c:v>-9.5000003597966778</c:v>
                </c:pt>
                <c:pt idx="13">
                  <c:v>-9.500000325007159</c:v>
                </c:pt>
                <c:pt idx="14">
                  <c:v>-9.5000002923021292</c:v>
                </c:pt>
                <c:pt idx="15">
                  <c:v>-9.5000002617125716</c:v>
                </c:pt>
                <c:pt idx="16">
                  <c:v>-9.5000002332452507</c:v>
                </c:pt>
                <c:pt idx="17">
                  <c:v>-9.5000002068853533</c:v>
                </c:pt>
                <c:pt idx="18">
                  <c:v>-9.5000001825991358</c:v>
                </c:pt>
                <c:pt idx="19">
                  <c:v>-9.500000160336473</c:v>
                </c:pt>
                <c:pt idx="20">
                  <c:v>-9.5000001400333254</c:v>
                </c:pt>
                <c:pt idx="21">
                  <c:v>-9.5000001216140664</c:v>
                </c:pt>
                <c:pt idx="22">
                  <c:v>-9.5000001049936564</c:v>
                </c:pt>
                <c:pt idx="23">
                  <c:v>-9.5000000900796593</c:v>
                </c:pt>
                <c:pt idx="24">
                  <c:v>-9.5000000767740982</c:v>
                </c:pt>
                <c:pt idx="25">
                  <c:v>-9.5000000649751311</c:v>
                </c:pt>
                <c:pt idx="26">
                  <c:v>-9.5000000545785515</c:v>
                </c:pt>
                <c:pt idx="27">
                  <c:v>-9.5000000454791511</c:v>
                </c:pt>
                <c:pt idx="28">
                  <c:v>-9.5000000375719065</c:v>
                </c:pt>
                <c:pt idx="29">
                  <c:v>-9.5000000307530321</c:v>
                </c:pt>
                <c:pt idx="30">
                  <c:v>-9.5000000249208956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43D-47F7-AD84-FDE5E58CB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41960"/>
        <c:axId val="204442352"/>
      </c:scatterChart>
      <c:valAx>
        <c:axId val="204441960"/>
        <c:scaling>
          <c:orientation val="minMax"/>
          <c:max val="7.6"/>
          <c:min val="5.8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3600">
                    <a:latin typeface="Arial" pitchFamily="34" charset="0"/>
                    <a:cs typeface="Arial" pitchFamily="34" charset="0"/>
                  </a:rPr>
                  <a:t>pH (-)</a:t>
                </a:r>
              </a:p>
            </c:rich>
          </c:tx>
          <c:layout>
            <c:manualLayout>
              <c:xMode val="edge"/>
              <c:yMode val="edge"/>
              <c:x val="0.5511615102471713"/>
              <c:y val="0.942831972047981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2352"/>
        <c:crossesAt val="-150"/>
        <c:crossBetween val="midCat"/>
        <c:majorUnit val="0.2"/>
      </c:valAx>
      <c:valAx>
        <c:axId val="204442352"/>
        <c:scaling>
          <c:orientation val="minMax"/>
          <c:max val="50"/>
          <c:min val="-15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Zeta potential </a:t>
                </a:r>
                <a:r>
                  <a:rPr lang="fr-CA" sz="3200" baseline="0">
                    <a:latin typeface="Arial" pitchFamily="34" charset="0"/>
                    <a:cs typeface="Arial" pitchFamily="34" charset="0"/>
                  </a:rPr>
                  <a:t>(mV)</a:t>
                </a:r>
                <a:endParaRPr lang="fr-CA" sz="32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3322404963440586E-2"/>
              <c:y val="0.1931130841059901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1960"/>
        <c:crossesAt val="5.8"/>
        <c:crossBetween val="midCat"/>
        <c:majorUnit val="50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3867744830024929"/>
          <c:y val="4.1230064237527224E-2"/>
          <c:w val="0.5347500983231579"/>
          <c:h val="0.1406566615446309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9564802954024874"/>
          <c:y val="3.1234616782668694E-2"/>
          <c:w val="0.76695217054702691"/>
          <c:h val="0.82335985435911252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'1e-5M'!$AI$5:$AI$35</c:f>
              <c:numCache>
                <c:formatCode>0.00E+00</c:formatCode>
                <c:ptCount val="31"/>
                <c:pt idx="0">
                  <c:v>21891.82408014821</c:v>
                </c:pt>
                <c:pt idx="1">
                  <c:v>19130.24672814666</c:v>
                </c:pt>
                <c:pt idx="2">
                  <c:v>19830.280284805656</c:v>
                </c:pt>
                <c:pt idx="3">
                  <c:v>20923.095893916685</c:v>
                </c:pt>
                <c:pt idx="4">
                  <c:v>21599.782783243383</c:v>
                </c:pt>
                <c:pt idx="5">
                  <c:v>21397.027059881362</c:v>
                </c:pt>
                <c:pt idx="6">
                  <c:v>20127.568233140482</c:v>
                </c:pt>
                <c:pt idx="7">
                  <c:v>17782.792695266307</c:v>
                </c:pt>
                <c:pt idx="8">
                  <c:v>14459.16581813801</c:v>
                </c:pt>
                <c:pt idx="9">
                  <c:v>10357.413534916133</c:v>
                </c:pt>
                <c:pt idx="10">
                  <c:v>5754.2334223676799</c:v>
                </c:pt>
                <c:pt idx="11">
                  <c:v>939.77242495212795</c:v>
                </c:pt>
                <c:pt idx="12">
                  <c:v>-3821.4701170451135</c:v>
                </c:pt>
                <c:pt idx="13">
                  <c:v>-8299.662716656132</c:v>
                </c:pt>
                <c:pt idx="14">
                  <c:v>-12298.722575316056</c:v>
                </c:pt>
                <c:pt idx="15">
                  <c:v>-15656.819279489333</c:v>
                </c:pt>
                <c:pt idx="16">
                  <c:v>-18250.06640933378</c:v>
                </c:pt>
                <c:pt idx="17">
                  <c:v>-19997.717259080066</c:v>
                </c:pt>
                <c:pt idx="18">
                  <c:v>-20866.692791768426</c:v>
                </c:pt>
                <c:pt idx="19">
                  <c:v>-20873.655801974488</c:v>
                </c:pt>
                <c:pt idx="20">
                  <c:v>-20083.461191498976</c:v>
                </c:pt>
                <c:pt idx="21">
                  <c:v>-18603.510509345553</c:v>
                </c:pt>
                <c:pt idx="22">
                  <c:v>-16574.256973836622</c:v>
                </c:pt>
                <c:pt idx="23">
                  <c:v>-14156.766085638728</c:v>
                </c:pt>
                <c:pt idx="24">
                  <c:v>-11518.741037690395</c:v>
                </c:pt>
                <c:pt idx="25">
                  <c:v>-8820.6854754977339</c:v>
                </c:pt>
                <c:pt idx="26">
                  <c:v>-6203.850066876621</c:v>
                </c:pt>
                <c:pt idx="27">
                  <c:v>-3781.3003911961523</c:v>
                </c:pt>
                <c:pt idx="28">
                  <c:v>-1632.9165813608572</c:v>
                </c:pt>
                <c:pt idx="29">
                  <c:v>195.5004998740115</c:v>
                </c:pt>
                <c:pt idx="30">
                  <c:v>1689.4573970040781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89-4F84-9197-885281BF770D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'0.0001M'!$AJ$5:$AJ$35</c:f>
              <c:numCache>
                <c:formatCode>0.00E+00</c:formatCode>
                <c:ptCount val="31"/>
                <c:pt idx="0">
                  <c:v>14697.008183117956</c:v>
                </c:pt>
                <c:pt idx="1">
                  <c:v>12795.166167605539</c:v>
                </c:pt>
                <c:pt idx="2">
                  <c:v>13023.411363821495</c:v>
                </c:pt>
                <c:pt idx="3">
                  <c:v>13478.61042136357</c:v>
                </c:pt>
                <c:pt idx="4">
                  <c:v>13718.084873369877</c:v>
                </c:pt>
                <c:pt idx="5">
                  <c:v>13547.555794507349</c:v>
                </c:pt>
                <c:pt idx="6">
                  <c:v>12955.303256102688</c:v>
                </c:pt>
                <c:pt idx="7">
                  <c:v>12027.777752439419</c:v>
                </c:pt>
                <c:pt idx="8">
                  <c:v>10862.525531556861</c:v>
                </c:pt>
                <c:pt idx="9">
                  <c:v>9531.3249866583119</c:v>
                </c:pt>
                <c:pt idx="10">
                  <c:v>8078.9362407718245</c:v>
                </c:pt>
                <c:pt idx="11">
                  <c:v>6532.5046115320092</c:v>
                </c:pt>
                <c:pt idx="12">
                  <c:v>4910.8671217262972</c:v>
                </c:pt>
                <c:pt idx="13">
                  <c:v>3231.3623364835585</c:v>
                </c:pt>
                <c:pt idx="14">
                  <c:v>1514.0036476713701</c:v>
                </c:pt>
                <c:pt idx="15">
                  <c:v>-216.7817417190779</c:v>
                </c:pt>
                <c:pt idx="16">
                  <c:v>-1932.44439652189</c:v>
                </c:pt>
                <c:pt idx="17">
                  <c:v>-3601.9526121278441</c:v>
                </c:pt>
                <c:pt idx="18">
                  <c:v>-5193.9788616010028</c:v>
                </c:pt>
                <c:pt idx="19">
                  <c:v>-6678.9789746037413</c:v>
                </c:pt>
                <c:pt idx="20">
                  <c:v>-8030.8073682264976</c:v>
                </c:pt>
                <c:pt idx="21">
                  <c:v>-9227.7810752800851</c:v>
                </c:pt>
                <c:pt idx="22">
                  <c:v>-10253.259313198616</c:v>
                </c:pt>
                <c:pt idx="23">
                  <c:v>-11095.853372424323</c:v>
                </c:pt>
                <c:pt idx="24">
                  <c:v>-11749.371291371996</c:v>
                </c:pt>
                <c:pt idx="25">
                  <c:v>-12212.573691319381</c:v>
                </c:pt>
                <c:pt idx="26">
                  <c:v>-12488.792140337315</c:v>
                </c:pt>
                <c:pt idx="27">
                  <c:v>-12585.445504963993</c:v>
                </c:pt>
                <c:pt idx="28">
                  <c:v>-12513.481811159148</c:v>
                </c:pt>
                <c:pt idx="29">
                  <c:v>-12286.770059309114</c:v>
                </c:pt>
                <c:pt idx="30">
                  <c:v>-11921.465425465536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989-4F84-9197-885281BF770D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xVal>
          <c:yVal>
            <c:numRef>
              <c:f>'0.001M'!$AI$5:$AI$35</c:f>
              <c:numCache>
                <c:formatCode>0.00E+00</c:formatCode>
                <c:ptCount val="31"/>
                <c:pt idx="0">
                  <c:v>3752.9293674885284</c:v>
                </c:pt>
                <c:pt idx="1">
                  <c:v>3060.450801490927</c:v>
                </c:pt>
                <c:pt idx="2">
                  <c:v>2892.1496662149598</c:v>
                </c:pt>
                <c:pt idx="3">
                  <c:v>2803.6754876570089</c:v>
                </c:pt>
                <c:pt idx="4">
                  <c:v>2707.1886670017352</c:v>
                </c:pt>
                <c:pt idx="5">
                  <c:v>2573.5913799806567</c:v>
                </c:pt>
                <c:pt idx="6">
                  <c:v>2405.0855648693146</c:v>
                </c:pt>
                <c:pt idx="7">
                  <c:v>2216.1193398132527</c:v>
                </c:pt>
                <c:pt idx="8">
                  <c:v>2020.0679113307208</c:v>
                </c:pt>
                <c:pt idx="9">
                  <c:v>1825.2977605001142</c:v>
                </c:pt>
                <c:pt idx="10">
                  <c:v>1636.0237525346761</c:v>
                </c:pt>
                <c:pt idx="11">
                  <c:v>1453.9691313853355</c:v>
                </c:pt>
                <c:pt idx="12">
                  <c:v>1279.5711259002883</c:v>
                </c:pt>
                <c:pt idx="13">
                  <c:v>1112.678261636333</c:v>
                </c:pt>
                <c:pt idx="14">
                  <c:v>952.91858067481292</c:v>
                </c:pt>
                <c:pt idx="15">
                  <c:v>799.88424325579342</c:v>
                </c:pt>
                <c:pt idx="16">
                  <c:v>653.21860824234773</c:v>
                </c:pt>
                <c:pt idx="17">
                  <c:v>512.65209797193495</c:v>
                </c:pt>
                <c:pt idx="18">
                  <c:v>378.0110949304887</c:v>
                </c:pt>
                <c:pt idx="19">
                  <c:v>249.21263308821116</c:v>
                </c:pt>
                <c:pt idx="20">
                  <c:v>126.25177280119446</c:v>
                </c:pt>
                <c:pt idx="21">
                  <c:v>9.1855329094222284</c:v>
                </c:pt>
                <c:pt idx="22">
                  <c:v>-101.88432484312403</c:v>
                </c:pt>
                <c:pt idx="23">
                  <c:v>-206.82822408619793</c:v>
                </c:pt>
                <c:pt idx="24">
                  <c:v>-305.50448249797432</c:v>
                </c:pt>
                <c:pt idx="25">
                  <c:v>-397.77319393158939</c:v>
                </c:pt>
                <c:pt idx="26">
                  <c:v>-483.50791302233097</c:v>
                </c:pt>
                <c:pt idx="27">
                  <c:v>-562.60495842381556</c:v>
                </c:pt>
                <c:pt idx="28">
                  <c:v>-634.99030550067482</c:v>
                </c:pt>
                <c:pt idx="29">
                  <c:v>-700.62416639521814</c:v>
                </c:pt>
                <c:pt idx="30">
                  <c:v>-759.50345510045486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989-4F84-9197-885281BF770D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989-4F84-9197-885281BF770D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'0.1M'!$P$5:$P$35</c:f>
              <c:numCache>
                <c:formatCode>0.00000</c:formatCode>
                <c:ptCount val="31"/>
                <c:pt idx="0">
                  <c:v>7.5571172578373327</c:v>
                </c:pt>
                <c:pt idx="1">
                  <c:v>7.3418056777768275</c:v>
                </c:pt>
                <c:pt idx="2">
                  <c:v>7.278445360388373</c:v>
                </c:pt>
                <c:pt idx="3">
                  <c:v>7.2375388371000264</c:v>
                </c:pt>
                <c:pt idx="4">
                  <c:v>7.1952400673082959</c:v>
                </c:pt>
                <c:pt idx="5">
                  <c:v>7.1446658425644749</c:v>
                </c:pt>
                <c:pt idx="6">
                  <c:v>7.087301912059611</c:v>
                </c:pt>
                <c:pt idx="7">
                  <c:v>7.027394674153534</c:v>
                </c:pt>
                <c:pt idx="8">
                  <c:v>6.9684346794888237</c:v>
                </c:pt>
                <c:pt idx="9">
                  <c:v>6.9123439122375876</c:v>
                </c:pt>
                <c:pt idx="10">
                  <c:v>6.8598800093247148</c:v>
                </c:pt>
                <c:pt idx="11">
                  <c:v>6.8111580179597135</c:v>
                </c:pt>
                <c:pt idx="12">
                  <c:v>6.7659939967702591</c:v>
                </c:pt>
                <c:pt idx="13">
                  <c:v>6.7240890386456762</c:v>
                </c:pt>
                <c:pt idx="14">
                  <c:v>6.6851181314092489</c:v>
                </c:pt>
                <c:pt idx="15">
                  <c:v>6.6487695195439018</c:v>
                </c:pt>
                <c:pt idx="16">
                  <c:v>6.6147599131286521</c:v>
                </c:pt>
                <c:pt idx="17">
                  <c:v>6.5828384326181979</c:v>
                </c:pt>
                <c:pt idx="18">
                  <c:v>6.5527855956557133</c:v>
                </c:pt>
                <c:pt idx="19">
                  <c:v>6.524410359220326</c:v>
                </c:pt>
                <c:pt idx="20">
                  <c:v>6.4975466186845647</c:v>
                </c:pt>
                <c:pt idx="21">
                  <c:v>6.4720497850256695</c:v>
                </c:pt>
                <c:pt idx="22">
                  <c:v>6.4477936879128901</c:v>
                </c:pt>
                <c:pt idx="23">
                  <c:v>6.4246678773763479</c:v>
                </c:pt>
                <c:pt idx="24">
                  <c:v>6.4025753183644181</c:v>
                </c:pt>
                <c:pt idx="25">
                  <c:v>6.381430440751676</c:v>
                </c:pt>
                <c:pt idx="26">
                  <c:v>6.3611574976943226</c:v>
                </c:pt>
                <c:pt idx="27">
                  <c:v>6.3416891855637605</c:v>
                </c:pt>
                <c:pt idx="28">
                  <c:v>6.3229654831268496</c:v>
                </c:pt>
                <c:pt idx="29">
                  <c:v>6.3049326733651272</c:v>
                </c:pt>
                <c:pt idx="30">
                  <c:v>6.2875425170456118</c:v>
                </c:pt>
              </c:numCache>
            </c:numRef>
          </c:xVal>
          <c:yVal>
            <c:numRef>
              <c:f>'0.1M'!$AI$5:$AI$35</c:f>
              <c:numCache>
                <c:formatCode>0.00E+00</c:formatCode>
                <c:ptCount val="31"/>
                <c:pt idx="0">
                  <c:v>8.5382991898646416</c:v>
                </c:pt>
                <c:pt idx="1">
                  <c:v>7.8843090410294083</c:v>
                </c:pt>
                <c:pt idx="2">
                  <c:v>7.5015653695761788</c:v>
                </c:pt>
                <c:pt idx="3">
                  <c:v>7.254342125841899</c:v>
                </c:pt>
                <c:pt idx="4">
                  <c:v>7.0826416758916606</c:v>
                </c:pt>
                <c:pt idx="5">
                  <c:v>6.9552704250630351</c:v>
                </c:pt>
                <c:pt idx="6">
                  <c:v>6.855317648634661</c:v>
                </c:pt>
                <c:pt idx="7">
                  <c:v>6.7732430841137194</c:v>
                </c:pt>
                <c:pt idx="8">
                  <c:v>6.7032792490542477</c:v>
                </c:pt>
                <c:pt idx="9">
                  <c:v>6.6416384463838254</c:v>
                </c:pt>
                <c:pt idx="10">
                  <c:v>6.5856274417780831</c:v>
                </c:pt>
                <c:pt idx="11">
                  <c:v>6.5331859443535301</c:v>
                </c:pt>
                <c:pt idx="12">
                  <c:v>6.4826338598229061</c:v>
                </c:pt>
                <c:pt idx="13">
                  <c:v>6.4325325306211667</c:v>
                </c:pt>
                <c:pt idx="14">
                  <c:v>6.3816123058157439</c:v>
                </c:pt>
                <c:pt idx="15">
                  <c:v>6.328739148006238</c:v>
                </c:pt>
                <c:pt idx="16">
                  <c:v>6.2729035511267792</c:v>
                </c:pt>
                <c:pt idx="17">
                  <c:v>6.2132212703956329</c:v>
                </c:pt>
                <c:pt idx="18">
                  <c:v>6.1489392423579217</c:v>
                </c:pt>
                <c:pt idx="19">
                  <c:v>6.0794425398165481</c:v>
                </c:pt>
                <c:pt idx="20">
                  <c:v>6.0042598061009969</c:v>
                </c:pt>
                <c:pt idx="21">
                  <c:v>5.9230656811408835</c:v>
                </c:pt>
                <c:pt idx="22">
                  <c:v>5.8356794738756008</c:v>
                </c:pt>
                <c:pt idx="23">
                  <c:v>5.7420598720161644</c:v>
                </c:pt>
                <c:pt idx="24">
                  <c:v>5.6422958767823701</c:v>
                </c:pt>
                <c:pt idx="25">
                  <c:v>5.5365944399048583</c:v>
                </c:pt>
                <c:pt idx="26">
                  <c:v>5.4252654784586003</c:v>
                </c:pt>
                <c:pt idx="27">
                  <c:v>5.3087050584017135</c:v>
                </c:pt>
                <c:pt idx="28">
                  <c:v>5.1873775775279016</c:v>
                </c:pt>
                <c:pt idx="29">
                  <c:v>5.0617977525533639</c:v>
                </c:pt>
                <c:pt idx="30">
                  <c:v>4.9325131358531751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989-4F84-9197-885281BF770D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989-4F84-9197-885281BF770D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'1M'!$P$5:$P$35</c:f>
              <c:numCache>
                <c:formatCode>0.00000</c:formatCode>
                <c:ptCount val="31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</c:numCache>
            </c:numRef>
          </c:xVal>
          <c:yVal>
            <c:numRef>
              <c:f>'1M'!$AI$5:$AI$35</c:f>
              <c:numCache>
                <c:formatCode>0.00E+00</c:formatCode>
                <c:ptCount val="31"/>
                <c:pt idx="0">
                  <c:v>0.89788233336652279</c:v>
                </c:pt>
                <c:pt idx="1">
                  <c:v>0.8162664476782876</c:v>
                </c:pt>
                <c:pt idx="2">
                  <c:v>0.76579364500557856</c:v>
                </c:pt>
                <c:pt idx="3">
                  <c:v>0.73193134016882766</c:v>
                </c:pt>
                <c:pt idx="4">
                  <c:v>0.70769523508358767</c:v>
                </c:pt>
                <c:pt idx="5">
                  <c:v>0.6893798463117804</c:v>
                </c:pt>
                <c:pt idx="6">
                  <c:v>0.67487912454725418</c:v>
                </c:pt>
                <c:pt idx="7">
                  <c:v>0.66292879798203974</c:v>
                </c:pt>
                <c:pt idx="8">
                  <c:v>0.652730228107124</c:v>
                </c:pt>
                <c:pt idx="9">
                  <c:v>0.64375114218603258</c:v>
                </c:pt>
                <c:pt idx="10">
                  <c:v>0.63561561775166275</c:v>
                </c:pt>
                <c:pt idx="11">
                  <c:v>0.62804193070491965</c:v>
                </c:pt>
                <c:pt idx="12">
                  <c:v>0.62080715527339381</c:v>
                </c:pt>
                <c:pt idx="13">
                  <c:v>0.61372710820950471</c:v>
                </c:pt>
                <c:pt idx="14">
                  <c:v>0.60664521213801559</c:v>
                </c:pt>
                <c:pt idx="15">
                  <c:v>0.59942655060087624</c:v>
                </c:pt>
                <c:pt idx="16">
                  <c:v>0.59195490419956387</c:v>
                </c:pt>
                <c:pt idx="17">
                  <c:v>0.58413143333611883</c:v>
                </c:pt>
                <c:pt idx="18">
                  <c:v>0.57587419005188334</c:v>
                </c:pt>
                <c:pt idx="19">
                  <c:v>0.56711795348305061</c:v>
                </c:pt>
                <c:pt idx="20">
                  <c:v>0.55781407743276246</c:v>
                </c:pt>
                <c:pt idx="21">
                  <c:v>0.54793016415120332</c:v>
                </c:pt>
                <c:pt idx="22">
                  <c:v>0.53744946381139436</c:v>
                </c:pt>
                <c:pt idx="23">
                  <c:v>0.52636995998864966</c:v>
                </c:pt>
                <c:pt idx="24">
                  <c:v>0.51470314597712818</c:v>
                </c:pt>
                <c:pt idx="25">
                  <c:v>0.50247252915519303</c:v>
                </c:pt>
                <c:pt idx="26">
                  <c:v>0.48971192285692161</c:v>
                </c:pt>
                <c:pt idx="27">
                  <c:v>0.47646359843617153</c:v>
                </c:pt>
                <c:pt idx="28">
                  <c:v>0.46277637535525784</c:v>
                </c:pt>
                <c:pt idx="29">
                  <c:v>0.44870372529467811</c:v>
                </c:pt>
                <c:pt idx="30">
                  <c:v>0.43430195883436429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989-4F84-9197-885281BF7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43136"/>
        <c:axId val="204443528"/>
      </c:scatterChart>
      <c:valAx>
        <c:axId val="204443136"/>
        <c:scaling>
          <c:orientation val="minMax"/>
          <c:max val="7.6"/>
          <c:min val="5.8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pH (-)</a:t>
                </a:r>
              </a:p>
            </c:rich>
          </c:tx>
          <c:layout>
            <c:manualLayout>
              <c:xMode val="edge"/>
              <c:yMode val="edge"/>
              <c:x val="0.54399946839227387"/>
              <c:y val="0.93800313101545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3528"/>
        <c:crossesAt val="0"/>
        <c:crossBetween val="midCat"/>
        <c:majorUnit val="0.2"/>
      </c:valAx>
      <c:valAx>
        <c:axId val="204443528"/>
        <c:scaling>
          <c:logBase val="10"/>
          <c:orientation val="minMax"/>
          <c:min val="1.0000000000000002E-3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Streaming potential coefficient 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(mV/MPa)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9.8325186183904813E-3"/>
              <c:y val="0.162530424233329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443136"/>
        <c:crossesAt val="5.8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40954158053505541"/>
          <c:y val="0.670589012143331"/>
          <c:w val="0.54154034825931208"/>
          <c:h val="0.169629707739783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6988826489442"/>
          <c:y val="2.0424744204271771E-2"/>
          <c:w val="0.59937508562601394"/>
          <c:h val="0.82496946803662108"/>
        </c:manualLayout>
      </c:layout>
      <c:scatterChart>
        <c:scatterStyle val="lineMarker"/>
        <c:varyColors val="0"/>
        <c:ser>
          <c:idx val="3"/>
          <c:order val="0"/>
          <c:tx>
            <c:v>0.00001 M, pH variable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'1e-5M'!$AI$5:$AI$35</c:f>
              <c:numCache>
                <c:formatCode>0.00E+00</c:formatCode>
                <c:ptCount val="31"/>
                <c:pt idx="0">
                  <c:v>21891.82408014821</c:v>
                </c:pt>
                <c:pt idx="1">
                  <c:v>19130.24672814666</c:v>
                </c:pt>
                <c:pt idx="2">
                  <c:v>19830.280284805656</c:v>
                </c:pt>
                <c:pt idx="3">
                  <c:v>20923.095893916685</c:v>
                </c:pt>
                <c:pt idx="4">
                  <c:v>21599.782783243383</c:v>
                </c:pt>
                <c:pt idx="5">
                  <c:v>21397.027059881362</c:v>
                </c:pt>
                <c:pt idx="6">
                  <c:v>20127.568233140482</c:v>
                </c:pt>
                <c:pt idx="7">
                  <c:v>17782.792695266307</c:v>
                </c:pt>
                <c:pt idx="8">
                  <c:v>14459.16581813801</c:v>
                </c:pt>
                <c:pt idx="9">
                  <c:v>10357.413534916133</c:v>
                </c:pt>
                <c:pt idx="10">
                  <c:v>5754.2334223676799</c:v>
                </c:pt>
                <c:pt idx="11">
                  <c:v>939.77242495212795</c:v>
                </c:pt>
                <c:pt idx="12">
                  <c:v>-3821.4701170451135</c:v>
                </c:pt>
                <c:pt idx="13">
                  <c:v>-8299.662716656132</c:v>
                </c:pt>
                <c:pt idx="14">
                  <c:v>-12298.722575316056</c:v>
                </c:pt>
                <c:pt idx="15">
                  <c:v>-15656.819279489333</c:v>
                </c:pt>
                <c:pt idx="16">
                  <c:v>-18250.06640933378</c:v>
                </c:pt>
                <c:pt idx="17">
                  <c:v>-19997.717259080066</c:v>
                </c:pt>
                <c:pt idx="18">
                  <c:v>-20866.692791768426</c:v>
                </c:pt>
                <c:pt idx="19">
                  <c:v>-20873.655801974488</c:v>
                </c:pt>
                <c:pt idx="20">
                  <c:v>-20083.461191498976</c:v>
                </c:pt>
                <c:pt idx="21">
                  <c:v>-18603.510509345553</c:v>
                </c:pt>
                <c:pt idx="22">
                  <c:v>-16574.256973836622</c:v>
                </c:pt>
                <c:pt idx="23">
                  <c:v>-14156.766085638728</c:v>
                </c:pt>
                <c:pt idx="24">
                  <c:v>-11518.741037690395</c:v>
                </c:pt>
                <c:pt idx="25">
                  <c:v>-8820.6854754977339</c:v>
                </c:pt>
                <c:pt idx="26">
                  <c:v>-6203.850066876621</c:v>
                </c:pt>
                <c:pt idx="27">
                  <c:v>-3781.3003911961523</c:v>
                </c:pt>
                <c:pt idx="28">
                  <c:v>-1632.9165813608572</c:v>
                </c:pt>
                <c:pt idx="29">
                  <c:v>195.5004998740115</c:v>
                </c:pt>
                <c:pt idx="30">
                  <c:v>1689.4573970040781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C8-47B0-9AF0-4C128CB16208}"/>
            </c:ext>
          </c:extLst>
        </c:ser>
        <c:ser>
          <c:idx val="4"/>
          <c:order val="1"/>
          <c:tx>
            <c:v>0.0001 M, pH variable</c:v>
          </c:tx>
          <c:spPr>
            <a:ln w="3810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'0.0001M'!$AJ$5:$AJ$35</c:f>
              <c:numCache>
                <c:formatCode>0.00E+00</c:formatCode>
                <c:ptCount val="31"/>
                <c:pt idx="0">
                  <c:v>14697.008183117956</c:v>
                </c:pt>
                <c:pt idx="1">
                  <c:v>12795.166167605539</c:v>
                </c:pt>
                <c:pt idx="2">
                  <c:v>13023.411363821495</c:v>
                </c:pt>
                <c:pt idx="3">
                  <c:v>13478.61042136357</c:v>
                </c:pt>
                <c:pt idx="4">
                  <c:v>13718.084873369877</c:v>
                </c:pt>
                <c:pt idx="5">
                  <c:v>13547.555794507349</c:v>
                </c:pt>
                <c:pt idx="6">
                  <c:v>12955.303256102688</c:v>
                </c:pt>
                <c:pt idx="7">
                  <c:v>12027.777752439419</c:v>
                </c:pt>
                <c:pt idx="8">
                  <c:v>10862.525531556861</c:v>
                </c:pt>
                <c:pt idx="9">
                  <c:v>9531.3249866583119</c:v>
                </c:pt>
                <c:pt idx="10">
                  <c:v>8078.9362407718245</c:v>
                </c:pt>
                <c:pt idx="11">
                  <c:v>6532.5046115320092</c:v>
                </c:pt>
                <c:pt idx="12">
                  <c:v>4910.8671217262972</c:v>
                </c:pt>
                <c:pt idx="13">
                  <c:v>3231.3623364835585</c:v>
                </c:pt>
                <c:pt idx="14">
                  <c:v>1514.0036476713701</c:v>
                </c:pt>
                <c:pt idx="15">
                  <c:v>-216.7817417190779</c:v>
                </c:pt>
                <c:pt idx="16">
                  <c:v>-1932.44439652189</c:v>
                </c:pt>
                <c:pt idx="17">
                  <c:v>-3601.9526121278441</c:v>
                </c:pt>
                <c:pt idx="18">
                  <c:v>-5193.9788616010028</c:v>
                </c:pt>
                <c:pt idx="19">
                  <c:v>-6678.9789746037413</c:v>
                </c:pt>
                <c:pt idx="20">
                  <c:v>-8030.8073682264976</c:v>
                </c:pt>
                <c:pt idx="21">
                  <c:v>-9227.7810752800851</c:v>
                </c:pt>
                <c:pt idx="22">
                  <c:v>-10253.259313198616</c:v>
                </c:pt>
                <c:pt idx="23">
                  <c:v>-11095.853372424323</c:v>
                </c:pt>
                <c:pt idx="24">
                  <c:v>-11749.371291371996</c:v>
                </c:pt>
                <c:pt idx="25">
                  <c:v>-12212.573691319381</c:v>
                </c:pt>
                <c:pt idx="26">
                  <c:v>-12488.792140337315</c:v>
                </c:pt>
                <c:pt idx="27">
                  <c:v>-12585.445504963993</c:v>
                </c:pt>
                <c:pt idx="28">
                  <c:v>-12513.481811159148</c:v>
                </c:pt>
                <c:pt idx="29">
                  <c:v>-12286.770059309114</c:v>
                </c:pt>
                <c:pt idx="30">
                  <c:v>-11921.465425465536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C8-47B0-9AF0-4C128CB16208}"/>
            </c:ext>
          </c:extLst>
        </c:ser>
        <c:ser>
          <c:idx val="2"/>
          <c:order val="2"/>
          <c:tx>
            <c:v>0.001 M, pH variable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'0.001M'!$AI$5:$AI$35</c:f>
              <c:numCache>
                <c:formatCode>0.00E+00</c:formatCode>
                <c:ptCount val="31"/>
                <c:pt idx="0">
                  <c:v>3752.9293674885284</c:v>
                </c:pt>
                <c:pt idx="1">
                  <c:v>3060.450801490927</c:v>
                </c:pt>
                <c:pt idx="2">
                  <c:v>2892.1496662149598</c:v>
                </c:pt>
                <c:pt idx="3">
                  <c:v>2803.6754876570089</c:v>
                </c:pt>
                <c:pt idx="4">
                  <c:v>2707.1886670017352</c:v>
                </c:pt>
                <c:pt idx="5">
                  <c:v>2573.5913799806567</c:v>
                </c:pt>
                <c:pt idx="6">
                  <c:v>2405.0855648693146</c:v>
                </c:pt>
                <c:pt idx="7">
                  <c:v>2216.1193398132527</c:v>
                </c:pt>
                <c:pt idx="8">
                  <c:v>2020.0679113307208</c:v>
                </c:pt>
                <c:pt idx="9">
                  <c:v>1825.2977605001142</c:v>
                </c:pt>
                <c:pt idx="10">
                  <c:v>1636.0237525346761</c:v>
                </c:pt>
                <c:pt idx="11">
                  <c:v>1453.9691313853355</c:v>
                </c:pt>
                <c:pt idx="12">
                  <c:v>1279.5711259002883</c:v>
                </c:pt>
                <c:pt idx="13">
                  <c:v>1112.678261636333</c:v>
                </c:pt>
                <c:pt idx="14">
                  <c:v>952.91858067481292</c:v>
                </c:pt>
                <c:pt idx="15">
                  <c:v>799.88424325579342</c:v>
                </c:pt>
                <c:pt idx="16">
                  <c:v>653.21860824234773</c:v>
                </c:pt>
                <c:pt idx="17">
                  <c:v>512.65209797193495</c:v>
                </c:pt>
                <c:pt idx="18">
                  <c:v>378.0110949304887</c:v>
                </c:pt>
                <c:pt idx="19">
                  <c:v>249.21263308821116</c:v>
                </c:pt>
                <c:pt idx="20">
                  <c:v>126.25177280119446</c:v>
                </c:pt>
                <c:pt idx="21">
                  <c:v>9.1855329094222284</c:v>
                </c:pt>
                <c:pt idx="22">
                  <c:v>-101.88432484312403</c:v>
                </c:pt>
                <c:pt idx="23">
                  <c:v>-206.82822408619793</c:v>
                </c:pt>
                <c:pt idx="24">
                  <c:v>-305.50448249797432</c:v>
                </c:pt>
                <c:pt idx="25">
                  <c:v>-397.77319393158939</c:v>
                </c:pt>
                <c:pt idx="26">
                  <c:v>-483.50791302233097</c:v>
                </c:pt>
                <c:pt idx="27">
                  <c:v>-562.60495842381556</c:v>
                </c:pt>
                <c:pt idx="28">
                  <c:v>-634.99030550067482</c:v>
                </c:pt>
                <c:pt idx="29">
                  <c:v>-700.62416639521814</c:v>
                </c:pt>
                <c:pt idx="30">
                  <c:v>-759.50345510045486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4C8-47B0-9AF0-4C128CB16208}"/>
            </c:ext>
          </c:extLst>
        </c:ser>
        <c:ser>
          <c:idx val="6"/>
          <c:order val="3"/>
          <c:tx>
            <c:v>0.01 M, pH variable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4C8-47B0-9AF0-4C128CB16208}"/>
            </c:ext>
          </c:extLst>
        </c:ser>
        <c:ser>
          <c:idx val="1"/>
          <c:order val="4"/>
          <c:tx>
            <c:v>0.1 M, pH variable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'0.1M'!$AI$5:$AI$35</c:f>
              <c:numCache>
                <c:formatCode>0.00E+00</c:formatCode>
                <c:ptCount val="31"/>
                <c:pt idx="0">
                  <c:v>8.5382991898646416</c:v>
                </c:pt>
                <c:pt idx="1">
                  <c:v>7.8843090410294083</c:v>
                </c:pt>
                <c:pt idx="2">
                  <c:v>7.5015653695761788</c:v>
                </c:pt>
                <c:pt idx="3">
                  <c:v>7.254342125841899</c:v>
                </c:pt>
                <c:pt idx="4">
                  <c:v>7.0826416758916606</c:v>
                </c:pt>
                <c:pt idx="5">
                  <c:v>6.9552704250630351</c:v>
                </c:pt>
                <c:pt idx="6">
                  <c:v>6.855317648634661</c:v>
                </c:pt>
                <c:pt idx="7">
                  <c:v>6.7732430841137194</c:v>
                </c:pt>
                <c:pt idx="8">
                  <c:v>6.7032792490542477</c:v>
                </c:pt>
                <c:pt idx="9">
                  <c:v>6.6416384463838254</c:v>
                </c:pt>
                <c:pt idx="10">
                  <c:v>6.5856274417780831</c:v>
                </c:pt>
                <c:pt idx="11">
                  <c:v>6.5331859443535301</c:v>
                </c:pt>
                <c:pt idx="12">
                  <c:v>6.4826338598229061</c:v>
                </c:pt>
                <c:pt idx="13">
                  <c:v>6.4325325306211667</c:v>
                </c:pt>
                <c:pt idx="14">
                  <c:v>6.3816123058157439</c:v>
                </c:pt>
                <c:pt idx="15">
                  <c:v>6.328739148006238</c:v>
                </c:pt>
                <c:pt idx="16">
                  <c:v>6.2729035511267792</c:v>
                </c:pt>
                <c:pt idx="17">
                  <c:v>6.2132212703956329</c:v>
                </c:pt>
                <c:pt idx="18">
                  <c:v>6.1489392423579217</c:v>
                </c:pt>
                <c:pt idx="19">
                  <c:v>6.0794425398165481</c:v>
                </c:pt>
                <c:pt idx="20">
                  <c:v>6.0042598061009969</c:v>
                </c:pt>
                <c:pt idx="21">
                  <c:v>5.9230656811408835</c:v>
                </c:pt>
                <c:pt idx="22">
                  <c:v>5.8356794738756008</c:v>
                </c:pt>
                <c:pt idx="23">
                  <c:v>5.7420598720161644</c:v>
                </c:pt>
                <c:pt idx="24">
                  <c:v>5.6422958767823701</c:v>
                </c:pt>
                <c:pt idx="25">
                  <c:v>5.5365944399048583</c:v>
                </c:pt>
                <c:pt idx="26">
                  <c:v>5.4252654784586003</c:v>
                </c:pt>
                <c:pt idx="27">
                  <c:v>5.3087050584017135</c:v>
                </c:pt>
                <c:pt idx="28">
                  <c:v>5.1873775775279016</c:v>
                </c:pt>
                <c:pt idx="29">
                  <c:v>5.0617977525533639</c:v>
                </c:pt>
                <c:pt idx="30">
                  <c:v>4.9325131358531751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4C8-47B0-9AF0-4C128CB16208}"/>
            </c:ext>
          </c:extLst>
        </c:ser>
        <c:ser>
          <c:idx val="5"/>
          <c:order val="5"/>
          <c:tx>
            <c:v>0.5 M, pH variable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4C8-47B0-9AF0-4C128CB16208}"/>
            </c:ext>
          </c:extLst>
        </c:ser>
        <c:ser>
          <c:idx val="0"/>
          <c:order val="6"/>
          <c:tx>
            <c:v>1 M, pH variable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'1M'!$AI$5:$AI$35</c:f>
              <c:numCache>
                <c:formatCode>0.00E+00</c:formatCode>
                <c:ptCount val="31"/>
                <c:pt idx="0">
                  <c:v>0.89788233336652279</c:v>
                </c:pt>
                <c:pt idx="1">
                  <c:v>0.8162664476782876</c:v>
                </c:pt>
                <c:pt idx="2">
                  <c:v>0.76579364500557856</c:v>
                </c:pt>
                <c:pt idx="3">
                  <c:v>0.73193134016882766</c:v>
                </c:pt>
                <c:pt idx="4">
                  <c:v>0.70769523508358767</c:v>
                </c:pt>
                <c:pt idx="5">
                  <c:v>0.6893798463117804</c:v>
                </c:pt>
                <c:pt idx="6">
                  <c:v>0.67487912454725418</c:v>
                </c:pt>
                <c:pt idx="7">
                  <c:v>0.66292879798203974</c:v>
                </c:pt>
                <c:pt idx="8">
                  <c:v>0.652730228107124</c:v>
                </c:pt>
                <c:pt idx="9">
                  <c:v>0.64375114218603258</c:v>
                </c:pt>
                <c:pt idx="10">
                  <c:v>0.63561561775166275</c:v>
                </c:pt>
                <c:pt idx="11">
                  <c:v>0.62804193070491965</c:v>
                </c:pt>
                <c:pt idx="12">
                  <c:v>0.62080715527339381</c:v>
                </c:pt>
                <c:pt idx="13">
                  <c:v>0.61372710820950471</c:v>
                </c:pt>
                <c:pt idx="14">
                  <c:v>0.60664521213801559</c:v>
                </c:pt>
                <c:pt idx="15">
                  <c:v>0.59942655060087624</c:v>
                </c:pt>
                <c:pt idx="16">
                  <c:v>0.59195490419956387</c:v>
                </c:pt>
                <c:pt idx="17">
                  <c:v>0.58413143333611883</c:v>
                </c:pt>
                <c:pt idx="18">
                  <c:v>0.57587419005188334</c:v>
                </c:pt>
                <c:pt idx="19">
                  <c:v>0.56711795348305061</c:v>
                </c:pt>
                <c:pt idx="20">
                  <c:v>0.55781407743276246</c:v>
                </c:pt>
                <c:pt idx="21">
                  <c:v>0.54793016415120332</c:v>
                </c:pt>
                <c:pt idx="22">
                  <c:v>0.53744946381139436</c:v>
                </c:pt>
                <c:pt idx="23">
                  <c:v>0.52636995998864966</c:v>
                </c:pt>
                <c:pt idx="24">
                  <c:v>0.51470314597712818</c:v>
                </c:pt>
                <c:pt idx="25">
                  <c:v>0.50247252915519303</c:v>
                </c:pt>
                <c:pt idx="26">
                  <c:v>0.48971192285692161</c:v>
                </c:pt>
                <c:pt idx="27">
                  <c:v>0.47646359843617153</c:v>
                </c:pt>
                <c:pt idx="28">
                  <c:v>0.46277637535525784</c:v>
                </c:pt>
                <c:pt idx="29">
                  <c:v>0.44870372529467811</c:v>
                </c:pt>
                <c:pt idx="30">
                  <c:v>0.43430195883436429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4C8-47B0-9AF0-4C128CB16208}"/>
            </c:ext>
          </c:extLst>
        </c:ser>
        <c:ser>
          <c:idx val="7"/>
          <c:order val="7"/>
          <c:tx>
            <c:v>0.00001 M, pH=7</c:v>
          </c:tx>
          <c:spPr>
            <a:ln w="381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'1e-5M'!$AV$5:$AV$35</c:f>
              <c:numCache>
                <c:formatCode>0.00E+00</c:formatCode>
                <c:ptCount val="31"/>
                <c:pt idx="0">
                  <c:v>15028.2637317391</c:v>
                </c:pt>
                <c:pt idx="1">
                  <c:v>17545.513028216712</c:v>
                </c:pt>
                <c:pt idx="2">
                  <c:v>20217.210892920091</c:v>
                </c:pt>
                <c:pt idx="3">
                  <c:v>23014.837962944315</c:v>
                </c:pt>
                <c:pt idx="4">
                  <c:v>25911.848054003487</c:v>
                </c:pt>
                <c:pt idx="5">
                  <c:v>28884.719903947</c:v>
                </c:pt>
                <c:pt idx="6">
                  <c:v>31913.073468350151</c:v>
                </c:pt>
                <c:pt idx="7">
                  <c:v>34979.11717087272</c:v>
                </c:pt>
                <c:pt idx="8">
                  <c:v>38066.745041873954</c:v>
                </c:pt>
                <c:pt idx="9">
                  <c:v>41160.562184233684</c:v>
                </c:pt>
                <c:pt idx="10">
                  <c:v>44245.03507379505</c:v>
                </c:pt>
                <c:pt idx="11">
                  <c:v>47303.878206496993</c:v>
                </c:pt>
                <c:pt idx="12">
                  <c:v>50319.719675268294</c:v>
                </c:pt>
                <c:pt idx="13">
                  <c:v>53274.040090222807</c:v>
                </c:pt>
                <c:pt idx="14">
                  <c:v>56147.349279566974</c:v>
                </c:pt>
                <c:pt idx="15">
                  <c:v>58919.548857289868</c:v>
                </c:pt>
                <c:pt idx="16">
                  <c:v>61570.421991186864</c:v>
                </c:pt>
                <c:pt idx="17">
                  <c:v>64080.19169075277</c:v>
                </c:pt>
                <c:pt idx="18">
                  <c:v>66430.093694242911</c:v>
                </c:pt>
                <c:pt idx="19">
                  <c:v>68602.918057637042</c:v>
                </c:pt>
                <c:pt idx="20">
                  <c:v>70583.483503715019</c:v>
                </c:pt>
                <c:pt idx="21">
                  <c:v>72359.019265214243</c:v>
                </c:pt>
                <c:pt idx="22">
                  <c:v>73919.439529951225</c:v>
                </c:pt>
                <c:pt idx="23">
                  <c:v>75257.504919709376</c:v>
                </c:pt>
                <c:pt idx="24">
                  <c:v>76368.873263090049</c:v>
                </c:pt>
                <c:pt idx="25">
                  <c:v>77252.048073899365</c:v>
                </c:pt>
                <c:pt idx="26">
                  <c:v>77908.237626048169</c:v>
                </c:pt>
                <c:pt idx="27">
                  <c:v>78341.140435449415</c:v>
                </c:pt>
                <c:pt idx="28">
                  <c:v>78556.674481257302</c:v>
                </c:pt>
                <c:pt idx="29">
                  <c:v>78562.667806752346</c:v>
                </c:pt>
                <c:pt idx="30">
                  <c:v>78368.527431086215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4C8-47B0-9AF0-4C128CB16208}"/>
            </c:ext>
          </c:extLst>
        </c:ser>
        <c:ser>
          <c:idx val="8"/>
          <c:order val="8"/>
          <c:tx>
            <c:v>0.0001 M, pH=7</c:v>
          </c:tx>
          <c:spPr>
            <a:ln w="381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'0.0001M'!$AW$5:$AW$35</c:f>
              <c:numCache>
                <c:formatCode>General</c:formatCode>
                <c:ptCount val="31"/>
                <c:pt idx="0">
                  <c:v>9930.8344904340665</c:v>
                </c:pt>
                <c:pt idx="1">
                  <c:v>11206.906930761439</c:v>
                </c:pt>
                <c:pt idx="2">
                  <c:v>12500.517977413068</c:v>
                </c:pt>
                <c:pt idx="3">
                  <c:v>13795.073462267512</c:v>
                </c:pt>
                <c:pt idx="4">
                  <c:v>15077.513732640753</c:v>
                </c:pt>
                <c:pt idx="5">
                  <c:v>16338.387841458214</c:v>
                </c:pt>
                <c:pt idx="6">
                  <c:v>17571.398504553326</c:v>
                </c:pt>
                <c:pt idx="7">
                  <c:v>18772.65663789296</c:v>
                </c:pt>
                <c:pt idx="8">
                  <c:v>19939.858220820974</c:v>
                </c:pt>
                <c:pt idx="9">
                  <c:v>21071.531232209116</c:v>
                </c:pt>
                <c:pt idx="10">
                  <c:v>22166.43164482254</c:v>
                </c:pt>
                <c:pt idx="11">
                  <c:v>23223.113922809371</c:v>
                </c:pt>
                <c:pt idx="12">
                  <c:v>24239.66795776306</c:v>
                </c:pt>
                <c:pt idx="13">
                  <c:v>25213.597782396937</c:v>
                </c:pt>
                <c:pt idx="14">
                  <c:v>26141.812084553301</c:v>
                </c:pt>
                <c:pt idx="15">
                  <c:v>27020.697388828139</c:v>
                </c:pt>
                <c:pt idx="16">
                  <c:v>27846.248226128359</c:v>
                </c:pt>
                <c:pt idx="17">
                  <c:v>28614.232657169501</c:v>
                </c:pt>
                <c:pt idx="18">
                  <c:v>29320.375252081878</c:v>
                </c:pt>
                <c:pt idx="19">
                  <c:v>29960.54281621717</c:v>
                </c:pt>
                <c:pt idx="20">
                  <c:v>30530.920873162842</c:v>
                </c:pt>
                <c:pt idx="21">
                  <c:v>31028.171351306879</c:v>
                </c:pt>
                <c:pt idx="22">
                  <c:v>31449.564231128665</c:v>
                </c:pt>
                <c:pt idx="23">
                  <c:v>31793.078185235907</c:v>
                </c:pt>
                <c:pt idx="24">
                  <c:v>32057.46748881201</c:v>
                </c:pt>
                <c:pt idx="25">
                  <c:v>32242.294635232716</c:v>
                </c:pt>
                <c:pt idx="26">
                  <c:v>32347.930062104722</c:v>
                </c:pt>
                <c:pt idx="27">
                  <c:v>32375.522070013703</c:v>
                </c:pt>
                <c:pt idx="28">
                  <c:v>32326.941310078269</c:v>
                </c:pt>
                <c:pt idx="29">
                  <c:v>32204.705072155717</c:v>
                </c:pt>
                <c:pt idx="30">
                  <c:v>32011.887011522504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4C8-47B0-9AF0-4C128CB16208}"/>
            </c:ext>
          </c:extLst>
        </c:ser>
        <c:ser>
          <c:idx val="9"/>
          <c:order val="9"/>
          <c:tx>
            <c:v>0.001 M, pH=7</c:v>
          </c:tx>
          <c:spPr>
            <a:ln w="38100">
              <a:solidFill>
                <a:srgbClr val="0000FF"/>
              </a:solidFill>
              <a:prstDash val="dash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'0.001M'!$AV$5:$AV$35</c:f>
              <c:numCache>
                <c:formatCode>General</c:formatCode>
                <c:ptCount val="31"/>
                <c:pt idx="0">
                  <c:v>2630.7900279198889</c:v>
                </c:pt>
                <c:pt idx="1">
                  <c:v>2659.0906356302253</c:v>
                </c:pt>
                <c:pt idx="2">
                  <c:v>2704.5589001824878</c:v>
                </c:pt>
                <c:pt idx="3">
                  <c:v>2758.5944432300098</c:v>
                </c:pt>
                <c:pt idx="4">
                  <c:v>2816.2131143709485</c:v>
                </c:pt>
                <c:pt idx="5">
                  <c:v>2874.5516921912563</c:v>
                </c:pt>
                <c:pt idx="6">
                  <c:v>2932.021287777322</c:v>
                </c:pt>
                <c:pt idx="7">
                  <c:v>2987.7851340803645</c:v>
                </c:pt>
                <c:pt idx="8">
                  <c:v>3041.4241171157469</c:v>
                </c:pt>
                <c:pt idx="9">
                  <c:v>3092.7231038809559</c:v>
                </c:pt>
                <c:pt idx="10">
                  <c:v>3141.5391491014907</c:v>
                </c:pt>
                <c:pt idx="11">
                  <c:v>3187.7257514350044</c:v>
                </c:pt>
                <c:pt idx="12">
                  <c:v>3231.0948972550918</c:v>
                </c:pt>
                <c:pt idx="13">
                  <c:v>3271.4038368791907</c:v>
                </c:pt>
                <c:pt idx="14">
                  <c:v>3308.3573869157026</c:v>
                </c:pt>
                <c:pt idx="15">
                  <c:v>3341.6193953851739</c:v>
                </c:pt>
                <c:pt idx="16">
                  <c:v>3370.8290442933917</c:v>
                </c:pt>
                <c:pt idx="17">
                  <c:v>3395.6190754535023</c:v>
                </c:pt>
                <c:pt idx="18">
                  <c:v>3415.6339768196085</c:v>
                </c:pt>
                <c:pt idx="19">
                  <c:v>3430.5468031020514</c:v>
                </c:pt>
                <c:pt idx="20">
                  <c:v>3440.0737396206955</c:v>
                </c:pt>
                <c:pt idx="21">
                  <c:v>3443.9858334191485</c:v>
                </c:pt>
                <c:pt idx="22">
                  <c:v>3442.1175629064046</c:v>
                </c:pt>
                <c:pt idx="23">
                  <c:v>3434.3721259303607</c:v>
                </c:pt>
                <c:pt idx="24">
                  <c:v>3420.7235087526255</c:v>
                </c:pt>
                <c:pt idx="25">
                  <c:v>3401.215556749788</c:v>
                </c:pt>
                <c:pt idx="26">
                  <c:v>3375.9583981621768</c:v>
                </c:pt>
                <c:pt idx="27">
                  <c:v>3345.1226697079278</c:v>
                </c:pt>
                <c:pt idx="28">
                  <c:v>3308.9320535424508</c:v>
                </c:pt>
                <c:pt idx="29">
                  <c:v>3267.6546579047954</c:v>
                </c:pt>
                <c:pt idx="30">
                  <c:v>3221.5937612370899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4C8-47B0-9AF0-4C128CB16208}"/>
            </c:ext>
          </c:extLst>
        </c:ser>
        <c:ser>
          <c:idx val="10"/>
          <c:order val="10"/>
          <c:tx>
            <c:v>0.01 M, pH=7</c:v>
          </c:tx>
          <c:spPr>
            <a:ln w="38100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'0.01M'!$AV$5:$AV$35</c:f>
              <c:numCache>
                <c:formatCode>General</c:formatCode>
                <c:ptCount val="31"/>
                <c:pt idx="0">
                  <c:v>174.08753916938988</c:v>
                </c:pt>
                <c:pt idx="1">
                  <c:v>164.91891868121414</c:v>
                </c:pt>
                <c:pt idx="2">
                  <c:v>159.88815318930736</c:v>
                </c:pt>
                <c:pt idx="3">
                  <c:v>157.10705902422748</c:v>
                </c:pt>
                <c:pt idx="4">
                  <c:v>155.61466732877557</c:v>
                </c:pt>
                <c:pt idx="5">
                  <c:v>154.88443247251135</c:v>
                </c:pt>
                <c:pt idx="6">
                  <c:v>154.6139444471043</c:v>
                </c:pt>
                <c:pt idx="7">
                  <c:v>154.62321658828893</c:v>
                </c:pt>
                <c:pt idx="8">
                  <c:v>154.8010083002483</c:v>
                </c:pt>
                <c:pt idx="9">
                  <c:v>155.07491650903151</c:v>
                </c:pt>
                <c:pt idx="10">
                  <c:v>155.39426550161471</c:v>
                </c:pt>
                <c:pt idx="11">
                  <c:v>155.72029497671514</c:v>
                </c:pt>
                <c:pt idx="12">
                  <c:v>156.02065155167321</c:v>
                </c:pt>
                <c:pt idx="13">
                  <c:v>156.26645490203902</c:v>
                </c:pt>
                <c:pt idx="14">
                  <c:v>156.43090296541854</c:v>
                </c:pt>
                <c:pt idx="15">
                  <c:v>156.48878232609187</c:v>
                </c:pt>
                <c:pt idx="16">
                  <c:v>156.41649060485005</c:v>
                </c:pt>
                <c:pt idx="17">
                  <c:v>156.19232450492797</c:v>
                </c:pt>
                <c:pt idx="18">
                  <c:v>155.79687770497549</c:v>
                </c:pt>
                <c:pt idx="19">
                  <c:v>155.21344938171268</c:v>
                </c:pt>
                <c:pt idx="20">
                  <c:v>154.42840042990173</c:v>
                </c:pt>
                <c:pt idx="21">
                  <c:v>153.43141875132639</c:v>
                </c:pt>
                <c:pt idx="22">
                  <c:v>152.21567225735296</c:v>
                </c:pt>
                <c:pt idx="23">
                  <c:v>150.77784125786329</c:v>
                </c:pt>
                <c:pt idx="24">
                  <c:v>149.11803212106079</c:v>
                </c:pt>
                <c:pt idx="25">
                  <c:v>147.23958210683321</c:v>
                </c:pt>
                <c:pt idx="26">
                  <c:v>145.14877130232256</c:v>
                </c:pt>
                <c:pt idx="27">
                  <c:v>142.85446166075133</c:v>
                </c:pt>
                <c:pt idx="28">
                  <c:v>140.36768530132366</c:v>
                </c:pt>
                <c:pt idx="29">
                  <c:v>137.70120459150516</c:v>
                </c:pt>
                <c:pt idx="30">
                  <c:v>134.86906533597679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4C8-47B0-9AF0-4C128CB16208}"/>
            </c:ext>
          </c:extLst>
        </c:ser>
        <c:ser>
          <c:idx val="11"/>
          <c:order val="11"/>
          <c:tx>
            <c:v>0.1 M, pH=7</c:v>
          </c:tx>
          <c:spPr>
            <a:ln w="38100">
              <a:solidFill>
                <a:srgbClr val="F79646">
                  <a:lumMod val="50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'0.1M'!$AV$5:$AV$35</c:f>
              <c:numCache>
                <c:formatCode>0.00E+00</c:formatCode>
                <c:ptCount val="31"/>
                <c:pt idx="0">
                  <c:v>8.7485530047110771</c:v>
                </c:pt>
                <c:pt idx="1">
                  <c:v>8.1153404248976244</c:v>
                </c:pt>
                <c:pt idx="2">
                  <c:v>7.7344977290491004</c:v>
                </c:pt>
                <c:pt idx="3">
                  <c:v>7.4890222757481855</c:v>
                </c:pt>
                <c:pt idx="4">
                  <c:v>7.3211717663914575</c:v>
                </c:pt>
                <c:pt idx="5">
                  <c:v>7.1999300797796897</c:v>
                </c:pt>
                <c:pt idx="6">
                  <c:v>7.1076818304737097</c:v>
                </c:pt>
                <c:pt idx="7">
                  <c:v>7.033988010817505</c:v>
                </c:pt>
                <c:pt idx="8">
                  <c:v>6.972400336876567</c:v>
                </c:pt>
                <c:pt idx="9">
                  <c:v>6.9187316994750088</c:v>
                </c:pt>
                <c:pt idx="10">
                  <c:v>6.8700860660108418</c:v>
                </c:pt>
                <c:pt idx="11">
                  <c:v>6.8243083633141568</c:v>
                </c:pt>
                <c:pt idx="12">
                  <c:v>6.7796751033821234</c:v>
                </c:pt>
                <c:pt idx="13">
                  <c:v>6.7347254755820529</c:v>
                </c:pt>
                <c:pt idx="14">
                  <c:v>6.6881746296616216</c:v>
                </c:pt>
                <c:pt idx="15">
                  <c:v>6.6388744822182808</c:v>
                </c:pt>
                <c:pt idx="16">
                  <c:v>6.5858011278662749</c:v>
                </c:pt>
                <c:pt idx="17">
                  <c:v>6.5280561142431797</c:v>
                </c:pt>
                <c:pt idx="18">
                  <c:v>6.4648737736345545</c:v>
                </c:pt>
                <c:pt idx="19">
                  <c:v>6.3956298246785233</c:v>
                </c:pt>
                <c:pt idx="20">
                  <c:v>6.3198483494190087</c:v>
                </c:pt>
                <c:pt idx="21">
                  <c:v>6.2372054784318109</c:v>
                </c:pt>
                <c:pt idx="22">
                  <c:v>6.1475289510289155</c:v>
                </c:pt>
                <c:pt idx="23">
                  <c:v>6.0507933115066761</c:v>
                </c:pt>
                <c:pt idx="24">
                  <c:v>5.9471109374839122</c:v>
                </c:pt>
                <c:pt idx="25">
                  <c:v>5.8367194128643156</c:v>
                </c:pt>
                <c:pt idx="26">
                  <c:v>5.7199659746774918</c:v>
                </c:pt>
                <c:pt idx="27">
                  <c:v>5.5972898898695149</c:v>
                </c:pt>
                <c:pt idx="28">
                  <c:v>5.4692036633163612</c:v>
                </c:pt>
                <c:pt idx="29">
                  <c:v>5.3362739522908784</c:v>
                </c:pt>
                <c:pt idx="30">
                  <c:v>5.1991029788044516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4C8-47B0-9AF0-4C128CB16208}"/>
            </c:ext>
          </c:extLst>
        </c:ser>
        <c:ser>
          <c:idx val="12"/>
          <c:order val="12"/>
          <c:tx>
            <c:v>0.5 M, pH=7</c:v>
          </c:tx>
          <c:spPr>
            <a:ln w="38100">
              <a:solidFill>
                <a:srgbClr val="F79646">
                  <a:lumMod val="75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'0.5M'!$AV$5:$AV$35</c:f>
              <c:numCache>
                <c:formatCode>General</c:formatCode>
                <c:ptCount val="31"/>
                <c:pt idx="0">
                  <c:v>1.7788399448796233</c:v>
                </c:pt>
                <c:pt idx="1">
                  <c:v>1.6327929043526348</c:v>
                </c:pt>
                <c:pt idx="2">
                  <c:v>1.5435824387950439</c:v>
                </c:pt>
                <c:pt idx="3">
                  <c:v>1.4847579823743962</c:v>
                </c:pt>
                <c:pt idx="4">
                  <c:v>1.4434623266322242</c:v>
                </c:pt>
                <c:pt idx="5">
                  <c:v>1.4128406044276847</c:v>
                </c:pt>
                <c:pt idx="6">
                  <c:v>1.3890011901977757</c:v>
                </c:pt>
                <c:pt idx="7">
                  <c:v>1.3696235371846608</c:v>
                </c:pt>
                <c:pt idx="8">
                  <c:v>1.3532576820154494</c:v>
                </c:pt>
                <c:pt idx="9">
                  <c:v>1.338949114141833</c:v>
                </c:pt>
                <c:pt idx="10">
                  <c:v>1.3260302493341294</c:v>
                </c:pt>
                <c:pt idx="11">
                  <c:v>1.3140024792826306</c:v>
                </c:pt>
                <c:pt idx="12">
                  <c:v>1.3024694164030508</c:v>
                </c:pt>
                <c:pt idx="13">
                  <c:v>1.291099721276598</c:v>
                </c:pt>
                <c:pt idx="14">
                  <c:v>1.2796071684749257</c:v>
                </c:pt>
                <c:pt idx="15">
                  <c:v>1.2677407098563038</c:v>
                </c:pt>
                <c:pt idx="16">
                  <c:v>1.2552802097053974</c:v>
                </c:pt>
                <c:pt idx="17">
                  <c:v>1.2420352321676664</c:v>
                </c:pt>
                <c:pt idx="18">
                  <c:v>1.227845277830397</c:v>
                </c:pt>
                <c:pt idx="19">
                  <c:v>1.2125804831211908</c:v>
                </c:pt>
                <c:pt idx="20">
                  <c:v>1.1961421803362184</c:v>
                </c:pt>
                <c:pt idx="21">
                  <c:v>1.1784629645441889</c:v>
                </c:pt>
                <c:pt idx="22">
                  <c:v>1.1595060821389969</c:v>
                </c:pt>
                <c:pt idx="23">
                  <c:v>1.1392640756206223</c:v>
                </c:pt>
                <c:pt idx="24">
                  <c:v>1.1177567068576073</c:v>
                </c:pt>
                <c:pt idx="25">
                  <c:v>1.0950282448901256</c:v>
                </c:pt>
                <c:pt idx="26">
                  <c:v>1.0711442482060187</c:v>
                </c:pt>
                <c:pt idx="27">
                  <c:v>1.0461879974688573</c:v>
                </c:pt>
                <c:pt idx="28">
                  <c:v>1.0202567446365003</c:v>
                </c:pt>
                <c:pt idx="29">
                  <c:v>0.99345794037997304</c:v>
                </c:pt>
                <c:pt idx="30">
                  <c:v>0.96590558636609924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4C8-47B0-9AF0-4C128CB16208}"/>
            </c:ext>
          </c:extLst>
        </c:ser>
        <c:ser>
          <c:idx val="13"/>
          <c:order val="13"/>
          <c:tx>
            <c:v>1 M, pH=7</c:v>
          </c:tx>
          <c:spPr>
            <a:ln w="38100">
              <a:solidFill>
                <a:srgbClr val="0070C0"/>
              </a:solidFill>
              <a:prstDash val="dash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'1M'!$AV$5:$AV$35</c:f>
              <c:numCache>
                <c:formatCode>General</c:formatCode>
                <c:ptCount val="31"/>
                <c:pt idx="0">
                  <c:v>0.89788522599753884</c:v>
                </c:pt>
                <c:pt idx="1">
                  <c:v>0.81626922776737187</c:v>
                </c:pt>
                <c:pt idx="2">
                  <c:v>0.76579641031967549</c:v>
                </c:pt>
                <c:pt idx="3">
                  <c:v>0.73193412481885534</c:v>
                </c:pt>
                <c:pt idx="4">
                  <c:v>0.70769805931852015</c:v>
                </c:pt>
                <c:pt idx="5">
                  <c:v>0.68938272598596351</c:v>
                </c:pt>
                <c:pt idx="6">
                  <c:v>0.67488206436206588</c:v>
                </c:pt>
                <c:pt idx="7">
                  <c:v>0.66293177905239487</c:v>
                </c:pt>
                <c:pt idx="8">
                  <c:v>0.65273319518113615</c:v>
                </c:pt>
                <c:pt idx="9">
                  <c:v>0.64375399318562188</c:v>
                </c:pt>
                <c:pt idx="10">
                  <c:v>0.63561819678217446</c:v>
                </c:pt>
                <c:pt idx="11">
                  <c:v>0.6280440248308039</c:v>
                </c:pt>
                <c:pt idx="12">
                  <c:v>0.6208084949241387</c:v>
                </c:pt>
                <c:pt idx="13">
                  <c:v>0.61372737089129736</c:v>
                </c:pt>
                <c:pt idx="14">
                  <c:v>0.60664402906099335</c:v>
                </c:pt>
                <c:pt idx="15">
                  <c:v>0.59942351581412778</c:v>
                </c:pt>
                <c:pt idx="16">
                  <c:v>0.59194958581689583</c:v>
                </c:pt>
                <c:pt idx="17">
                  <c:v>0.5841233864202281</c:v>
                </c:pt>
                <c:pt idx="18">
                  <c:v>0.57586297070268699</c:v>
                </c:pt>
                <c:pt idx="19">
                  <c:v>0.56710313365422127</c:v>
                </c:pt>
                <c:pt idx="20">
                  <c:v>0.55779525998753965</c:v>
                </c:pt>
                <c:pt idx="21">
                  <c:v>0.54790699767157436</c:v>
                </c:pt>
                <c:pt idx="22">
                  <c:v>0.53742165669810482</c:v>
                </c:pt>
                <c:pt idx="23">
                  <c:v>0.52633729343399815</c:v>
                </c:pt>
                <c:pt idx="24">
                  <c:v>0.51466548545562796</c:v>
                </c:pt>
                <c:pt idx="25">
                  <c:v>0.50242983415382947</c:v>
                </c:pt>
                <c:pt idx="26">
                  <c:v>0.48966425465025554</c:v>
                </c:pt>
                <c:pt idx="27">
                  <c:v>0.47641112579482159</c:v>
                </c:pt>
                <c:pt idx="28">
                  <c:v>0.46271937815283848</c:v>
                </c:pt>
                <c:pt idx="29">
                  <c:v>0.4486425960428142</c:v>
                </c:pt>
                <c:pt idx="30">
                  <c:v>0.43423720222445511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4C8-47B0-9AF0-4C128CB1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667040"/>
        <c:axId val="236667432"/>
      </c:scatterChart>
      <c:valAx>
        <c:axId val="236667040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32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32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5244116427291333"/>
              <c:y val="0.9347839036604389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7432"/>
        <c:crossesAt val="0.1"/>
        <c:crossBetween val="midCat"/>
        <c:majorUnit val="20"/>
        <c:minorUnit val="10"/>
      </c:valAx>
      <c:valAx>
        <c:axId val="236667432"/>
        <c:scaling>
          <c:logBase val="10"/>
          <c:orientation val="minMax"/>
          <c:max val="100000"/>
          <c:min val="0.1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32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- Streaming potential coefficient (mV/MPa)</a:t>
                </a:r>
                <a:endParaRPr lang="en-GB" sz="44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8605673379471187E-3"/>
              <c:y val="0.146434287458245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704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643881846446415"/>
          <c:y val="2.352431378493432E-2"/>
          <c:w val="0.22856593122298588"/>
          <c:h val="0.7044509747161377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72586551362653"/>
          <c:y val="2.0424744204271771E-2"/>
          <c:w val="0.56641909526447243"/>
          <c:h val="0.82496946803662108"/>
        </c:manualLayout>
      </c:layout>
      <c:scatterChart>
        <c:scatterStyle val="lineMarker"/>
        <c:varyColors val="0"/>
        <c:ser>
          <c:idx val="3"/>
          <c:order val="0"/>
          <c:tx>
            <c:v>0.00001 M, pH variable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'1e-5M'!$AI$5:$AI$35</c:f>
              <c:numCache>
                <c:formatCode>0.00E+00</c:formatCode>
                <c:ptCount val="31"/>
                <c:pt idx="0">
                  <c:v>21891.82408014821</c:v>
                </c:pt>
                <c:pt idx="1">
                  <c:v>19130.24672814666</c:v>
                </c:pt>
                <c:pt idx="2">
                  <c:v>19830.280284805656</c:v>
                </c:pt>
                <c:pt idx="3">
                  <c:v>20923.095893916685</c:v>
                </c:pt>
                <c:pt idx="4">
                  <c:v>21599.782783243383</c:v>
                </c:pt>
                <c:pt idx="5">
                  <c:v>21397.027059881362</c:v>
                </c:pt>
                <c:pt idx="6">
                  <c:v>20127.568233140482</c:v>
                </c:pt>
                <c:pt idx="7">
                  <c:v>17782.792695266307</c:v>
                </c:pt>
                <c:pt idx="8">
                  <c:v>14459.16581813801</c:v>
                </c:pt>
                <c:pt idx="9">
                  <c:v>10357.413534916133</c:v>
                </c:pt>
                <c:pt idx="10">
                  <c:v>5754.2334223676799</c:v>
                </c:pt>
                <c:pt idx="11">
                  <c:v>939.77242495212795</c:v>
                </c:pt>
                <c:pt idx="12">
                  <c:v>-3821.4701170451135</c:v>
                </c:pt>
                <c:pt idx="13">
                  <c:v>-8299.662716656132</c:v>
                </c:pt>
                <c:pt idx="14">
                  <c:v>-12298.722575316056</c:v>
                </c:pt>
                <c:pt idx="15">
                  <c:v>-15656.819279489333</c:v>
                </c:pt>
                <c:pt idx="16">
                  <c:v>-18250.06640933378</c:v>
                </c:pt>
                <c:pt idx="17">
                  <c:v>-19997.717259080066</c:v>
                </c:pt>
                <c:pt idx="18">
                  <c:v>-20866.692791768426</c:v>
                </c:pt>
                <c:pt idx="19">
                  <c:v>-20873.655801974488</c:v>
                </c:pt>
                <c:pt idx="20">
                  <c:v>-20083.461191498976</c:v>
                </c:pt>
                <c:pt idx="21">
                  <c:v>-18603.510509345553</c:v>
                </c:pt>
                <c:pt idx="22">
                  <c:v>-16574.256973836622</c:v>
                </c:pt>
                <c:pt idx="23">
                  <c:v>-14156.766085638728</c:v>
                </c:pt>
                <c:pt idx="24">
                  <c:v>-11518.741037690395</c:v>
                </c:pt>
                <c:pt idx="25">
                  <c:v>-8820.6854754977339</c:v>
                </c:pt>
                <c:pt idx="26">
                  <c:v>-6203.850066876621</c:v>
                </c:pt>
                <c:pt idx="27">
                  <c:v>-3781.3003911961523</c:v>
                </c:pt>
                <c:pt idx="28">
                  <c:v>-1632.9165813608572</c:v>
                </c:pt>
                <c:pt idx="29">
                  <c:v>195.5004998740115</c:v>
                </c:pt>
                <c:pt idx="30">
                  <c:v>1689.4573970040781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F0-4D96-9DF4-EF763209F148}"/>
            </c:ext>
          </c:extLst>
        </c:ser>
        <c:ser>
          <c:idx val="4"/>
          <c:order val="1"/>
          <c:tx>
            <c:v>0.0001 M, pH variable</c:v>
          </c:tx>
          <c:spPr>
            <a:ln w="3810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'0.0001M'!$AJ$5:$AJ$35</c:f>
              <c:numCache>
                <c:formatCode>0.00E+00</c:formatCode>
                <c:ptCount val="31"/>
                <c:pt idx="0">
                  <c:v>14697.008183117956</c:v>
                </c:pt>
                <c:pt idx="1">
                  <c:v>12795.166167605539</c:v>
                </c:pt>
                <c:pt idx="2">
                  <c:v>13023.411363821495</c:v>
                </c:pt>
                <c:pt idx="3">
                  <c:v>13478.61042136357</c:v>
                </c:pt>
                <c:pt idx="4">
                  <c:v>13718.084873369877</c:v>
                </c:pt>
                <c:pt idx="5">
                  <c:v>13547.555794507349</c:v>
                </c:pt>
                <c:pt idx="6">
                  <c:v>12955.303256102688</c:v>
                </c:pt>
                <c:pt idx="7">
                  <c:v>12027.777752439419</c:v>
                </c:pt>
                <c:pt idx="8">
                  <c:v>10862.525531556861</c:v>
                </c:pt>
                <c:pt idx="9">
                  <c:v>9531.3249866583119</c:v>
                </c:pt>
                <c:pt idx="10">
                  <c:v>8078.9362407718245</c:v>
                </c:pt>
                <c:pt idx="11">
                  <c:v>6532.5046115320092</c:v>
                </c:pt>
                <c:pt idx="12">
                  <c:v>4910.8671217262972</c:v>
                </c:pt>
                <c:pt idx="13">
                  <c:v>3231.3623364835585</c:v>
                </c:pt>
                <c:pt idx="14">
                  <c:v>1514.0036476713701</c:v>
                </c:pt>
                <c:pt idx="15">
                  <c:v>-216.7817417190779</c:v>
                </c:pt>
                <c:pt idx="16">
                  <c:v>-1932.44439652189</c:v>
                </c:pt>
                <c:pt idx="17">
                  <c:v>-3601.9526121278441</c:v>
                </c:pt>
                <c:pt idx="18">
                  <c:v>-5193.9788616010028</c:v>
                </c:pt>
                <c:pt idx="19">
                  <c:v>-6678.9789746037413</c:v>
                </c:pt>
                <c:pt idx="20">
                  <c:v>-8030.8073682264976</c:v>
                </c:pt>
                <c:pt idx="21">
                  <c:v>-9227.7810752800851</c:v>
                </c:pt>
                <c:pt idx="22">
                  <c:v>-10253.259313198616</c:v>
                </c:pt>
                <c:pt idx="23">
                  <c:v>-11095.853372424323</c:v>
                </c:pt>
                <c:pt idx="24">
                  <c:v>-11749.371291371996</c:v>
                </c:pt>
                <c:pt idx="25">
                  <c:v>-12212.573691319381</c:v>
                </c:pt>
                <c:pt idx="26">
                  <c:v>-12488.792140337315</c:v>
                </c:pt>
                <c:pt idx="27">
                  <c:v>-12585.445504963993</c:v>
                </c:pt>
                <c:pt idx="28">
                  <c:v>-12513.481811159148</c:v>
                </c:pt>
                <c:pt idx="29">
                  <c:v>-12286.770059309114</c:v>
                </c:pt>
                <c:pt idx="30">
                  <c:v>-11921.465425465536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F0-4D96-9DF4-EF763209F148}"/>
            </c:ext>
          </c:extLst>
        </c:ser>
        <c:ser>
          <c:idx val="2"/>
          <c:order val="2"/>
          <c:tx>
            <c:v>0.001 M, pH variable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'0.001M'!$AI$5:$AI$35</c:f>
              <c:numCache>
                <c:formatCode>0.00E+00</c:formatCode>
                <c:ptCount val="31"/>
                <c:pt idx="0">
                  <c:v>3752.9293674885284</c:v>
                </c:pt>
                <c:pt idx="1">
                  <c:v>3060.450801490927</c:v>
                </c:pt>
                <c:pt idx="2">
                  <c:v>2892.1496662149598</c:v>
                </c:pt>
                <c:pt idx="3">
                  <c:v>2803.6754876570089</c:v>
                </c:pt>
                <c:pt idx="4">
                  <c:v>2707.1886670017352</c:v>
                </c:pt>
                <c:pt idx="5">
                  <c:v>2573.5913799806567</c:v>
                </c:pt>
                <c:pt idx="6">
                  <c:v>2405.0855648693146</c:v>
                </c:pt>
                <c:pt idx="7">
                  <c:v>2216.1193398132527</c:v>
                </c:pt>
                <c:pt idx="8">
                  <c:v>2020.0679113307208</c:v>
                </c:pt>
                <c:pt idx="9">
                  <c:v>1825.2977605001142</c:v>
                </c:pt>
                <c:pt idx="10">
                  <c:v>1636.0237525346761</c:v>
                </c:pt>
                <c:pt idx="11">
                  <c:v>1453.9691313853355</c:v>
                </c:pt>
                <c:pt idx="12">
                  <c:v>1279.5711259002883</c:v>
                </c:pt>
                <c:pt idx="13">
                  <c:v>1112.678261636333</c:v>
                </c:pt>
                <c:pt idx="14">
                  <c:v>952.91858067481292</c:v>
                </c:pt>
                <c:pt idx="15">
                  <c:v>799.88424325579342</c:v>
                </c:pt>
                <c:pt idx="16">
                  <c:v>653.21860824234773</c:v>
                </c:pt>
                <c:pt idx="17">
                  <c:v>512.65209797193495</c:v>
                </c:pt>
                <c:pt idx="18">
                  <c:v>378.0110949304887</c:v>
                </c:pt>
                <c:pt idx="19">
                  <c:v>249.21263308821116</c:v>
                </c:pt>
                <c:pt idx="20">
                  <c:v>126.25177280119446</c:v>
                </c:pt>
                <c:pt idx="21">
                  <c:v>9.1855329094222284</c:v>
                </c:pt>
                <c:pt idx="22">
                  <c:v>-101.88432484312403</c:v>
                </c:pt>
                <c:pt idx="23">
                  <c:v>-206.82822408619793</c:v>
                </c:pt>
                <c:pt idx="24">
                  <c:v>-305.50448249797432</c:v>
                </c:pt>
                <c:pt idx="25">
                  <c:v>-397.77319393158939</c:v>
                </c:pt>
                <c:pt idx="26">
                  <c:v>-483.50791302233097</c:v>
                </c:pt>
                <c:pt idx="27">
                  <c:v>-562.60495842381556</c:v>
                </c:pt>
                <c:pt idx="28">
                  <c:v>-634.99030550067482</c:v>
                </c:pt>
                <c:pt idx="29">
                  <c:v>-700.62416639521814</c:v>
                </c:pt>
                <c:pt idx="30">
                  <c:v>-759.50345510045486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FF0-4D96-9DF4-EF763209F148}"/>
            </c:ext>
          </c:extLst>
        </c:ser>
        <c:ser>
          <c:idx val="6"/>
          <c:order val="3"/>
          <c:tx>
            <c:v>0.01 M, pH variable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FF0-4D96-9DF4-EF763209F148}"/>
            </c:ext>
          </c:extLst>
        </c:ser>
        <c:ser>
          <c:idx val="1"/>
          <c:order val="4"/>
          <c:tx>
            <c:v>0.1 M, pH variable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'0.1M'!$AI$5:$AI$35</c:f>
              <c:numCache>
                <c:formatCode>0.00E+00</c:formatCode>
                <c:ptCount val="31"/>
                <c:pt idx="0">
                  <c:v>8.5382991898646416</c:v>
                </c:pt>
                <c:pt idx="1">
                  <c:v>7.8843090410294083</c:v>
                </c:pt>
                <c:pt idx="2">
                  <c:v>7.5015653695761788</c:v>
                </c:pt>
                <c:pt idx="3">
                  <c:v>7.254342125841899</c:v>
                </c:pt>
                <c:pt idx="4">
                  <c:v>7.0826416758916606</c:v>
                </c:pt>
                <c:pt idx="5">
                  <c:v>6.9552704250630351</c:v>
                </c:pt>
                <c:pt idx="6">
                  <c:v>6.855317648634661</c:v>
                </c:pt>
                <c:pt idx="7">
                  <c:v>6.7732430841137194</c:v>
                </c:pt>
                <c:pt idx="8">
                  <c:v>6.7032792490542477</c:v>
                </c:pt>
                <c:pt idx="9">
                  <c:v>6.6416384463838254</c:v>
                </c:pt>
                <c:pt idx="10">
                  <c:v>6.5856274417780831</c:v>
                </c:pt>
                <c:pt idx="11">
                  <c:v>6.5331859443535301</c:v>
                </c:pt>
                <c:pt idx="12">
                  <c:v>6.4826338598229061</c:v>
                </c:pt>
                <c:pt idx="13">
                  <c:v>6.4325325306211667</c:v>
                </c:pt>
                <c:pt idx="14">
                  <c:v>6.3816123058157439</c:v>
                </c:pt>
                <c:pt idx="15">
                  <c:v>6.328739148006238</c:v>
                </c:pt>
                <c:pt idx="16">
                  <c:v>6.2729035511267792</c:v>
                </c:pt>
                <c:pt idx="17">
                  <c:v>6.2132212703956329</c:v>
                </c:pt>
                <c:pt idx="18">
                  <c:v>6.1489392423579217</c:v>
                </c:pt>
                <c:pt idx="19">
                  <c:v>6.0794425398165481</c:v>
                </c:pt>
                <c:pt idx="20">
                  <c:v>6.0042598061009969</c:v>
                </c:pt>
                <c:pt idx="21">
                  <c:v>5.9230656811408835</c:v>
                </c:pt>
                <c:pt idx="22">
                  <c:v>5.8356794738756008</c:v>
                </c:pt>
                <c:pt idx="23">
                  <c:v>5.7420598720161644</c:v>
                </c:pt>
                <c:pt idx="24">
                  <c:v>5.6422958767823701</c:v>
                </c:pt>
                <c:pt idx="25">
                  <c:v>5.5365944399048583</c:v>
                </c:pt>
                <c:pt idx="26">
                  <c:v>5.4252654784586003</c:v>
                </c:pt>
                <c:pt idx="27">
                  <c:v>5.3087050584017135</c:v>
                </c:pt>
                <c:pt idx="28">
                  <c:v>5.1873775775279016</c:v>
                </c:pt>
                <c:pt idx="29">
                  <c:v>5.0617977525533639</c:v>
                </c:pt>
                <c:pt idx="30">
                  <c:v>4.9325131358531751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FF0-4D96-9DF4-EF763209F148}"/>
            </c:ext>
          </c:extLst>
        </c:ser>
        <c:ser>
          <c:idx val="5"/>
          <c:order val="5"/>
          <c:tx>
            <c:v>0.5 M, pH variable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FF0-4D96-9DF4-EF763209F148}"/>
            </c:ext>
          </c:extLst>
        </c:ser>
        <c:ser>
          <c:idx val="0"/>
          <c:order val="6"/>
          <c:tx>
            <c:v>1 M, pH variable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'1M'!$AI$5:$AI$35</c:f>
              <c:numCache>
                <c:formatCode>0.00E+00</c:formatCode>
                <c:ptCount val="31"/>
                <c:pt idx="0">
                  <c:v>0.89788233336652279</c:v>
                </c:pt>
                <c:pt idx="1">
                  <c:v>0.8162664476782876</c:v>
                </c:pt>
                <c:pt idx="2">
                  <c:v>0.76579364500557856</c:v>
                </c:pt>
                <c:pt idx="3">
                  <c:v>0.73193134016882766</c:v>
                </c:pt>
                <c:pt idx="4">
                  <c:v>0.70769523508358767</c:v>
                </c:pt>
                <c:pt idx="5">
                  <c:v>0.6893798463117804</c:v>
                </c:pt>
                <c:pt idx="6">
                  <c:v>0.67487912454725418</c:v>
                </c:pt>
                <c:pt idx="7">
                  <c:v>0.66292879798203974</c:v>
                </c:pt>
                <c:pt idx="8">
                  <c:v>0.652730228107124</c:v>
                </c:pt>
                <c:pt idx="9">
                  <c:v>0.64375114218603258</c:v>
                </c:pt>
                <c:pt idx="10">
                  <c:v>0.63561561775166275</c:v>
                </c:pt>
                <c:pt idx="11">
                  <c:v>0.62804193070491965</c:v>
                </c:pt>
                <c:pt idx="12">
                  <c:v>0.62080715527339381</c:v>
                </c:pt>
                <c:pt idx="13">
                  <c:v>0.61372710820950471</c:v>
                </c:pt>
                <c:pt idx="14">
                  <c:v>0.60664521213801559</c:v>
                </c:pt>
                <c:pt idx="15">
                  <c:v>0.59942655060087624</c:v>
                </c:pt>
                <c:pt idx="16">
                  <c:v>0.59195490419956387</c:v>
                </c:pt>
                <c:pt idx="17">
                  <c:v>0.58413143333611883</c:v>
                </c:pt>
                <c:pt idx="18">
                  <c:v>0.57587419005188334</c:v>
                </c:pt>
                <c:pt idx="19">
                  <c:v>0.56711795348305061</c:v>
                </c:pt>
                <c:pt idx="20">
                  <c:v>0.55781407743276246</c:v>
                </c:pt>
                <c:pt idx="21">
                  <c:v>0.54793016415120332</c:v>
                </c:pt>
                <c:pt idx="22">
                  <c:v>0.53744946381139436</c:v>
                </c:pt>
                <c:pt idx="23">
                  <c:v>0.52636995998864966</c:v>
                </c:pt>
                <c:pt idx="24">
                  <c:v>0.51470314597712818</c:v>
                </c:pt>
                <c:pt idx="25">
                  <c:v>0.50247252915519303</c:v>
                </c:pt>
                <c:pt idx="26">
                  <c:v>0.48971192285692161</c:v>
                </c:pt>
                <c:pt idx="27">
                  <c:v>0.47646359843617153</c:v>
                </c:pt>
                <c:pt idx="28">
                  <c:v>0.46277637535525784</c:v>
                </c:pt>
                <c:pt idx="29">
                  <c:v>0.44870372529467811</c:v>
                </c:pt>
                <c:pt idx="30">
                  <c:v>0.43430195883436429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FF0-4D96-9DF4-EF763209F148}"/>
            </c:ext>
          </c:extLst>
        </c:ser>
        <c:ser>
          <c:idx val="7"/>
          <c:order val="7"/>
          <c:tx>
            <c:v>0.00001 M, pH=7</c:v>
          </c:tx>
          <c:spPr>
            <a:ln w="381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'1e-5M'!$AV$5:$AV$35</c:f>
              <c:numCache>
                <c:formatCode>0.00E+00</c:formatCode>
                <c:ptCount val="31"/>
                <c:pt idx="0">
                  <c:v>15028.2637317391</c:v>
                </c:pt>
                <c:pt idx="1">
                  <c:v>17545.513028216712</c:v>
                </c:pt>
                <c:pt idx="2">
                  <c:v>20217.210892920091</c:v>
                </c:pt>
                <c:pt idx="3">
                  <c:v>23014.837962944315</c:v>
                </c:pt>
                <c:pt idx="4">
                  <c:v>25911.848054003487</c:v>
                </c:pt>
                <c:pt idx="5">
                  <c:v>28884.719903947</c:v>
                </c:pt>
                <c:pt idx="6">
                  <c:v>31913.073468350151</c:v>
                </c:pt>
                <c:pt idx="7">
                  <c:v>34979.11717087272</c:v>
                </c:pt>
                <c:pt idx="8">
                  <c:v>38066.745041873954</c:v>
                </c:pt>
                <c:pt idx="9">
                  <c:v>41160.562184233684</c:v>
                </c:pt>
                <c:pt idx="10">
                  <c:v>44245.03507379505</c:v>
                </c:pt>
                <c:pt idx="11">
                  <c:v>47303.878206496993</c:v>
                </c:pt>
                <c:pt idx="12">
                  <c:v>50319.719675268294</c:v>
                </c:pt>
                <c:pt idx="13">
                  <c:v>53274.040090222807</c:v>
                </c:pt>
                <c:pt idx="14">
                  <c:v>56147.349279566974</c:v>
                </c:pt>
                <c:pt idx="15">
                  <c:v>58919.548857289868</c:v>
                </c:pt>
                <c:pt idx="16">
                  <c:v>61570.421991186864</c:v>
                </c:pt>
                <c:pt idx="17">
                  <c:v>64080.19169075277</c:v>
                </c:pt>
                <c:pt idx="18">
                  <c:v>66430.093694242911</c:v>
                </c:pt>
                <c:pt idx="19">
                  <c:v>68602.918057637042</c:v>
                </c:pt>
                <c:pt idx="20">
                  <c:v>70583.483503715019</c:v>
                </c:pt>
                <c:pt idx="21">
                  <c:v>72359.019265214243</c:v>
                </c:pt>
                <c:pt idx="22">
                  <c:v>73919.439529951225</c:v>
                </c:pt>
                <c:pt idx="23">
                  <c:v>75257.504919709376</c:v>
                </c:pt>
                <c:pt idx="24">
                  <c:v>76368.873263090049</c:v>
                </c:pt>
                <c:pt idx="25">
                  <c:v>77252.048073899365</c:v>
                </c:pt>
                <c:pt idx="26">
                  <c:v>77908.237626048169</c:v>
                </c:pt>
                <c:pt idx="27">
                  <c:v>78341.140435449415</c:v>
                </c:pt>
                <c:pt idx="28">
                  <c:v>78556.674481257302</c:v>
                </c:pt>
                <c:pt idx="29">
                  <c:v>78562.667806752346</c:v>
                </c:pt>
                <c:pt idx="30">
                  <c:v>78368.527431086215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6FF0-4D96-9DF4-EF763209F148}"/>
            </c:ext>
          </c:extLst>
        </c:ser>
        <c:ser>
          <c:idx val="8"/>
          <c:order val="8"/>
          <c:tx>
            <c:v>0.0001 M, pH=7</c:v>
          </c:tx>
          <c:spPr>
            <a:ln w="381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'0.0001M'!$AW$5:$AW$35</c:f>
              <c:numCache>
                <c:formatCode>General</c:formatCode>
                <c:ptCount val="31"/>
                <c:pt idx="0">
                  <c:v>9930.8344904340665</c:v>
                </c:pt>
                <c:pt idx="1">
                  <c:v>11206.906930761439</c:v>
                </c:pt>
                <c:pt idx="2">
                  <c:v>12500.517977413068</c:v>
                </c:pt>
                <c:pt idx="3">
                  <c:v>13795.073462267512</c:v>
                </c:pt>
                <c:pt idx="4">
                  <c:v>15077.513732640753</c:v>
                </c:pt>
                <c:pt idx="5">
                  <c:v>16338.387841458214</c:v>
                </c:pt>
                <c:pt idx="6">
                  <c:v>17571.398504553326</c:v>
                </c:pt>
                <c:pt idx="7">
                  <c:v>18772.65663789296</c:v>
                </c:pt>
                <c:pt idx="8">
                  <c:v>19939.858220820974</c:v>
                </c:pt>
                <c:pt idx="9">
                  <c:v>21071.531232209116</c:v>
                </c:pt>
                <c:pt idx="10">
                  <c:v>22166.43164482254</c:v>
                </c:pt>
                <c:pt idx="11">
                  <c:v>23223.113922809371</c:v>
                </c:pt>
                <c:pt idx="12">
                  <c:v>24239.66795776306</c:v>
                </c:pt>
                <c:pt idx="13">
                  <c:v>25213.597782396937</c:v>
                </c:pt>
                <c:pt idx="14">
                  <c:v>26141.812084553301</c:v>
                </c:pt>
                <c:pt idx="15">
                  <c:v>27020.697388828139</c:v>
                </c:pt>
                <c:pt idx="16">
                  <c:v>27846.248226128359</c:v>
                </c:pt>
                <c:pt idx="17">
                  <c:v>28614.232657169501</c:v>
                </c:pt>
                <c:pt idx="18">
                  <c:v>29320.375252081878</c:v>
                </c:pt>
                <c:pt idx="19">
                  <c:v>29960.54281621717</c:v>
                </c:pt>
                <c:pt idx="20">
                  <c:v>30530.920873162842</c:v>
                </c:pt>
                <c:pt idx="21">
                  <c:v>31028.171351306879</c:v>
                </c:pt>
                <c:pt idx="22">
                  <c:v>31449.564231128665</c:v>
                </c:pt>
                <c:pt idx="23">
                  <c:v>31793.078185235907</c:v>
                </c:pt>
                <c:pt idx="24">
                  <c:v>32057.46748881201</c:v>
                </c:pt>
                <c:pt idx="25">
                  <c:v>32242.294635232716</c:v>
                </c:pt>
                <c:pt idx="26">
                  <c:v>32347.930062104722</c:v>
                </c:pt>
                <c:pt idx="27">
                  <c:v>32375.522070013703</c:v>
                </c:pt>
                <c:pt idx="28">
                  <c:v>32326.941310078269</c:v>
                </c:pt>
                <c:pt idx="29">
                  <c:v>32204.705072155717</c:v>
                </c:pt>
                <c:pt idx="30">
                  <c:v>32011.887011522504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FF0-4D96-9DF4-EF763209F148}"/>
            </c:ext>
          </c:extLst>
        </c:ser>
        <c:ser>
          <c:idx val="9"/>
          <c:order val="9"/>
          <c:tx>
            <c:v>0.001 M, pH=7</c:v>
          </c:tx>
          <c:spPr>
            <a:ln w="38100">
              <a:solidFill>
                <a:srgbClr val="0000FF"/>
              </a:solidFill>
              <a:prstDash val="dash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'0.001M'!$AV$5:$AV$35</c:f>
              <c:numCache>
                <c:formatCode>General</c:formatCode>
                <c:ptCount val="31"/>
                <c:pt idx="0">
                  <c:v>2630.7900279198889</c:v>
                </c:pt>
                <c:pt idx="1">
                  <c:v>2659.0906356302253</c:v>
                </c:pt>
                <c:pt idx="2">
                  <c:v>2704.5589001824878</c:v>
                </c:pt>
                <c:pt idx="3">
                  <c:v>2758.5944432300098</c:v>
                </c:pt>
                <c:pt idx="4">
                  <c:v>2816.2131143709485</c:v>
                </c:pt>
                <c:pt idx="5">
                  <c:v>2874.5516921912563</c:v>
                </c:pt>
                <c:pt idx="6">
                  <c:v>2932.021287777322</c:v>
                </c:pt>
                <c:pt idx="7">
                  <c:v>2987.7851340803645</c:v>
                </c:pt>
                <c:pt idx="8">
                  <c:v>3041.4241171157469</c:v>
                </c:pt>
                <c:pt idx="9">
                  <c:v>3092.7231038809559</c:v>
                </c:pt>
                <c:pt idx="10">
                  <c:v>3141.5391491014907</c:v>
                </c:pt>
                <c:pt idx="11">
                  <c:v>3187.7257514350044</c:v>
                </c:pt>
                <c:pt idx="12">
                  <c:v>3231.0948972550918</c:v>
                </c:pt>
                <c:pt idx="13">
                  <c:v>3271.4038368791907</c:v>
                </c:pt>
                <c:pt idx="14">
                  <c:v>3308.3573869157026</c:v>
                </c:pt>
                <c:pt idx="15">
                  <c:v>3341.6193953851739</c:v>
                </c:pt>
                <c:pt idx="16">
                  <c:v>3370.8290442933917</c:v>
                </c:pt>
                <c:pt idx="17">
                  <c:v>3395.6190754535023</c:v>
                </c:pt>
                <c:pt idx="18">
                  <c:v>3415.6339768196085</c:v>
                </c:pt>
                <c:pt idx="19">
                  <c:v>3430.5468031020514</c:v>
                </c:pt>
                <c:pt idx="20">
                  <c:v>3440.0737396206955</c:v>
                </c:pt>
                <c:pt idx="21">
                  <c:v>3443.9858334191485</c:v>
                </c:pt>
                <c:pt idx="22">
                  <c:v>3442.1175629064046</c:v>
                </c:pt>
                <c:pt idx="23">
                  <c:v>3434.3721259303607</c:v>
                </c:pt>
                <c:pt idx="24">
                  <c:v>3420.7235087526255</c:v>
                </c:pt>
                <c:pt idx="25">
                  <c:v>3401.215556749788</c:v>
                </c:pt>
                <c:pt idx="26">
                  <c:v>3375.9583981621768</c:v>
                </c:pt>
                <c:pt idx="27">
                  <c:v>3345.1226697079278</c:v>
                </c:pt>
                <c:pt idx="28">
                  <c:v>3308.9320535424508</c:v>
                </c:pt>
                <c:pt idx="29">
                  <c:v>3267.6546579047954</c:v>
                </c:pt>
                <c:pt idx="30">
                  <c:v>3221.5937612370899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FF0-4D96-9DF4-EF763209F148}"/>
            </c:ext>
          </c:extLst>
        </c:ser>
        <c:ser>
          <c:idx val="10"/>
          <c:order val="10"/>
          <c:tx>
            <c:v>0.01 M, pH=7</c:v>
          </c:tx>
          <c:spPr>
            <a:ln w="38100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'0.01M'!$AV$5:$AV$35</c:f>
              <c:numCache>
                <c:formatCode>General</c:formatCode>
                <c:ptCount val="31"/>
                <c:pt idx="0">
                  <c:v>174.08753916938988</c:v>
                </c:pt>
                <c:pt idx="1">
                  <c:v>164.91891868121414</c:v>
                </c:pt>
                <c:pt idx="2">
                  <c:v>159.88815318930736</c:v>
                </c:pt>
                <c:pt idx="3">
                  <c:v>157.10705902422748</c:v>
                </c:pt>
                <c:pt idx="4">
                  <c:v>155.61466732877557</c:v>
                </c:pt>
                <c:pt idx="5">
                  <c:v>154.88443247251135</c:v>
                </c:pt>
                <c:pt idx="6">
                  <c:v>154.6139444471043</c:v>
                </c:pt>
                <c:pt idx="7">
                  <c:v>154.62321658828893</c:v>
                </c:pt>
                <c:pt idx="8">
                  <c:v>154.8010083002483</c:v>
                </c:pt>
                <c:pt idx="9">
                  <c:v>155.07491650903151</c:v>
                </c:pt>
                <c:pt idx="10">
                  <c:v>155.39426550161471</c:v>
                </c:pt>
                <c:pt idx="11">
                  <c:v>155.72029497671514</c:v>
                </c:pt>
                <c:pt idx="12">
                  <c:v>156.02065155167321</c:v>
                </c:pt>
                <c:pt idx="13">
                  <c:v>156.26645490203902</c:v>
                </c:pt>
                <c:pt idx="14">
                  <c:v>156.43090296541854</c:v>
                </c:pt>
                <c:pt idx="15">
                  <c:v>156.48878232609187</c:v>
                </c:pt>
                <c:pt idx="16">
                  <c:v>156.41649060485005</c:v>
                </c:pt>
                <c:pt idx="17">
                  <c:v>156.19232450492797</c:v>
                </c:pt>
                <c:pt idx="18">
                  <c:v>155.79687770497549</c:v>
                </c:pt>
                <c:pt idx="19">
                  <c:v>155.21344938171268</c:v>
                </c:pt>
                <c:pt idx="20">
                  <c:v>154.42840042990173</c:v>
                </c:pt>
                <c:pt idx="21">
                  <c:v>153.43141875132639</c:v>
                </c:pt>
                <c:pt idx="22">
                  <c:v>152.21567225735296</c:v>
                </c:pt>
                <c:pt idx="23">
                  <c:v>150.77784125786329</c:v>
                </c:pt>
                <c:pt idx="24">
                  <c:v>149.11803212106079</c:v>
                </c:pt>
                <c:pt idx="25">
                  <c:v>147.23958210683321</c:v>
                </c:pt>
                <c:pt idx="26">
                  <c:v>145.14877130232256</c:v>
                </c:pt>
                <c:pt idx="27">
                  <c:v>142.85446166075133</c:v>
                </c:pt>
                <c:pt idx="28">
                  <c:v>140.36768530132366</c:v>
                </c:pt>
                <c:pt idx="29">
                  <c:v>137.70120459150516</c:v>
                </c:pt>
                <c:pt idx="30">
                  <c:v>134.86906533597679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FF0-4D96-9DF4-EF763209F148}"/>
            </c:ext>
          </c:extLst>
        </c:ser>
        <c:ser>
          <c:idx val="11"/>
          <c:order val="11"/>
          <c:tx>
            <c:v>0.1 M, pH=7</c:v>
          </c:tx>
          <c:spPr>
            <a:ln w="38100">
              <a:solidFill>
                <a:srgbClr val="F79646">
                  <a:lumMod val="50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'0.1M'!$AV$5:$AV$35</c:f>
              <c:numCache>
                <c:formatCode>0.00E+00</c:formatCode>
                <c:ptCount val="31"/>
                <c:pt idx="0">
                  <c:v>8.7485530047110771</c:v>
                </c:pt>
                <c:pt idx="1">
                  <c:v>8.1153404248976244</c:v>
                </c:pt>
                <c:pt idx="2">
                  <c:v>7.7344977290491004</c:v>
                </c:pt>
                <c:pt idx="3">
                  <c:v>7.4890222757481855</c:v>
                </c:pt>
                <c:pt idx="4">
                  <c:v>7.3211717663914575</c:v>
                </c:pt>
                <c:pt idx="5">
                  <c:v>7.1999300797796897</c:v>
                </c:pt>
                <c:pt idx="6">
                  <c:v>7.1076818304737097</c:v>
                </c:pt>
                <c:pt idx="7">
                  <c:v>7.033988010817505</c:v>
                </c:pt>
                <c:pt idx="8">
                  <c:v>6.972400336876567</c:v>
                </c:pt>
                <c:pt idx="9">
                  <c:v>6.9187316994750088</c:v>
                </c:pt>
                <c:pt idx="10">
                  <c:v>6.8700860660108418</c:v>
                </c:pt>
                <c:pt idx="11">
                  <c:v>6.8243083633141568</c:v>
                </c:pt>
                <c:pt idx="12">
                  <c:v>6.7796751033821234</c:v>
                </c:pt>
                <c:pt idx="13">
                  <c:v>6.7347254755820529</c:v>
                </c:pt>
                <c:pt idx="14">
                  <c:v>6.6881746296616216</c:v>
                </c:pt>
                <c:pt idx="15">
                  <c:v>6.6388744822182808</c:v>
                </c:pt>
                <c:pt idx="16">
                  <c:v>6.5858011278662749</c:v>
                </c:pt>
                <c:pt idx="17">
                  <c:v>6.5280561142431797</c:v>
                </c:pt>
                <c:pt idx="18">
                  <c:v>6.4648737736345545</c:v>
                </c:pt>
                <c:pt idx="19">
                  <c:v>6.3956298246785233</c:v>
                </c:pt>
                <c:pt idx="20">
                  <c:v>6.3198483494190087</c:v>
                </c:pt>
                <c:pt idx="21">
                  <c:v>6.2372054784318109</c:v>
                </c:pt>
                <c:pt idx="22">
                  <c:v>6.1475289510289155</c:v>
                </c:pt>
                <c:pt idx="23">
                  <c:v>6.0507933115066761</c:v>
                </c:pt>
                <c:pt idx="24">
                  <c:v>5.9471109374839122</c:v>
                </c:pt>
                <c:pt idx="25">
                  <c:v>5.8367194128643156</c:v>
                </c:pt>
                <c:pt idx="26">
                  <c:v>5.7199659746774918</c:v>
                </c:pt>
                <c:pt idx="27">
                  <c:v>5.5972898898695149</c:v>
                </c:pt>
                <c:pt idx="28">
                  <c:v>5.4692036633163612</c:v>
                </c:pt>
                <c:pt idx="29">
                  <c:v>5.3362739522908784</c:v>
                </c:pt>
                <c:pt idx="30">
                  <c:v>5.1991029788044516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FF0-4D96-9DF4-EF763209F148}"/>
            </c:ext>
          </c:extLst>
        </c:ser>
        <c:ser>
          <c:idx val="12"/>
          <c:order val="12"/>
          <c:tx>
            <c:v>0.5 M, pH=7</c:v>
          </c:tx>
          <c:spPr>
            <a:ln w="38100">
              <a:solidFill>
                <a:srgbClr val="F79646">
                  <a:lumMod val="75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'0.5M'!$AV$5:$AV$35</c:f>
              <c:numCache>
                <c:formatCode>General</c:formatCode>
                <c:ptCount val="31"/>
                <c:pt idx="0">
                  <c:v>1.7788399448796233</c:v>
                </c:pt>
                <c:pt idx="1">
                  <c:v>1.6327929043526348</c:v>
                </c:pt>
                <c:pt idx="2">
                  <c:v>1.5435824387950439</c:v>
                </c:pt>
                <c:pt idx="3">
                  <c:v>1.4847579823743962</c:v>
                </c:pt>
                <c:pt idx="4">
                  <c:v>1.4434623266322242</c:v>
                </c:pt>
                <c:pt idx="5">
                  <c:v>1.4128406044276847</c:v>
                </c:pt>
                <c:pt idx="6">
                  <c:v>1.3890011901977757</c:v>
                </c:pt>
                <c:pt idx="7">
                  <c:v>1.3696235371846608</c:v>
                </c:pt>
                <c:pt idx="8">
                  <c:v>1.3532576820154494</c:v>
                </c:pt>
                <c:pt idx="9">
                  <c:v>1.338949114141833</c:v>
                </c:pt>
                <c:pt idx="10">
                  <c:v>1.3260302493341294</c:v>
                </c:pt>
                <c:pt idx="11">
                  <c:v>1.3140024792826306</c:v>
                </c:pt>
                <c:pt idx="12">
                  <c:v>1.3024694164030508</c:v>
                </c:pt>
                <c:pt idx="13">
                  <c:v>1.291099721276598</c:v>
                </c:pt>
                <c:pt idx="14">
                  <c:v>1.2796071684749257</c:v>
                </c:pt>
                <c:pt idx="15">
                  <c:v>1.2677407098563038</c:v>
                </c:pt>
                <c:pt idx="16">
                  <c:v>1.2552802097053974</c:v>
                </c:pt>
                <c:pt idx="17">
                  <c:v>1.2420352321676664</c:v>
                </c:pt>
                <c:pt idx="18">
                  <c:v>1.227845277830397</c:v>
                </c:pt>
                <c:pt idx="19">
                  <c:v>1.2125804831211908</c:v>
                </c:pt>
                <c:pt idx="20">
                  <c:v>1.1961421803362184</c:v>
                </c:pt>
                <c:pt idx="21">
                  <c:v>1.1784629645441889</c:v>
                </c:pt>
                <c:pt idx="22">
                  <c:v>1.1595060821389969</c:v>
                </c:pt>
                <c:pt idx="23">
                  <c:v>1.1392640756206223</c:v>
                </c:pt>
                <c:pt idx="24">
                  <c:v>1.1177567068576073</c:v>
                </c:pt>
                <c:pt idx="25">
                  <c:v>1.0950282448901256</c:v>
                </c:pt>
                <c:pt idx="26">
                  <c:v>1.0711442482060187</c:v>
                </c:pt>
                <c:pt idx="27">
                  <c:v>1.0461879974688573</c:v>
                </c:pt>
                <c:pt idx="28">
                  <c:v>1.0202567446365003</c:v>
                </c:pt>
                <c:pt idx="29">
                  <c:v>0.99345794037997304</c:v>
                </c:pt>
                <c:pt idx="30">
                  <c:v>0.96590558636609924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FF0-4D96-9DF4-EF763209F148}"/>
            </c:ext>
          </c:extLst>
        </c:ser>
        <c:ser>
          <c:idx val="13"/>
          <c:order val="13"/>
          <c:tx>
            <c:v>1 M, pH=7</c:v>
          </c:tx>
          <c:spPr>
            <a:ln w="38100">
              <a:solidFill>
                <a:srgbClr val="0070C0"/>
              </a:solidFill>
              <a:prstDash val="dash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'1M'!$AV$5:$AV$35</c:f>
              <c:numCache>
                <c:formatCode>General</c:formatCode>
                <c:ptCount val="31"/>
                <c:pt idx="0">
                  <c:v>0.89788522599753884</c:v>
                </c:pt>
                <c:pt idx="1">
                  <c:v>0.81626922776737187</c:v>
                </c:pt>
                <c:pt idx="2">
                  <c:v>0.76579641031967549</c:v>
                </c:pt>
                <c:pt idx="3">
                  <c:v>0.73193412481885534</c:v>
                </c:pt>
                <c:pt idx="4">
                  <c:v>0.70769805931852015</c:v>
                </c:pt>
                <c:pt idx="5">
                  <c:v>0.68938272598596351</c:v>
                </c:pt>
                <c:pt idx="6">
                  <c:v>0.67488206436206588</c:v>
                </c:pt>
                <c:pt idx="7">
                  <c:v>0.66293177905239487</c:v>
                </c:pt>
                <c:pt idx="8">
                  <c:v>0.65273319518113615</c:v>
                </c:pt>
                <c:pt idx="9">
                  <c:v>0.64375399318562188</c:v>
                </c:pt>
                <c:pt idx="10">
                  <c:v>0.63561819678217446</c:v>
                </c:pt>
                <c:pt idx="11">
                  <c:v>0.6280440248308039</c:v>
                </c:pt>
                <c:pt idx="12">
                  <c:v>0.6208084949241387</c:v>
                </c:pt>
                <c:pt idx="13">
                  <c:v>0.61372737089129736</c:v>
                </c:pt>
                <c:pt idx="14">
                  <c:v>0.60664402906099335</c:v>
                </c:pt>
                <c:pt idx="15">
                  <c:v>0.59942351581412778</c:v>
                </c:pt>
                <c:pt idx="16">
                  <c:v>0.59194958581689583</c:v>
                </c:pt>
                <c:pt idx="17">
                  <c:v>0.5841233864202281</c:v>
                </c:pt>
                <c:pt idx="18">
                  <c:v>0.57586297070268699</c:v>
                </c:pt>
                <c:pt idx="19">
                  <c:v>0.56710313365422127</c:v>
                </c:pt>
                <c:pt idx="20">
                  <c:v>0.55779525998753965</c:v>
                </c:pt>
                <c:pt idx="21">
                  <c:v>0.54790699767157436</c:v>
                </c:pt>
                <c:pt idx="22">
                  <c:v>0.53742165669810482</c:v>
                </c:pt>
                <c:pt idx="23">
                  <c:v>0.52633729343399815</c:v>
                </c:pt>
                <c:pt idx="24">
                  <c:v>0.51466548545562796</c:v>
                </c:pt>
                <c:pt idx="25">
                  <c:v>0.50242983415382947</c:v>
                </c:pt>
                <c:pt idx="26">
                  <c:v>0.48966425465025554</c:v>
                </c:pt>
                <c:pt idx="27">
                  <c:v>0.47641112579482159</c:v>
                </c:pt>
                <c:pt idx="28">
                  <c:v>0.46271937815283848</c:v>
                </c:pt>
                <c:pt idx="29">
                  <c:v>0.4486425960428142</c:v>
                </c:pt>
                <c:pt idx="30">
                  <c:v>0.43423720222445511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6FF0-4D96-9DF4-EF763209F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668216"/>
        <c:axId val="236668608"/>
      </c:scatterChart>
      <c:valAx>
        <c:axId val="236668216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32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32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32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5244116427291333"/>
              <c:y val="0.9347839036604389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8608"/>
        <c:crossesAt val="-100000"/>
        <c:crossBetween val="midCat"/>
        <c:majorUnit val="20"/>
        <c:minorUnit val="10"/>
      </c:valAx>
      <c:valAx>
        <c:axId val="236668608"/>
        <c:scaling>
          <c:orientation val="minMax"/>
          <c:max val="100000"/>
          <c:min val="-2500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32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- Streaming potential coefficient (mV/MPa)</a:t>
                </a:r>
                <a:endParaRPr lang="en-GB" sz="44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8605673379471187E-3"/>
              <c:y val="0.1464342874582451"/>
            </c:manualLayout>
          </c:layout>
          <c:overlay val="0"/>
        </c:title>
        <c:numFmt formatCode="0.0E+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8216"/>
        <c:crossesAt val="1.0000000000000192E-6"/>
        <c:crossBetween val="midCat"/>
        <c:majorUnit val="25000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643881846446415"/>
          <c:y val="2.352431378493432E-2"/>
          <c:w val="0.22856593122298588"/>
          <c:h val="0.7044509747161377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652461492079754"/>
          <c:y val="2.0424744204271771E-2"/>
          <c:w val="0.61824823292466558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Vinogradov0.01M!$G$2:$G$6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Vinogradov0.01M!$K$2:$K$6</c:f>
              <c:numCache>
                <c:formatCode>General</c:formatCode>
                <c:ptCount val="5"/>
                <c:pt idx="0">
                  <c:v>43.8</c:v>
                </c:pt>
                <c:pt idx="1">
                  <c:v>39.4</c:v>
                </c:pt>
                <c:pt idx="2">
                  <c:v>37.9</c:v>
                </c:pt>
                <c:pt idx="3">
                  <c:v>36.5</c:v>
                </c:pt>
                <c:pt idx="4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9C-47E6-B300-00D68B26A414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Vinogradov0.01M!$G$7:$G$11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Vinogradov0.01M!$K$7:$K$12</c:f>
              <c:numCache>
                <c:formatCode>General</c:formatCode>
                <c:ptCount val="6"/>
                <c:pt idx="0">
                  <c:v>42</c:v>
                </c:pt>
                <c:pt idx="1">
                  <c:v>36.4</c:v>
                </c:pt>
                <c:pt idx="2">
                  <c:v>26.7</c:v>
                </c:pt>
                <c:pt idx="3">
                  <c:v>22.3</c:v>
                </c:pt>
                <c:pt idx="4">
                  <c:v>21</c:v>
                </c:pt>
                <c:pt idx="5">
                  <c:v>72.3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9C-47E6-B300-00D68B26A414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Vinogradov0.01M!$G$12:$G$16</c:f>
              <c:numCache>
                <c:formatCode>General</c:formatCode>
                <c:ptCount val="5"/>
                <c:pt idx="0">
                  <c:v>21</c:v>
                </c:pt>
                <c:pt idx="1">
                  <c:v>43</c:v>
                </c:pt>
                <c:pt idx="2">
                  <c:v>82</c:v>
                </c:pt>
                <c:pt idx="3">
                  <c:v>118</c:v>
                </c:pt>
                <c:pt idx="4">
                  <c:v>146</c:v>
                </c:pt>
              </c:numCache>
            </c:numRef>
          </c:xVal>
          <c:yVal>
            <c:numRef>
              <c:f>Vinogradov0.01M!$K$12:$K$16</c:f>
              <c:numCache>
                <c:formatCode>General</c:formatCode>
                <c:ptCount val="5"/>
                <c:pt idx="0">
                  <c:v>72.3</c:v>
                </c:pt>
                <c:pt idx="1">
                  <c:v>59.928600000000003</c:v>
                </c:pt>
                <c:pt idx="2">
                  <c:v>45.753399999999999</c:v>
                </c:pt>
                <c:pt idx="3">
                  <c:v>44.090800000000002</c:v>
                </c:pt>
                <c:pt idx="4">
                  <c:v>43.553699999999999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09C-47E6-B300-00D68B26A414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Vinogradov0.01M!$G$17:$G$22</c:f>
              <c:numCache>
                <c:formatCode>General</c:formatCode>
                <c:ptCount val="6"/>
                <c:pt idx="0">
                  <c:v>22</c:v>
                </c:pt>
                <c:pt idx="1">
                  <c:v>38</c:v>
                </c:pt>
                <c:pt idx="2">
                  <c:v>70</c:v>
                </c:pt>
                <c:pt idx="3">
                  <c:v>78</c:v>
                </c:pt>
                <c:pt idx="4">
                  <c:v>118</c:v>
                </c:pt>
                <c:pt idx="5">
                  <c:v>147</c:v>
                </c:pt>
              </c:numCache>
            </c:numRef>
          </c:xVal>
          <c:yVal>
            <c:numRef>
              <c:f>Vinogradov0.01M!$K$17:$K$22</c:f>
              <c:numCache>
                <c:formatCode>General</c:formatCode>
                <c:ptCount val="6"/>
                <c:pt idx="0">
                  <c:v>223.2</c:v>
                </c:pt>
                <c:pt idx="1">
                  <c:v>141.4</c:v>
                </c:pt>
                <c:pt idx="2">
                  <c:v>93.5</c:v>
                </c:pt>
                <c:pt idx="3">
                  <c:v>85.35</c:v>
                </c:pt>
                <c:pt idx="4">
                  <c:v>83.3</c:v>
                </c:pt>
                <c:pt idx="5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09C-47E6-B300-00D68B26A414}"/>
            </c:ext>
          </c:extLst>
        </c:ser>
        <c:ser>
          <c:idx val="6"/>
          <c:order val="4"/>
          <c:tx>
            <c:v> Model 0.01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09C-47E6-B300-00D68B26A414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Vinogradov0.5M!$G$2:$G$6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Vinogradov0.5M!$K$2:$K$6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09C-47E6-B300-00D68B26A414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Vinogradov0.5M!$G$7:$G$11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Vinogradov0.5M!$K$7:$K$11</c:f>
              <c:numCache>
                <c:formatCode>General</c:formatCode>
                <c:ptCount val="5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2.2999999999999998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09C-47E6-B300-00D68B26A414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Vinogradov0.5M!$G$12:$G$16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77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Vinogradov0.5M!$K$12:$K$16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2.5</c:v>
                </c:pt>
                <c:pt idx="3">
                  <c:v>2.6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09C-47E6-B300-00D68B26A414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x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Vinogradov0.5M!$G$17:$G$21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Vinogradov0.5M!$K$17:$K$21</c:f>
              <c:numCache>
                <c:formatCode>General</c:formatCode>
                <c:ptCount val="5"/>
                <c:pt idx="0">
                  <c:v>2.7</c:v>
                </c:pt>
                <c:pt idx="1">
                  <c:v>3.1</c:v>
                </c:pt>
                <c:pt idx="2">
                  <c:v>3</c:v>
                </c:pt>
                <c:pt idx="3">
                  <c:v>3.1</c:v>
                </c:pt>
                <c:pt idx="4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09C-47E6-B300-00D68B26A414}"/>
            </c:ext>
          </c:extLst>
        </c:ser>
        <c:ser>
          <c:idx val="5"/>
          <c:order val="9"/>
          <c:tx>
            <c:v>Model 0.5 M</c:v>
          </c:tx>
          <c:spPr>
            <a:ln w="28575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109C-47E6-B300-00D68B26A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669392"/>
        <c:axId val="236669784"/>
      </c:scatterChart>
      <c:valAx>
        <c:axId val="236669392"/>
        <c:scaling>
          <c:orientation val="minMax"/>
          <c:max val="160"/>
          <c:min val="0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8858221563525885"/>
              <c:y val="0.9309198724121047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9784"/>
        <c:crossesAt val="-40"/>
        <c:crossBetween val="midCat"/>
        <c:majorUnit val="20"/>
        <c:minorUnit val="10"/>
      </c:valAx>
      <c:valAx>
        <c:axId val="236669784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- Streaming  potential coefficient</a:t>
                </a:r>
                <a:r>
                  <a:rPr lang="en-US" sz="24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 (mV/MPa)</a:t>
                </a:r>
              </a:p>
            </c:rich>
          </c:tx>
          <c:layout>
            <c:manualLayout>
              <c:xMode val="edge"/>
              <c:yMode val="edge"/>
              <c:x val="1.5513689140008268E-2"/>
              <c:y val="0.16743841968300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6669392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6093784671692999"/>
          <c:y val="2.1346975461324569E-2"/>
          <c:w val="0.23042361544313084"/>
          <c:h val="0.48039205542737512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820078621674801"/>
          <c:y val="2.0424744204271771E-2"/>
          <c:w val="0.61311549751710148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Vinogradov0.01M!$F$2:$F$6</c:f>
              <c:numCache>
                <c:formatCode>General</c:formatCode>
                <c:ptCount val="5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</c:numCache>
            </c:numRef>
          </c:xVal>
          <c:yVal>
            <c:numRef>
              <c:f>Vinogradov0.01M!$K$2:$K$6</c:f>
              <c:numCache>
                <c:formatCode>General</c:formatCode>
                <c:ptCount val="5"/>
                <c:pt idx="0">
                  <c:v>43.8</c:v>
                </c:pt>
                <c:pt idx="1">
                  <c:v>39.4</c:v>
                </c:pt>
                <c:pt idx="2">
                  <c:v>37.9</c:v>
                </c:pt>
                <c:pt idx="3">
                  <c:v>36.5</c:v>
                </c:pt>
                <c:pt idx="4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7F-4056-8CFB-CD1CFAC1DA22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Vinogradov0.01M!$F$7:$F$11</c:f>
              <c:numCache>
                <c:formatCode>General</c:formatCode>
                <c:ptCount val="5"/>
                <c:pt idx="0">
                  <c:v>6.73</c:v>
                </c:pt>
                <c:pt idx="1">
                  <c:v>6.36</c:v>
                </c:pt>
                <c:pt idx="2">
                  <c:v>5.96</c:v>
                </c:pt>
              </c:numCache>
            </c:numRef>
          </c:xVal>
          <c:yVal>
            <c:numRef>
              <c:f>Vinogradov0.01M!$K$7:$K$12</c:f>
              <c:numCache>
                <c:formatCode>General</c:formatCode>
                <c:ptCount val="6"/>
                <c:pt idx="0">
                  <c:v>42</c:v>
                </c:pt>
                <c:pt idx="1">
                  <c:v>36.4</c:v>
                </c:pt>
                <c:pt idx="2">
                  <c:v>26.7</c:v>
                </c:pt>
                <c:pt idx="3">
                  <c:v>22.3</c:v>
                </c:pt>
                <c:pt idx="4">
                  <c:v>21</c:v>
                </c:pt>
                <c:pt idx="5">
                  <c:v>72.3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7F-4056-8CFB-CD1CFAC1DA22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Vinogradov0.01M!$F$12:$F$16</c:f>
              <c:numCache>
                <c:formatCode>General</c:formatCode>
                <c:ptCount val="5"/>
                <c:pt idx="0">
                  <c:v>6.75</c:v>
                </c:pt>
                <c:pt idx="1">
                  <c:v>6.33</c:v>
                </c:pt>
                <c:pt idx="2">
                  <c:v>5.95</c:v>
                </c:pt>
              </c:numCache>
            </c:numRef>
          </c:xVal>
          <c:yVal>
            <c:numRef>
              <c:f>Vinogradov0.01M!$K$12:$K$16</c:f>
              <c:numCache>
                <c:formatCode>General</c:formatCode>
                <c:ptCount val="5"/>
                <c:pt idx="0">
                  <c:v>72.3</c:v>
                </c:pt>
                <c:pt idx="1">
                  <c:v>59.928600000000003</c:v>
                </c:pt>
                <c:pt idx="2">
                  <c:v>45.753399999999999</c:v>
                </c:pt>
                <c:pt idx="3">
                  <c:v>44.090800000000002</c:v>
                </c:pt>
                <c:pt idx="4">
                  <c:v>43.553699999999999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7F-4056-8CFB-CD1CFAC1DA22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0"/>
            <c:spPr>
              <a:ln w="19050"/>
            </c:spPr>
          </c:errBars>
          <c:xVal>
            <c:numRef>
              <c:f>Vinogradov0.01M!$F$17:$F$22</c:f>
              <c:numCache>
                <c:formatCode>General</c:formatCode>
                <c:ptCount val="6"/>
                <c:pt idx="0">
                  <c:v>6.71</c:v>
                </c:pt>
                <c:pt idx="1">
                  <c:v>6.38</c:v>
                </c:pt>
                <c:pt idx="2">
                  <c:v>6.03</c:v>
                </c:pt>
                <c:pt idx="3">
                  <c:v>5.83</c:v>
                </c:pt>
              </c:numCache>
            </c:numRef>
          </c:xVal>
          <c:yVal>
            <c:numRef>
              <c:f>Vinogradov0.01M!$K$17:$K$22</c:f>
              <c:numCache>
                <c:formatCode>General</c:formatCode>
                <c:ptCount val="6"/>
                <c:pt idx="0">
                  <c:v>223.2</c:v>
                </c:pt>
                <c:pt idx="1">
                  <c:v>141.4</c:v>
                </c:pt>
                <c:pt idx="2">
                  <c:v>93.5</c:v>
                </c:pt>
                <c:pt idx="3">
                  <c:v>85.35</c:v>
                </c:pt>
                <c:pt idx="4">
                  <c:v>83.3</c:v>
                </c:pt>
                <c:pt idx="5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7F-4056-8CFB-CD1CFAC1DA22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F7F-4056-8CFB-CD1CFAC1DA22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Vinogradov0.5M!$F$2:$F$6</c:f>
              <c:numCache>
                <c:formatCode>General</c:formatCode>
                <c:ptCount val="5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</c:numCache>
            </c:numRef>
          </c:xVal>
          <c:yVal>
            <c:numRef>
              <c:f>Vinogradov0.5M!$K$2:$K$6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7F-4056-8CFB-CD1CFAC1DA22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Vinogradov0.5M!$F$7:$F$11</c:f>
              <c:numCache>
                <c:formatCode>General</c:formatCode>
                <c:ptCount val="5"/>
                <c:pt idx="0">
                  <c:v>7.23</c:v>
                </c:pt>
                <c:pt idx="1">
                  <c:v>7.3</c:v>
                </c:pt>
                <c:pt idx="2">
                  <c:v>7.12</c:v>
                </c:pt>
              </c:numCache>
            </c:numRef>
          </c:xVal>
          <c:yVal>
            <c:numRef>
              <c:f>Vinogradov0.5M!$K$7:$K$11</c:f>
              <c:numCache>
                <c:formatCode>General</c:formatCode>
                <c:ptCount val="5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2.2999999999999998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F7F-4056-8CFB-CD1CFAC1DA22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Vinogradov0.5M!$F$12:$F$16</c:f>
              <c:numCache>
                <c:formatCode>General</c:formatCode>
                <c:ptCount val="5"/>
                <c:pt idx="0">
                  <c:v>7.54</c:v>
                </c:pt>
                <c:pt idx="1">
                  <c:v>7.48</c:v>
                </c:pt>
                <c:pt idx="2">
                  <c:v>7.38</c:v>
                </c:pt>
              </c:numCache>
            </c:numRef>
          </c:xVal>
          <c:yVal>
            <c:numRef>
              <c:f>Vinogradov0.5M!$K$12:$K$16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2.5</c:v>
                </c:pt>
                <c:pt idx="3">
                  <c:v>2.6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F7F-4056-8CFB-CD1CFAC1DA22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Vinogradov0.5M!$F$17:$F$21</c:f>
              <c:numCache>
                <c:formatCode>General</c:formatCode>
                <c:ptCount val="5"/>
                <c:pt idx="0">
                  <c:v>7.31</c:v>
                </c:pt>
                <c:pt idx="1">
                  <c:v>7.27</c:v>
                </c:pt>
                <c:pt idx="2">
                  <c:v>7.14</c:v>
                </c:pt>
              </c:numCache>
            </c:numRef>
          </c:xVal>
          <c:yVal>
            <c:numRef>
              <c:f>Vinogradov0.5M!$K$17:$K$21</c:f>
              <c:numCache>
                <c:formatCode>General</c:formatCode>
                <c:ptCount val="5"/>
                <c:pt idx="0">
                  <c:v>2.7</c:v>
                </c:pt>
                <c:pt idx="1">
                  <c:v>3.1</c:v>
                </c:pt>
                <c:pt idx="2">
                  <c:v>3</c:v>
                </c:pt>
                <c:pt idx="3">
                  <c:v>3.1</c:v>
                </c:pt>
                <c:pt idx="4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F7F-4056-8CFB-CD1CFAC1DA22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F7F-4056-8CFB-CD1CFAC1D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183832"/>
        <c:axId val="235184224"/>
      </c:scatterChart>
      <c:valAx>
        <c:axId val="235183832"/>
        <c:scaling>
          <c:orientation val="minMax"/>
          <c:max val="7.6"/>
          <c:min val="5.8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pH (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4224"/>
        <c:crossesAt val="-40"/>
        <c:crossBetween val="midCat"/>
        <c:majorUnit val="0.2"/>
      </c:valAx>
      <c:valAx>
        <c:axId val="235184224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- Streaming  potential coefficient</a:t>
                </a:r>
                <a:r>
                  <a:rPr lang="en-US" sz="24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 (mV/MPa)</a:t>
                </a:r>
              </a:p>
            </c:rich>
          </c:tx>
          <c:layout>
            <c:manualLayout>
              <c:xMode val="edge"/>
              <c:yMode val="edge"/>
              <c:x val="2.3976511184940305E-2"/>
              <c:y val="0.1631997300588843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3832"/>
        <c:crossesAt val="5.5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114258416062176"/>
          <c:y val="2.1346975461324569E-2"/>
          <c:w val="0.22021883771721371"/>
          <c:h val="0.48463074505149673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921775760192564"/>
          <c:y val="4.1209109752427461E-2"/>
          <c:w val="0.61622193876143638"/>
          <c:h val="0.82934880460881244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Vinogradov0.01M!$G$2:$G$6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Vinogradov0.01M!$I$2:$I$6</c:f>
              <c:numCache>
                <c:formatCode>General</c:formatCode>
                <c:ptCount val="5"/>
                <c:pt idx="0">
                  <c:v>-21.748319859999999</c:v>
                </c:pt>
                <c:pt idx="1">
                  <c:v>-15.60977027</c:v>
                </c:pt>
                <c:pt idx="2">
                  <c:v>-11.23004117</c:v>
                </c:pt>
                <c:pt idx="3">
                  <c:v>-10.66352348</c:v>
                </c:pt>
                <c:pt idx="4">
                  <c:v>-9.1503950110000005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3B-4F27-98A6-998C9DFFFE5F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Vinogradov0.01M!$G$7:$G$11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Vinogradov0.01M!$I$7:$I$12</c:f>
              <c:numCache>
                <c:formatCode>General</c:formatCode>
                <c:ptCount val="6"/>
                <c:pt idx="0">
                  <c:v>-22.45545701</c:v>
                </c:pt>
                <c:pt idx="1">
                  <c:v>-18.361140049999999</c:v>
                </c:pt>
                <c:pt idx="2">
                  <c:v>-10.52608843</c:v>
                </c:pt>
                <c:pt idx="3">
                  <c:v>-12.053138710000001</c:v>
                </c:pt>
                <c:pt idx="4">
                  <c:v>-10.44771785</c:v>
                </c:pt>
                <c:pt idx="5">
                  <c:v>-21.32082647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3B-4F27-98A6-998C9DFFFE5F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Vinogradov0.01M!$G$12:$G$16</c:f>
              <c:numCache>
                <c:formatCode>General</c:formatCode>
                <c:ptCount val="5"/>
                <c:pt idx="0">
                  <c:v>21</c:v>
                </c:pt>
                <c:pt idx="1">
                  <c:v>43</c:v>
                </c:pt>
                <c:pt idx="2">
                  <c:v>82</c:v>
                </c:pt>
                <c:pt idx="3">
                  <c:v>118</c:v>
                </c:pt>
                <c:pt idx="4">
                  <c:v>146</c:v>
                </c:pt>
              </c:numCache>
            </c:numRef>
          </c:xVal>
          <c:yVal>
            <c:numRef>
              <c:f>Vinogradov0.01M!$I$12:$I$16</c:f>
              <c:numCache>
                <c:formatCode>General</c:formatCode>
                <c:ptCount val="5"/>
                <c:pt idx="0">
                  <c:v>-21.32082647</c:v>
                </c:pt>
                <c:pt idx="1">
                  <c:v>-15.623324200000001</c:v>
                </c:pt>
                <c:pt idx="2">
                  <c:v>-11.48827146</c:v>
                </c:pt>
                <c:pt idx="3">
                  <c:v>-10.83271549</c:v>
                </c:pt>
                <c:pt idx="4">
                  <c:v>-9.9464604330000004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3B-4F27-98A6-998C9DFFFE5F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>
                <a:solidFill>
                  <a:sysClr val="windowText" lastClr="000000"/>
                </a:solidFill>
              </a:ln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Vinogradov0.01M!$G$17:$G$22</c:f>
              <c:numCache>
                <c:formatCode>General</c:formatCode>
                <c:ptCount val="6"/>
                <c:pt idx="0">
                  <c:v>22</c:v>
                </c:pt>
                <c:pt idx="1">
                  <c:v>38</c:v>
                </c:pt>
                <c:pt idx="2">
                  <c:v>70</c:v>
                </c:pt>
                <c:pt idx="3">
                  <c:v>78</c:v>
                </c:pt>
                <c:pt idx="4">
                  <c:v>118</c:v>
                </c:pt>
                <c:pt idx="5">
                  <c:v>147</c:v>
                </c:pt>
              </c:numCache>
            </c:numRef>
          </c:xVal>
          <c:yVal>
            <c:numRef>
              <c:f>Vinogradov0.01M!$I$17:$I$22</c:f>
              <c:numCache>
                <c:formatCode>General</c:formatCode>
                <c:ptCount val="6"/>
                <c:pt idx="0">
                  <c:v>-21.66664389</c:v>
                </c:pt>
                <c:pt idx="1">
                  <c:v>-17.251154</c:v>
                </c:pt>
                <c:pt idx="2">
                  <c:v>-14.323206109999999</c:v>
                </c:pt>
                <c:pt idx="3">
                  <c:v>-13.74557624</c:v>
                </c:pt>
                <c:pt idx="4">
                  <c:v>-11.63812156</c:v>
                </c:pt>
                <c:pt idx="5">
                  <c:v>-10.05311345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3B-4F27-98A6-998C9DFFFE5F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13B-4F27-98A6-998C9DFFFE5F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Vinogradov0.5M!$G$2:$G$6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Vinogradov0.5M!$I$2:$I$6</c:f>
              <c:numCache>
                <c:formatCode>General</c:formatCode>
                <c:ptCount val="5"/>
                <c:pt idx="0">
                  <c:v>-9.4009797899999992</c:v>
                </c:pt>
                <c:pt idx="1">
                  <c:v>-10.22648491</c:v>
                </c:pt>
                <c:pt idx="2">
                  <c:v>-8.7463933009999995</c:v>
                </c:pt>
                <c:pt idx="3">
                  <c:v>-10.53335994</c:v>
                </c:pt>
                <c:pt idx="4">
                  <c:v>-10.786559430000001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13B-4F27-98A6-998C9DFFFE5F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Vinogradov0.5M!$G$7:$G$11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Vinogradov0.5M!$I$7:$I$11</c:f>
              <c:numCache>
                <c:formatCode>General</c:formatCode>
                <c:ptCount val="5"/>
                <c:pt idx="0">
                  <c:v>-8.4912075530000006</c:v>
                </c:pt>
                <c:pt idx="1">
                  <c:v>-9.4487042460000001</c:v>
                </c:pt>
                <c:pt idx="2">
                  <c:v>-9.175409428</c:v>
                </c:pt>
                <c:pt idx="3">
                  <c:v>-8.7296564080000003</c:v>
                </c:pt>
                <c:pt idx="4">
                  <c:v>-9.0924857669999994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13B-4F27-98A6-998C9DFFFE5F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Vinogradov0.5M!$G$12:$G$16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77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Vinogradov0.5M!$I$12:$I$16</c:f>
              <c:numCache>
                <c:formatCode>General</c:formatCode>
                <c:ptCount val="5"/>
                <c:pt idx="0">
                  <c:v>-9.9376204329999993</c:v>
                </c:pt>
                <c:pt idx="1">
                  <c:v>-10.52158595</c:v>
                </c:pt>
                <c:pt idx="2">
                  <c:v>-10.56341799</c:v>
                </c:pt>
                <c:pt idx="3">
                  <c:v>-10.38665651</c:v>
                </c:pt>
                <c:pt idx="4">
                  <c:v>-9.6244044239999997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13B-4F27-98A6-998C9DFFFE5F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Vinogradov0.5M!$G$17:$G$21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Vinogradov0.5M!$I$17:$I$21</c:f>
              <c:numCache>
                <c:formatCode>General</c:formatCode>
                <c:ptCount val="5"/>
                <c:pt idx="0">
                  <c:v>-9.6695792130000005</c:v>
                </c:pt>
                <c:pt idx="1">
                  <c:v>-9.9863065770000006</c:v>
                </c:pt>
                <c:pt idx="2">
                  <c:v>-10.26080046</c:v>
                </c:pt>
                <c:pt idx="3">
                  <c:v>-9.8050488639999998</c:v>
                </c:pt>
                <c:pt idx="4">
                  <c:v>-10.486528209999999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13B-4F27-98A6-998C9DFFFE5F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13B-4F27-98A6-998C9DFF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185008"/>
        <c:axId val="235185400"/>
      </c:scatterChart>
      <c:valAx>
        <c:axId val="235185008"/>
        <c:scaling>
          <c:orientation val="minMax"/>
          <c:max val="160"/>
          <c:min val="0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8606351527671096"/>
              <c:y val="0.9351585620362264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5400"/>
        <c:crossesAt val="-40"/>
        <c:crossBetween val="midCat"/>
        <c:majorUnit val="20"/>
        <c:minorUnit val="10"/>
      </c:valAx>
      <c:valAx>
        <c:axId val="235185400"/>
        <c:scaling>
          <c:orientation val="minMax"/>
          <c:max val="0"/>
          <c:min val="-35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 potential  (mV)</a:t>
                </a:r>
              </a:p>
            </c:rich>
          </c:tx>
          <c:layout>
            <c:manualLayout>
              <c:xMode val="edge"/>
              <c:yMode val="edge"/>
              <c:x val="2.3976511184940305E-2"/>
              <c:y val="0.1631997300588843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5008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07311952595402"/>
          <c:y val="4.2131334739497088E-2"/>
          <c:w val="0.23980705050793069"/>
          <c:h val="0.48463074505149673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652461492079754"/>
          <c:y val="2.0424744204271771E-2"/>
          <c:w val="0.61824823292466558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Vinogradov0.01M!$G$2:$G$6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Vinogradov0.01M!$K$2:$K$6</c:f>
              <c:numCache>
                <c:formatCode>General</c:formatCode>
                <c:ptCount val="5"/>
                <c:pt idx="0">
                  <c:v>43.8</c:v>
                </c:pt>
                <c:pt idx="1">
                  <c:v>39.4</c:v>
                </c:pt>
                <c:pt idx="2">
                  <c:v>37.9</c:v>
                </c:pt>
                <c:pt idx="3">
                  <c:v>36.5</c:v>
                </c:pt>
                <c:pt idx="4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6C-4016-9732-5F5391BA74E2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Vinogradov0.01M!$G$7:$G$11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Vinogradov0.01M!$K$7:$K$12</c:f>
              <c:numCache>
                <c:formatCode>General</c:formatCode>
                <c:ptCount val="6"/>
                <c:pt idx="0">
                  <c:v>42</c:v>
                </c:pt>
                <c:pt idx="1">
                  <c:v>36.4</c:v>
                </c:pt>
                <c:pt idx="2">
                  <c:v>26.7</c:v>
                </c:pt>
                <c:pt idx="3">
                  <c:v>22.3</c:v>
                </c:pt>
                <c:pt idx="4">
                  <c:v>21</c:v>
                </c:pt>
                <c:pt idx="5">
                  <c:v>72.3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6C-4016-9732-5F5391BA74E2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Vinogradov0.01M!$G$12:$G$16</c:f>
              <c:numCache>
                <c:formatCode>General</c:formatCode>
                <c:ptCount val="5"/>
                <c:pt idx="0">
                  <c:v>21</c:v>
                </c:pt>
                <c:pt idx="1">
                  <c:v>43</c:v>
                </c:pt>
                <c:pt idx="2">
                  <c:v>82</c:v>
                </c:pt>
                <c:pt idx="3">
                  <c:v>118</c:v>
                </c:pt>
                <c:pt idx="4">
                  <c:v>146</c:v>
                </c:pt>
              </c:numCache>
            </c:numRef>
          </c:xVal>
          <c:yVal>
            <c:numRef>
              <c:f>Vinogradov0.01M!$K$12:$K$16</c:f>
              <c:numCache>
                <c:formatCode>General</c:formatCode>
                <c:ptCount val="5"/>
                <c:pt idx="0">
                  <c:v>72.3</c:v>
                </c:pt>
                <c:pt idx="1">
                  <c:v>59.928600000000003</c:v>
                </c:pt>
                <c:pt idx="2">
                  <c:v>45.753399999999999</c:v>
                </c:pt>
                <c:pt idx="3">
                  <c:v>44.090800000000002</c:v>
                </c:pt>
                <c:pt idx="4">
                  <c:v>43.553699999999999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6C-4016-9732-5F5391BA74E2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Vinogradov0.01M!$G$17:$G$22</c:f>
              <c:numCache>
                <c:formatCode>General</c:formatCode>
                <c:ptCount val="6"/>
                <c:pt idx="0">
                  <c:v>22</c:v>
                </c:pt>
                <c:pt idx="1">
                  <c:v>38</c:v>
                </c:pt>
                <c:pt idx="2">
                  <c:v>70</c:v>
                </c:pt>
                <c:pt idx="3">
                  <c:v>78</c:v>
                </c:pt>
                <c:pt idx="4">
                  <c:v>118</c:v>
                </c:pt>
                <c:pt idx="5">
                  <c:v>147</c:v>
                </c:pt>
              </c:numCache>
            </c:numRef>
          </c:xVal>
          <c:yVal>
            <c:numRef>
              <c:f>Vinogradov0.01M!$K$17:$K$22</c:f>
              <c:numCache>
                <c:formatCode>General</c:formatCode>
                <c:ptCount val="6"/>
                <c:pt idx="0">
                  <c:v>223.2</c:v>
                </c:pt>
                <c:pt idx="1">
                  <c:v>141.4</c:v>
                </c:pt>
                <c:pt idx="2">
                  <c:v>93.5</c:v>
                </c:pt>
                <c:pt idx="3">
                  <c:v>85.35</c:v>
                </c:pt>
                <c:pt idx="4">
                  <c:v>83.3</c:v>
                </c:pt>
                <c:pt idx="5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6C-4016-9732-5F5391BA74E2}"/>
            </c:ext>
          </c:extLst>
        </c:ser>
        <c:ser>
          <c:idx val="6"/>
          <c:order val="4"/>
          <c:tx>
            <c:v> Model 0.01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26C-4016-9732-5F5391BA74E2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Vinogradov0.5M!$G$2:$G$6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Vinogradov0.5M!$K$2:$K$6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6C-4016-9732-5F5391BA74E2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Vinogradov0.5M!$G$7:$G$11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Vinogradov0.5M!$K$7:$K$11</c:f>
              <c:numCache>
                <c:formatCode>General</c:formatCode>
                <c:ptCount val="5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2.2999999999999998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26C-4016-9732-5F5391BA74E2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Vinogradov0.5M!$G$12:$G$16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77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Vinogradov0.5M!$K$12:$K$16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2.5</c:v>
                </c:pt>
                <c:pt idx="3">
                  <c:v>2.6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26C-4016-9732-5F5391BA74E2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x"/>
            <c:errBarType val="both"/>
            <c:errValType val="fixedVal"/>
            <c:noEndCap val="0"/>
            <c:val val="0.5"/>
            <c:spPr>
              <a:ln w="19050"/>
            </c:spPr>
          </c:errBars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Vinogradov0.5M!$G$17:$G$21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Vinogradov0.5M!$K$17:$K$21</c:f>
              <c:numCache>
                <c:formatCode>General</c:formatCode>
                <c:ptCount val="5"/>
                <c:pt idx="0">
                  <c:v>2.7</c:v>
                </c:pt>
                <c:pt idx="1">
                  <c:v>3.1</c:v>
                </c:pt>
                <c:pt idx="2">
                  <c:v>3</c:v>
                </c:pt>
                <c:pt idx="3">
                  <c:v>3.1</c:v>
                </c:pt>
                <c:pt idx="4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26C-4016-9732-5F5391BA74E2}"/>
            </c:ext>
          </c:extLst>
        </c:ser>
        <c:ser>
          <c:idx val="5"/>
          <c:order val="9"/>
          <c:tx>
            <c:v>Model 0.5 M</c:v>
          </c:tx>
          <c:spPr>
            <a:ln w="28575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26C-4016-9732-5F5391BA7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80824"/>
        <c:axId val="203781208"/>
      </c:scatterChart>
      <c:valAx>
        <c:axId val="203780824"/>
        <c:scaling>
          <c:orientation val="minMax"/>
          <c:max val="160"/>
          <c:min val="0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8858221563525885"/>
              <c:y val="0.9309198724121047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781208"/>
        <c:crossesAt val="-40"/>
        <c:crossBetween val="midCat"/>
        <c:majorUnit val="20"/>
        <c:minorUnit val="10"/>
      </c:valAx>
      <c:valAx>
        <c:axId val="203781208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- Streaming  potential coefficient</a:t>
                </a:r>
                <a:r>
                  <a:rPr lang="en-US" sz="24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 (mV/MPa)</a:t>
                </a:r>
              </a:p>
            </c:rich>
          </c:tx>
          <c:layout>
            <c:manualLayout>
              <c:xMode val="edge"/>
              <c:yMode val="edge"/>
              <c:x val="1.5513689140008268E-2"/>
              <c:y val="0.16743841968300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78082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6093784671692999"/>
          <c:y val="2.1346975461324569E-2"/>
          <c:w val="0.23042361544313084"/>
          <c:h val="0.48039205542737512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957295336259392"/>
          <c:y val="2.0424744204271771E-2"/>
          <c:w val="0.61592401993651957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Vinogradov0.01M!$F$2:$F$6</c:f>
              <c:numCache>
                <c:formatCode>General</c:formatCode>
                <c:ptCount val="5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</c:numCache>
            </c:numRef>
          </c:xVal>
          <c:yVal>
            <c:numRef>
              <c:f>Vinogradov0.01M!$I$2:$I$6</c:f>
              <c:numCache>
                <c:formatCode>General</c:formatCode>
                <c:ptCount val="5"/>
                <c:pt idx="0">
                  <c:v>-21.748319859999999</c:v>
                </c:pt>
                <c:pt idx="1">
                  <c:v>-15.60977027</c:v>
                </c:pt>
                <c:pt idx="2">
                  <c:v>-11.23004117</c:v>
                </c:pt>
                <c:pt idx="3">
                  <c:v>-10.66352348</c:v>
                </c:pt>
                <c:pt idx="4">
                  <c:v>-9.1503950110000005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77-43AE-B7C9-DF2928D661E9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Vinogradov0.01M!$F$7:$F$11</c:f>
              <c:numCache>
                <c:formatCode>General</c:formatCode>
                <c:ptCount val="5"/>
                <c:pt idx="0">
                  <c:v>6.73</c:v>
                </c:pt>
                <c:pt idx="1">
                  <c:v>6.36</c:v>
                </c:pt>
                <c:pt idx="2">
                  <c:v>5.96</c:v>
                </c:pt>
              </c:numCache>
            </c:numRef>
          </c:xVal>
          <c:yVal>
            <c:numRef>
              <c:f>Vinogradov0.01M!$I$7:$I$12</c:f>
              <c:numCache>
                <c:formatCode>General</c:formatCode>
                <c:ptCount val="6"/>
                <c:pt idx="0">
                  <c:v>-22.45545701</c:v>
                </c:pt>
                <c:pt idx="1">
                  <c:v>-18.361140049999999</c:v>
                </c:pt>
                <c:pt idx="2">
                  <c:v>-10.52608843</c:v>
                </c:pt>
                <c:pt idx="3">
                  <c:v>-12.053138710000001</c:v>
                </c:pt>
                <c:pt idx="4">
                  <c:v>-10.44771785</c:v>
                </c:pt>
                <c:pt idx="5">
                  <c:v>-21.32082647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77-43AE-B7C9-DF2928D661E9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Vinogradov0.01M!$F$12:$F$16</c:f>
              <c:numCache>
                <c:formatCode>General</c:formatCode>
                <c:ptCount val="5"/>
                <c:pt idx="0">
                  <c:v>6.75</c:v>
                </c:pt>
                <c:pt idx="1">
                  <c:v>6.33</c:v>
                </c:pt>
                <c:pt idx="2">
                  <c:v>5.95</c:v>
                </c:pt>
              </c:numCache>
            </c:numRef>
          </c:xVal>
          <c:yVal>
            <c:numRef>
              <c:f>Vinogradov0.01M!$I$12:$I$16</c:f>
              <c:numCache>
                <c:formatCode>General</c:formatCode>
                <c:ptCount val="5"/>
                <c:pt idx="0">
                  <c:v>-21.32082647</c:v>
                </c:pt>
                <c:pt idx="1">
                  <c:v>-15.623324200000001</c:v>
                </c:pt>
                <c:pt idx="2">
                  <c:v>-11.48827146</c:v>
                </c:pt>
                <c:pt idx="3">
                  <c:v>-10.83271549</c:v>
                </c:pt>
                <c:pt idx="4">
                  <c:v>-9.9464604330000004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77-43AE-B7C9-DF2928D661E9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Vinogradov0.01M!$F$17:$F$22</c:f>
              <c:numCache>
                <c:formatCode>General</c:formatCode>
                <c:ptCount val="6"/>
                <c:pt idx="0">
                  <c:v>6.71</c:v>
                </c:pt>
                <c:pt idx="1">
                  <c:v>6.38</c:v>
                </c:pt>
                <c:pt idx="2">
                  <c:v>6.03</c:v>
                </c:pt>
                <c:pt idx="3">
                  <c:v>5.83</c:v>
                </c:pt>
              </c:numCache>
            </c:numRef>
          </c:xVal>
          <c:yVal>
            <c:numRef>
              <c:f>Vinogradov0.01M!$I$17:$I$22</c:f>
              <c:numCache>
                <c:formatCode>General</c:formatCode>
                <c:ptCount val="6"/>
                <c:pt idx="0">
                  <c:v>-21.66664389</c:v>
                </c:pt>
                <c:pt idx="1">
                  <c:v>-17.251154</c:v>
                </c:pt>
                <c:pt idx="2">
                  <c:v>-14.323206109999999</c:v>
                </c:pt>
                <c:pt idx="3">
                  <c:v>-13.74557624</c:v>
                </c:pt>
                <c:pt idx="4">
                  <c:v>-11.63812156</c:v>
                </c:pt>
                <c:pt idx="5">
                  <c:v>-10.05311345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77-43AE-B7C9-DF2928D661E9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77-43AE-B7C9-DF2928D661E9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Vinogradov0.5M!$F$2:$F$6</c:f>
              <c:numCache>
                <c:formatCode>General</c:formatCode>
                <c:ptCount val="5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</c:numCache>
            </c:numRef>
          </c:xVal>
          <c:yVal>
            <c:numRef>
              <c:f>Vinogradov0.5M!$I$2:$I$6</c:f>
              <c:numCache>
                <c:formatCode>General</c:formatCode>
                <c:ptCount val="5"/>
                <c:pt idx="0">
                  <c:v>-9.4009797899999992</c:v>
                </c:pt>
                <c:pt idx="1">
                  <c:v>-10.22648491</c:v>
                </c:pt>
                <c:pt idx="2">
                  <c:v>-8.7463933009999995</c:v>
                </c:pt>
                <c:pt idx="3">
                  <c:v>-10.53335994</c:v>
                </c:pt>
                <c:pt idx="4">
                  <c:v>-10.786559430000001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577-43AE-B7C9-DF2928D661E9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Vinogradov0.5M!$F$7:$F$11</c:f>
              <c:numCache>
                <c:formatCode>General</c:formatCode>
                <c:ptCount val="5"/>
                <c:pt idx="0">
                  <c:v>7.23</c:v>
                </c:pt>
                <c:pt idx="1">
                  <c:v>7.3</c:v>
                </c:pt>
                <c:pt idx="2">
                  <c:v>7.12</c:v>
                </c:pt>
              </c:numCache>
            </c:numRef>
          </c:xVal>
          <c:yVal>
            <c:numRef>
              <c:f>Vinogradov0.5M!$I$7:$I$11</c:f>
              <c:numCache>
                <c:formatCode>General</c:formatCode>
                <c:ptCount val="5"/>
                <c:pt idx="0">
                  <c:v>-8.4912075530000006</c:v>
                </c:pt>
                <c:pt idx="1">
                  <c:v>-9.4487042460000001</c:v>
                </c:pt>
                <c:pt idx="2">
                  <c:v>-9.175409428</c:v>
                </c:pt>
                <c:pt idx="3">
                  <c:v>-8.7296564080000003</c:v>
                </c:pt>
                <c:pt idx="4">
                  <c:v>-9.0924857669999994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577-43AE-B7C9-DF2928D661E9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Vinogradov0.5M!$F$12:$F$16</c:f>
              <c:numCache>
                <c:formatCode>General</c:formatCode>
                <c:ptCount val="5"/>
                <c:pt idx="0">
                  <c:v>7.54</c:v>
                </c:pt>
                <c:pt idx="1">
                  <c:v>7.48</c:v>
                </c:pt>
                <c:pt idx="2">
                  <c:v>7.38</c:v>
                </c:pt>
              </c:numCache>
            </c:numRef>
          </c:xVal>
          <c:yVal>
            <c:numRef>
              <c:f>Vinogradov0.5M!$I$12:$I$16</c:f>
              <c:numCache>
                <c:formatCode>General</c:formatCode>
                <c:ptCount val="5"/>
                <c:pt idx="0">
                  <c:v>-9.9376204329999993</c:v>
                </c:pt>
                <c:pt idx="1">
                  <c:v>-10.52158595</c:v>
                </c:pt>
                <c:pt idx="2">
                  <c:v>-10.56341799</c:v>
                </c:pt>
                <c:pt idx="3">
                  <c:v>-10.38665651</c:v>
                </c:pt>
                <c:pt idx="4">
                  <c:v>-9.6244044239999997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577-43AE-B7C9-DF2928D661E9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Vinogradov0.5M!$F$17:$F$21</c:f>
              <c:numCache>
                <c:formatCode>General</c:formatCode>
                <c:ptCount val="5"/>
                <c:pt idx="0">
                  <c:v>7.31</c:v>
                </c:pt>
                <c:pt idx="1">
                  <c:v>7.27</c:v>
                </c:pt>
                <c:pt idx="2">
                  <c:v>7.14</c:v>
                </c:pt>
              </c:numCache>
            </c:numRef>
          </c:xVal>
          <c:yVal>
            <c:numRef>
              <c:f>Vinogradov0.5M!$I$17:$I$21</c:f>
              <c:numCache>
                <c:formatCode>General</c:formatCode>
                <c:ptCount val="5"/>
                <c:pt idx="0">
                  <c:v>-9.6695792130000005</c:v>
                </c:pt>
                <c:pt idx="1">
                  <c:v>-9.9863065770000006</c:v>
                </c:pt>
                <c:pt idx="2">
                  <c:v>-10.26080046</c:v>
                </c:pt>
                <c:pt idx="3">
                  <c:v>-9.8050488639999998</c:v>
                </c:pt>
                <c:pt idx="4">
                  <c:v>-10.486528209999999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577-43AE-B7C9-DF2928D661E9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577-43AE-B7C9-DF2928D66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186184"/>
        <c:axId val="235186576"/>
      </c:scatterChart>
      <c:valAx>
        <c:axId val="235186184"/>
        <c:scaling>
          <c:orientation val="minMax"/>
          <c:max val="7.6"/>
          <c:min val="5.8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pH (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6576"/>
        <c:crossesAt val="-40"/>
        <c:crossBetween val="midCat"/>
        <c:majorUnit val="0.2"/>
      </c:valAx>
      <c:valAx>
        <c:axId val="235186576"/>
        <c:scaling>
          <c:orientation val="minMax"/>
          <c:max val="0"/>
          <c:min val="-35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 potential (mV)</a:t>
                </a:r>
              </a:p>
            </c:rich>
          </c:tx>
          <c:layout>
            <c:manualLayout>
              <c:xMode val="edge"/>
              <c:yMode val="edge"/>
              <c:x val="2.9013940709000267E-2"/>
              <c:y val="0.190751212615675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6184"/>
        <c:crossesAt val="5.5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3506839244094"/>
          <c:y val="2.1346975461324628E-2"/>
          <c:w val="0.23575144186485408"/>
          <c:h val="0.48251140023943601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'1e-5M'!$I$4:$I$34</c:f>
              <c:numCache>
                <c:formatCode>0.00000</c:formatCode>
                <c:ptCount val="31"/>
                <c:pt idx="1">
                  <c:v>999.83983388786316</c:v>
                </c:pt>
                <c:pt idx="2">
                  <c:v>999.96413510371008</c:v>
                </c:pt>
                <c:pt idx="3">
                  <c:v>999.6999482980566</c:v>
                </c:pt>
                <c:pt idx="4">
                  <c:v>999.09992287886473</c:v>
                </c:pt>
                <c:pt idx="5">
                  <c:v>998.2044465309101</c:v>
                </c:pt>
                <c:pt idx="6">
                  <c:v>997.04521006187997</c:v>
                </c:pt>
                <c:pt idx="7">
                  <c:v>995.64757387658085</c:v>
                </c:pt>
                <c:pt idx="8">
                  <c:v>994.0321811346746</c:v>
                </c:pt>
                <c:pt idx="9">
                  <c:v>992.21608326589637</c:v>
                </c:pt>
                <c:pt idx="10">
                  <c:v>990.21354157186761</c:v>
                </c:pt>
                <c:pt idx="11">
                  <c:v>988.03660869276848</c:v>
                </c:pt>
                <c:pt idx="12">
                  <c:v>985.69555738091208</c:v>
                </c:pt>
                <c:pt idx="13">
                  <c:v>983.19920139972794</c:v>
                </c:pt>
                <c:pt idx="14">
                  <c:v>980.5551389372614</c:v>
                </c:pt>
                <c:pt idx="15">
                  <c:v>977.76993951797965</c:v>
                </c:pt>
                <c:pt idx="16">
                  <c:v>974.84928914415923</c:v>
                </c:pt>
                <c:pt idx="17">
                  <c:v>971.79810416629073</c:v>
                </c:pt>
                <c:pt idx="18">
                  <c:v>968.62062147031952</c:v>
                </c:pt>
                <c:pt idx="19">
                  <c:v>965.32047053585814</c:v>
                </c:pt>
                <c:pt idx="20">
                  <c:v>961.90073147912449</c:v>
                </c:pt>
                <c:pt idx="21">
                  <c:v>958.36398216104601</c:v>
                </c:pt>
                <c:pt idx="22">
                  <c:v>954.71233669073513</c:v>
                </c:pt>
                <c:pt idx="23">
                  <c:v>950.94747710380932</c:v>
                </c:pt>
                <c:pt idx="24">
                  <c:v>947.07067958652817</c:v>
                </c:pt>
                <c:pt idx="25">
                  <c:v>943.08283631076063</c:v>
                </c:pt>
                <c:pt idx="26">
                  <c:v>938.9844737135852</c:v>
                </c:pt>
                <c:pt idx="27">
                  <c:v>934.7757678790789</c:v>
                </c:pt>
                <c:pt idx="28">
                  <c:v>930.45655754444772</c:v>
                </c:pt>
                <c:pt idx="29">
                  <c:v>926.02635514781582</c:v>
                </c:pt>
                <c:pt idx="30">
                  <c:v>921.48435625326624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19-4C0F-ADD1-8AF9F09AAF15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'0.0001M'!$I$4:$I$34</c:f>
              <c:numCache>
                <c:formatCode>0.00000</c:formatCode>
                <c:ptCount val="31"/>
                <c:pt idx="1">
                  <c:v>999.84265887863205</c:v>
                </c:pt>
                <c:pt idx="2">
                  <c:v>999.96695979180538</c:v>
                </c:pt>
                <c:pt idx="3">
                  <c:v>999.70277362944694</c:v>
                </c:pt>
                <c:pt idx="4">
                  <c:v>999.10274967131738</c:v>
                </c:pt>
                <c:pt idx="5">
                  <c:v>998.20727550384834</c:v>
                </c:pt>
                <c:pt idx="6">
                  <c:v>997.04804185755961</c:v>
                </c:pt>
                <c:pt idx="7">
                  <c:v>995.65040907550565</c:v>
                </c:pt>
                <c:pt idx="8">
                  <c:v>994.03502026708179</c:v>
                </c:pt>
                <c:pt idx="9">
                  <c:v>992.21892682050304</c:v>
                </c:pt>
                <c:pt idx="10">
                  <c:v>990.21639000266453</c:v>
                </c:pt>
                <c:pt idx="11">
                  <c:v>988.03946242439838</c:v>
                </c:pt>
                <c:pt idx="12">
                  <c:v>985.69841681300363</c:v>
                </c:pt>
                <c:pt idx="13">
                  <c:v>983.20206691044791</c:v>
                </c:pt>
                <c:pt idx="14">
                  <c:v>980.55801088627527</c:v>
                </c:pt>
                <c:pt idx="15">
                  <c:v>977.77281824895579</c:v>
                </c:pt>
                <c:pt idx="16">
                  <c:v>974.852174986921</c:v>
                </c:pt>
                <c:pt idx="17">
                  <c:v>971.80099743868993</c:v>
                </c:pt>
                <c:pt idx="18">
                  <c:v>968.62352247989111</c:v>
                </c:pt>
                <c:pt idx="19">
                  <c:v>965.32337958129949</c:v>
                </c:pt>
                <c:pt idx="20">
                  <c:v>961.90364885163262</c:v>
                </c:pt>
                <c:pt idx="21">
                  <c:v>958.36690814554106</c:v>
                </c:pt>
                <c:pt idx="22">
                  <c:v>954.71527156698937</c:v>
                </c:pt>
                <c:pt idx="23">
                  <c:v>950.95042114749913</c:v>
                </c:pt>
                <c:pt idx="24">
                  <c:v>947.07363307022251</c:v>
                </c:pt>
                <c:pt idx="25">
                  <c:v>943.08579950485603</c:v>
                </c:pt>
                <c:pt idx="26">
                  <c:v>938.98744688719614</c:v>
                </c:pt>
                <c:pt idx="27">
                  <c:v>934.77875130089137</c:v>
                </c:pt>
                <c:pt idx="28">
                  <c:v>930.45955148354028</c:v>
                </c:pt>
                <c:pt idx="29">
                  <c:v>926.02935987445403</c:v>
                </c:pt>
                <c:pt idx="30">
                  <c:v>921.48737203967471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B19-4C0F-ADD1-8AF9F09AAF15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'0.001M'!$I$5:$I$35</c:f>
              <c:numCache>
                <c:formatCode>0.00000</c:formatCode>
                <c:ptCount val="31"/>
                <c:pt idx="0">
                  <c:v>999.87090878632</c:v>
                </c:pt>
                <c:pt idx="1">
                  <c:v>999.99520667275794</c:v>
                </c:pt>
                <c:pt idx="2">
                  <c:v>999.73102694335</c:v>
                </c:pt>
                <c:pt idx="3">
                  <c:v>999.13101759584322</c:v>
                </c:pt>
                <c:pt idx="4">
                  <c:v>998.23556523322918</c:v>
                </c:pt>
                <c:pt idx="5">
                  <c:v>997.07635981435624</c:v>
                </c:pt>
                <c:pt idx="6">
                  <c:v>995.67876106475251</c:v>
                </c:pt>
                <c:pt idx="7">
                  <c:v>994.06341159115254</c:v>
                </c:pt>
                <c:pt idx="8">
                  <c:v>992.24736236656884</c:v>
                </c:pt>
                <c:pt idx="9">
                  <c:v>990.2448743106338</c:v>
                </c:pt>
                <c:pt idx="10">
                  <c:v>988.0679997406977</c:v>
                </c:pt>
                <c:pt idx="11">
                  <c:v>985.7270111339177</c:v>
                </c:pt>
                <c:pt idx="12">
                  <c:v>983.2307220176466</c:v>
                </c:pt>
                <c:pt idx="13">
                  <c:v>980.58673037641233</c:v>
                </c:pt>
                <c:pt idx="14">
                  <c:v>977.80160555871703</c:v>
                </c:pt>
                <c:pt idx="15">
                  <c:v>974.88103341453814</c:v>
                </c:pt>
                <c:pt idx="16">
                  <c:v>971.82993016268131</c:v>
                </c:pt>
                <c:pt idx="17">
                  <c:v>968.6525325756071</c:v>
                </c:pt>
                <c:pt idx="18">
                  <c:v>965.35247003571249</c:v>
                </c:pt>
                <c:pt idx="19">
                  <c:v>961.93282257671422</c:v>
                </c:pt>
                <c:pt idx="20">
                  <c:v>958.3961679904919</c:v>
                </c:pt>
                <c:pt idx="21">
                  <c:v>954.74462032953136</c:v>
                </c:pt>
                <c:pt idx="22">
                  <c:v>950.97986158439699</c:v>
                </c:pt>
                <c:pt idx="23">
                  <c:v>947.10316790716547</c:v>
                </c:pt>
                <c:pt idx="24">
                  <c:v>943.11543144580889</c:v>
                </c:pt>
                <c:pt idx="25">
                  <c:v>939.0171786233052</c:v>
                </c:pt>
                <c:pt idx="26">
                  <c:v>934.80858551901531</c:v>
                </c:pt>
                <c:pt idx="27">
                  <c:v>930.48949087446431</c:v>
                </c:pt>
                <c:pt idx="28">
                  <c:v>926.05940714083556</c:v>
                </c:pt>
                <c:pt idx="29">
                  <c:v>921.51752990375928</c:v>
                </c:pt>
                <c:pt idx="30">
                  <c:v>916.86274595682778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B19-4C0F-ADD1-8AF9F09AAF15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'0.01M'!$I$4:$I$34</c:f>
              <c:numCache>
                <c:formatCode>0.00000</c:formatCode>
                <c:ptCount val="31"/>
                <c:pt idx="1">
                  <c:v>1000.1534078632</c:v>
                </c:pt>
                <c:pt idx="2">
                  <c:v>1000.2776754822835</c:v>
                </c:pt>
                <c:pt idx="3">
                  <c:v>1000.0135600823803</c:v>
                </c:pt>
                <c:pt idx="4">
                  <c:v>999.41369684110259</c:v>
                </c:pt>
                <c:pt idx="5">
                  <c:v>998.5184625270382</c:v>
                </c:pt>
                <c:pt idx="6">
                  <c:v>997.35953938232183</c:v>
                </c:pt>
                <c:pt idx="7">
                  <c:v>995.96228095722131</c:v>
                </c:pt>
                <c:pt idx="8">
                  <c:v>994.34732483186042</c:v>
                </c:pt>
                <c:pt idx="9">
                  <c:v>992.53171782722745</c:v>
                </c:pt>
                <c:pt idx="10">
                  <c:v>990.52971739032682</c:v>
                </c:pt>
                <c:pt idx="11">
                  <c:v>988.35337290369011</c:v>
                </c:pt>
                <c:pt idx="12">
                  <c:v>986.01295434305882</c:v>
                </c:pt>
                <c:pt idx="13">
                  <c:v>983.51727308963359</c:v>
                </c:pt>
                <c:pt idx="14">
                  <c:v>980.87392527778309</c:v>
                </c:pt>
                <c:pt idx="15">
                  <c:v>978.08947865633002</c:v>
                </c:pt>
                <c:pt idx="16">
                  <c:v>975.16961769070952</c:v>
                </c:pt>
                <c:pt idx="17">
                  <c:v>972.11925740259585</c:v>
                </c:pt>
                <c:pt idx="18">
                  <c:v>968.94263353276745</c:v>
                </c:pt>
                <c:pt idx="19">
                  <c:v>965.64337457984277</c:v>
                </c:pt>
                <c:pt idx="20">
                  <c:v>962.22455982753013</c:v>
                </c:pt>
                <c:pt idx="21">
                  <c:v>958.68876643999965</c:v>
                </c:pt>
                <c:pt idx="22">
                  <c:v>955.03810795495178</c:v>
                </c:pt>
                <c:pt idx="23">
                  <c:v>951.27426595337477</c:v>
                </c:pt>
                <c:pt idx="24">
                  <c:v>947.39851627659414</c:v>
                </c:pt>
                <c:pt idx="25">
                  <c:v>943.41175085533803</c:v>
                </c:pt>
                <c:pt idx="26">
                  <c:v>939.31449598439679</c:v>
                </c:pt>
                <c:pt idx="27">
                  <c:v>935.1069277002548</c:v>
                </c:pt>
                <c:pt idx="28">
                  <c:v>930.78888478370482</c:v>
                </c:pt>
                <c:pt idx="29">
                  <c:v>926.35987980465154</c:v>
                </c:pt>
                <c:pt idx="30">
                  <c:v>921.81910854460534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B19-4C0F-ADD1-8AF9F09AAF15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'0.1M'!$G$5:$G$35</c:f>
              <c:numCache>
                <c:formatCode>General</c:formatCode>
                <c:ptCount val="31"/>
                <c:pt idx="0">
                  <c:v>999.83951999999999</c:v>
                </c:pt>
                <c:pt idx="1">
                  <c:v>999.96382124947729</c:v>
                </c:pt>
                <c:pt idx="2">
                  <c:v>999.69963437234651</c:v>
                </c:pt>
                <c:pt idx="3">
                  <c:v>999.09960879081439</c:v>
                </c:pt>
                <c:pt idx="4">
                  <c:v>998.20413220058367</c:v>
                </c:pt>
                <c:pt idx="5">
                  <c:v>997.04489541791554</c:v>
                </c:pt>
                <c:pt idx="6">
                  <c:v>995.64725885447808</c:v>
                </c:pt>
                <c:pt idx="7">
                  <c:v>994.03186567551825</c:v>
                </c:pt>
                <c:pt idx="8">
                  <c:v>992.21576731538448</c:v>
                </c:pt>
                <c:pt idx="9">
                  <c:v>990.21322507955676</c:v>
                </c:pt>
                <c:pt idx="10">
                  <c:v>988.03629161147626</c:v>
                </c:pt>
                <c:pt idx="11">
                  <c:v>985.69523966623524</c:v>
                </c:pt>
                <c:pt idx="12">
                  <c:v>983.19888300964794</c:v>
                </c:pt>
                <c:pt idx="13">
                  <c:v>980.55481983181551</c:v>
                </c:pt>
                <c:pt idx="14">
                  <c:v>977.76961965898226</c:v>
                </c:pt>
                <c:pt idx="15">
                  <c:v>974.84896849496351</c:v>
                </c:pt>
                <c:pt idx="16">
                  <c:v>971.79778269157964</c:v>
                </c:pt>
                <c:pt idx="17">
                  <c:v>968.62029913592266</c:v>
                </c:pt>
                <c:pt idx="18">
                  <c:v>965.3201473085868</c:v>
                </c:pt>
                <c:pt idx="19">
                  <c:v>961.90040732662351</c:v>
                </c:pt>
                <c:pt idx="20">
                  <c:v>958.36365705165758</c:v>
                </c:pt>
                <c:pt idx="21">
                  <c:v>954.71201059337352</c:v>
                </c:pt>
                <c:pt idx="22">
                  <c:v>950.94714998784377</c:v>
                </c:pt>
                <c:pt idx="23">
                  <c:v>947.07035142167331</c:v>
                </c:pt>
                <c:pt idx="24">
                  <c:v>943.08250706697231</c:v>
                </c:pt>
                <c:pt idx="25">
                  <c:v>938.98414336096175</c:v>
                </c:pt>
                <c:pt idx="26">
                  <c:v>934.77543638776638</c:v>
                </c:pt>
                <c:pt idx="27">
                  <c:v>930.45622488454865</c:v>
                </c:pt>
                <c:pt idx="28">
                  <c:v>926.0260212893005</c:v>
                </c:pt>
                <c:pt idx="29">
                  <c:v>921.4840211658875</c:v>
                </c:pt>
                <c:pt idx="30">
                  <c:v>916.82911127778289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B19-4C0F-ADD1-8AF9F09AAF15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'0.5M'!$I$5:$I$35</c:f>
              <c:numCache>
                <c:formatCode>0.00000</c:formatCode>
                <c:ptCount val="31"/>
                <c:pt idx="0">
                  <c:v>1015.5339131600001</c:v>
                </c:pt>
                <c:pt idx="1">
                  <c:v>1015.6565328897968</c:v>
                </c:pt>
                <c:pt idx="2">
                  <c:v>1015.3959198740316</c:v>
                </c:pt>
                <c:pt idx="3">
                  <c:v>1014.8040113052275</c:v>
                </c:pt>
                <c:pt idx="4">
                  <c:v>1013.9206485233145</c:v>
                </c:pt>
                <c:pt idx="5">
                  <c:v>1012.7770936382343</c:v>
                </c:pt>
                <c:pt idx="6">
                  <c:v>1011.3983639916413</c:v>
                </c:pt>
                <c:pt idx="7">
                  <c:v>1009.80482349263</c:v>
                </c:pt>
                <c:pt idx="8">
                  <c:v>1008.0132929075347</c:v>
                </c:pt>
                <c:pt idx="9">
                  <c:v>1006.0378406180639</c:v>
                </c:pt>
                <c:pt idx="10">
                  <c:v>1003.8903562221764</c:v>
                </c:pt>
                <c:pt idx="11">
                  <c:v>1001.5809735074171</c:v>
                </c:pt>
                <c:pt idx="12">
                  <c:v>999.11838700893406</c:v>
                </c:pt>
                <c:pt idx="13">
                  <c:v>996.51009213020177</c:v>
                </c:pt>
                <c:pt idx="14">
                  <c:v>993.76256952637323</c:v>
                </c:pt>
                <c:pt idx="15">
                  <c:v>990.88142828226773</c:v>
                </c:pt>
                <c:pt idx="16">
                  <c:v>987.87151824239083</c:v>
                </c:pt>
                <c:pt idx="17">
                  <c:v>984.73701897816716</c:v>
                </c:pt>
                <c:pt idx="18">
                  <c:v>981.48151087138456</c:v>
                </c:pt>
                <c:pt idx="19">
                  <c:v>978.10803237195501</c:v>
                </c:pt>
                <c:pt idx="20">
                  <c:v>974.61912646876431</c:v>
                </c:pt>
                <c:pt idx="21">
                  <c:v>971.01687867229089</c:v>
                </c:pt>
                <c:pt idx="22">
                  <c:v>967.30294826439706</c:v>
                </c:pt>
                <c:pt idx="23">
                  <c:v>963.47859416771894</c:v>
                </c:pt>
                <c:pt idx="24">
                  <c:v>959.54469648526072</c:v>
                </c:pt>
                <c:pt idx="25">
                  <c:v>955.5017745327176</c:v>
                </c:pt>
                <c:pt idx="26">
                  <c:v>951.35000201218747</c:v>
                </c:pt>
                <c:pt idx="27">
                  <c:v>947.08921984236042</c:v>
                </c:pt>
                <c:pt idx="28">
                  <c:v>942.71894705685907</c:v>
                </c:pt>
                <c:pt idx="29">
                  <c:v>938.23839010178222</c:v>
                </c:pt>
                <c:pt idx="30">
                  <c:v>933.64645080021955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B19-4C0F-ADD1-8AF9F09AAF15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'1M'!$I$5:$I$35</c:f>
              <c:numCache>
                <c:formatCode>0.00000</c:formatCode>
                <c:ptCount val="31"/>
                <c:pt idx="0">
                  <c:v>1031.22830632</c:v>
                </c:pt>
                <c:pt idx="1">
                  <c:v>1031.3492445301165</c:v>
                </c:pt>
                <c:pt idx="2">
                  <c:v>1031.092205375717</c:v>
                </c:pt>
                <c:pt idx="3">
                  <c:v>1030.5084138196407</c:v>
                </c:pt>
                <c:pt idx="4">
                  <c:v>1029.6371648460456</c:v>
                </c:pt>
                <c:pt idx="5">
                  <c:v>1028.5092918585531</c:v>
                </c:pt>
                <c:pt idx="6">
                  <c:v>1027.1494691288042</c:v>
                </c:pt>
                <c:pt idx="7">
                  <c:v>1025.5777813097418</c:v>
                </c:pt>
                <c:pt idx="8">
                  <c:v>1023.8108184996851</c:v>
                </c:pt>
                <c:pt idx="9">
                  <c:v>1021.8624561565711</c:v>
                </c:pt>
                <c:pt idx="10">
                  <c:v>1019.7444208328767</c:v>
                </c:pt>
                <c:pt idx="11">
                  <c:v>1017.466707348599</c:v>
                </c:pt>
                <c:pt idx="12">
                  <c:v>1015.0378910082203</c:v>
                </c:pt>
                <c:pt idx="13">
                  <c:v>1012.4653644285879</c:v>
                </c:pt>
                <c:pt idx="14">
                  <c:v>1009.7555193937642</c:v>
                </c:pt>
                <c:pt idx="15">
                  <c:v>1006.9138880695721</c:v>
                </c:pt>
                <c:pt idx="16">
                  <c:v>1003.9452537932021</c:v>
                </c:pt>
                <c:pt idx="17">
                  <c:v>1000.8537388204118</c:v>
                </c:pt>
                <c:pt idx="18">
                  <c:v>997.6428744341822</c:v>
                </c:pt>
                <c:pt idx="19">
                  <c:v>994.3156574172865</c:v>
                </c:pt>
                <c:pt idx="20">
                  <c:v>990.87459588587103</c:v>
                </c:pt>
                <c:pt idx="21">
                  <c:v>987.32174675120837</c:v>
                </c:pt>
                <c:pt idx="22">
                  <c:v>983.65874654095046</c:v>
                </c:pt>
                <c:pt idx="23">
                  <c:v>979.88683691376468</c:v>
                </c:pt>
                <c:pt idx="24">
                  <c:v>976.00688590354912</c:v>
                </c:pt>
                <c:pt idx="25">
                  <c:v>972.01940570447346</c:v>
                </c:pt>
                <c:pt idx="26">
                  <c:v>967.92456763660857</c:v>
                </c:pt>
                <c:pt idx="27">
                  <c:v>963.7222148001722</c:v>
                </c:pt>
                <c:pt idx="28">
                  <c:v>959.41187282441774</c:v>
                </c:pt>
                <c:pt idx="29">
                  <c:v>954.99275903767716</c:v>
                </c:pt>
                <c:pt idx="30">
                  <c:v>950.46379032265622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B19-4C0F-ADD1-8AF9F09A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187360"/>
        <c:axId val="237481816"/>
      </c:scatterChart>
      <c:valAx>
        <c:axId val="235187360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1816"/>
        <c:crossesAt val="0"/>
        <c:crossBetween val="midCat"/>
        <c:majorUnit val="20"/>
        <c:minorUnit val="10"/>
      </c:valAx>
      <c:valAx>
        <c:axId val="237481816"/>
        <c:scaling>
          <c:orientation val="minMax"/>
          <c:max val="1060"/>
          <c:min val="90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8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density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(kg/m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294235902007E-2"/>
              <c:y val="8.1437493580104908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18736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4150758563134178"/>
          <c:y val="2.9962804113133047E-2"/>
          <c:w val="0.18248399800576137"/>
          <c:h val="0.3526150227576213"/>
        </c:manualLayout>
      </c:layout>
      <c:overlay val="0"/>
      <c:spPr>
        <a:solidFill>
          <a:sysClr val="window" lastClr="FFFFFF"/>
        </a:solidFill>
        <a:ln w="28575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'1e-5M'!$K$5:$K$35</c:f>
              <c:numCache>
                <c:formatCode>0.0000</c:formatCode>
                <c:ptCount val="31"/>
                <c:pt idx="0">
                  <c:v>87.669234107072754</c:v>
                </c:pt>
                <c:pt idx="1">
                  <c:v>85.692762233697763</c:v>
                </c:pt>
                <c:pt idx="2">
                  <c:v>83.762161635322727</c:v>
                </c:pt>
                <c:pt idx="3">
                  <c:v>81.876374811947798</c:v>
                </c:pt>
                <c:pt idx="4">
                  <c:v>80.034344263572777</c:v>
                </c:pt>
                <c:pt idx="5">
                  <c:v>78.235012490197775</c:v>
                </c:pt>
                <c:pt idx="6">
                  <c:v>76.477321991822762</c:v>
                </c:pt>
                <c:pt idx="7">
                  <c:v>74.760215268447752</c:v>
                </c:pt>
                <c:pt idx="8">
                  <c:v>73.082634820072769</c:v>
                </c:pt>
                <c:pt idx="9">
                  <c:v>71.443523146697729</c:v>
                </c:pt>
                <c:pt idx="10">
                  <c:v>69.841822748322798</c:v>
                </c:pt>
                <c:pt idx="11">
                  <c:v>68.276476124947791</c:v>
                </c:pt>
                <c:pt idx="12">
                  <c:v>66.746425776572778</c:v>
                </c:pt>
                <c:pt idx="13">
                  <c:v>65.25061420319777</c:v>
                </c:pt>
                <c:pt idx="14">
                  <c:v>63.787983904822759</c:v>
                </c:pt>
                <c:pt idx="15">
                  <c:v>62.357477381447751</c:v>
                </c:pt>
                <c:pt idx="16">
                  <c:v>60.95803713307275</c:v>
                </c:pt>
                <c:pt idx="17">
                  <c:v>59.588605659697812</c:v>
                </c:pt>
                <c:pt idx="18">
                  <c:v>58.248125461322807</c:v>
                </c:pt>
                <c:pt idx="19">
                  <c:v>56.935539037947756</c:v>
                </c:pt>
                <c:pt idx="20">
                  <c:v>55.649788889572768</c:v>
                </c:pt>
                <c:pt idx="21">
                  <c:v>54.389817516197745</c:v>
                </c:pt>
                <c:pt idx="22">
                  <c:v>53.154567417822769</c:v>
                </c:pt>
                <c:pt idx="23">
                  <c:v>51.942981094447767</c:v>
                </c:pt>
                <c:pt idx="24">
                  <c:v>50.754001046072794</c:v>
                </c:pt>
                <c:pt idx="25">
                  <c:v>49.586569772697807</c:v>
                </c:pt>
                <c:pt idx="26">
                  <c:v>48.439629774322803</c:v>
                </c:pt>
                <c:pt idx="27">
                  <c:v>47.312123550947767</c:v>
                </c:pt>
                <c:pt idx="28">
                  <c:v>46.202993602572796</c:v>
                </c:pt>
                <c:pt idx="29">
                  <c:v>45.111182429197832</c:v>
                </c:pt>
                <c:pt idx="30">
                  <c:v>44.03563253082276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B2-40F2-AD3B-CFC1F5F362CD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'0.0001M'!$K$5:$K$35</c:f>
              <c:numCache>
                <c:formatCode>0.0000</c:formatCode>
                <c:ptCount val="31"/>
                <c:pt idx="0">
                  <c:v>87.668064117616225</c:v>
                </c:pt>
                <c:pt idx="1">
                  <c:v>85.691592244241235</c:v>
                </c:pt>
                <c:pt idx="2">
                  <c:v>83.760991645866198</c:v>
                </c:pt>
                <c:pt idx="3">
                  <c:v>81.87520482249127</c:v>
                </c:pt>
                <c:pt idx="4">
                  <c:v>80.033174274116249</c:v>
                </c:pt>
                <c:pt idx="5">
                  <c:v>78.233842500741247</c:v>
                </c:pt>
                <c:pt idx="6">
                  <c:v>76.476152002366234</c:v>
                </c:pt>
                <c:pt idx="7">
                  <c:v>74.759045278991223</c:v>
                </c:pt>
                <c:pt idx="8">
                  <c:v>73.081464830616241</c:v>
                </c:pt>
                <c:pt idx="9">
                  <c:v>71.4423531572412</c:v>
                </c:pt>
                <c:pt idx="10">
                  <c:v>69.84065275886627</c:v>
                </c:pt>
                <c:pt idx="11">
                  <c:v>68.275306135491263</c:v>
                </c:pt>
                <c:pt idx="12">
                  <c:v>66.74525578711625</c:v>
                </c:pt>
                <c:pt idx="13">
                  <c:v>65.249444213741242</c:v>
                </c:pt>
                <c:pt idx="14">
                  <c:v>63.786813915366224</c:v>
                </c:pt>
                <c:pt idx="15">
                  <c:v>62.356307391991216</c:v>
                </c:pt>
                <c:pt idx="16">
                  <c:v>60.956867143616215</c:v>
                </c:pt>
                <c:pt idx="17">
                  <c:v>59.587435670241277</c:v>
                </c:pt>
                <c:pt idx="18">
                  <c:v>58.246955471866272</c:v>
                </c:pt>
                <c:pt idx="19">
                  <c:v>56.93436904849122</c:v>
                </c:pt>
                <c:pt idx="20">
                  <c:v>55.648618900116233</c:v>
                </c:pt>
                <c:pt idx="21">
                  <c:v>54.38864752674121</c:v>
                </c:pt>
                <c:pt idx="22">
                  <c:v>53.153397428366233</c:v>
                </c:pt>
                <c:pt idx="23">
                  <c:v>51.941811104991231</c:v>
                </c:pt>
                <c:pt idx="24">
                  <c:v>50.752831056616259</c:v>
                </c:pt>
                <c:pt idx="25">
                  <c:v>49.585399783241272</c:v>
                </c:pt>
                <c:pt idx="26">
                  <c:v>48.438459784866268</c:v>
                </c:pt>
                <c:pt idx="27">
                  <c:v>47.310953561491232</c:v>
                </c:pt>
                <c:pt idx="28">
                  <c:v>46.201823613116261</c:v>
                </c:pt>
                <c:pt idx="29">
                  <c:v>45.110012439741297</c:v>
                </c:pt>
                <c:pt idx="30">
                  <c:v>44.034462541366224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7B2-40F2-AD3B-CFC1F5F362CD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'0.001M'!$K$5:$K$35</c:f>
              <c:numCache>
                <c:formatCode>0.0000</c:formatCode>
                <c:ptCount val="31"/>
                <c:pt idx="0">
                  <c:v>87.656365171936201</c:v>
                </c:pt>
                <c:pt idx="1">
                  <c:v>85.679893298561211</c:v>
                </c:pt>
                <c:pt idx="2">
                  <c:v>83.749292700186174</c:v>
                </c:pt>
                <c:pt idx="3">
                  <c:v>81.863505876811246</c:v>
                </c:pt>
                <c:pt idx="4">
                  <c:v>80.021475328436225</c:v>
                </c:pt>
                <c:pt idx="5">
                  <c:v>78.222143555061223</c:v>
                </c:pt>
                <c:pt idx="6">
                  <c:v>76.46445305668621</c:v>
                </c:pt>
                <c:pt idx="7">
                  <c:v>74.747346333311199</c:v>
                </c:pt>
                <c:pt idx="8">
                  <c:v>73.069765884936217</c:v>
                </c:pt>
                <c:pt idx="9">
                  <c:v>71.430654211561176</c:v>
                </c:pt>
                <c:pt idx="10">
                  <c:v>69.828953813186246</c:v>
                </c:pt>
                <c:pt idx="11">
                  <c:v>68.263607189811239</c:v>
                </c:pt>
                <c:pt idx="12">
                  <c:v>66.733556841436226</c:v>
                </c:pt>
                <c:pt idx="13">
                  <c:v>65.237745268061218</c:v>
                </c:pt>
                <c:pt idx="14">
                  <c:v>63.775114969686193</c:v>
                </c:pt>
                <c:pt idx="15">
                  <c:v>62.344608446311184</c:v>
                </c:pt>
                <c:pt idx="16">
                  <c:v>60.945168197936184</c:v>
                </c:pt>
                <c:pt idx="17">
                  <c:v>59.575736724561246</c:v>
                </c:pt>
                <c:pt idx="18">
                  <c:v>58.235256526186241</c:v>
                </c:pt>
                <c:pt idx="19">
                  <c:v>56.922670102811189</c:v>
                </c:pt>
                <c:pt idx="20">
                  <c:v>55.636919954436202</c:v>
                </c:pt>
                <c:pt idx="21">
                  <c:v>54.376948581061178</c:v>
                </c:pt>
                <c:pt idx="22">
                  <c:v>53.141698482686202</c:v>
                </c:pt>
                <c:pt idx="23">
                  <c:v>51.9301121593112</c:v>
                </c:pt>
                <c:pt idx="24">
                  <c:v>50.741132110936228</c:v>
                </c:pt>
                <c:pt idx="25">
                  <c:v>49.57370083756124</c:v>
                </c:pt>
                <c:pt idx="26">
                  <c:v>48.426760839186237</c:v>
                </c:pt>
                <c:pt idx="27">
                  <c:v>47.299254615811201</c:v>
                </c:pt>
                <c:pt idx="28">
                  <c:v>46.19012466743623</c:v>
                </c:pt>
                <c:pt idx="29">
                  <c:v>45.098313494061266</c:v>
                </c:pt>
                <c:pt idx="30">
                  <c:v>44.022763595686193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7B2-40F2-AD3B-CFC1F5F362CD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'0.01M'!$K$5:$K$35</c:f>
              <c:numCache>
                <c:formatCode>0.0000</c:formatCode>
                <c:ptCount val="31"/>
                <c:pt idx="0">
                  <c:v>87.539470576906268</c:v>
                </c:pt>
                <c:pt idx="1">
                  <c:v>85.562998703531278</c:v>
                </c:pt>
                <c:pt idx="2">
                  <c:v>83.632398105156241</c:v>
                </c:pt>
                <c:pt idx="3">
                  <c:v>81.746611281781313</c:v>
                </c:pt>
                <c:pt idx="4">
                  <c:v>79.904580733406291</c:v>
                </c:pt>
                <c:pt idx="5">
                  <c:v>78.10524896003129</c:v>
                </c:pt>
                <c:pt idx="6">
                  <c:v>76.347558461656277</c:v>
                </c:pt>
                <c:pt idx="7">
                  <c:v>74.630451738281266</c:v>
                </c:pt>
                <c:pt idx="8">
                  <c:v>72.952871289906284</c:v>
                </c:pt>
                <c:pt idx="9">
                  <c:v>71.313759616531243</c:v>
                </c:pt>
                <c:pt idx="10">
                  <c:v>69.712059218156313</c:v>
                </c:pt>
                <c:pt idx="11">
                  <c:v>68.146712594781306</c:v>
                </c:pt>
                <c:pt idx="12">
                  <c:v>66.616662246406293</c:v>
                </c:pt>
                <c:pt idx="13">
                  <c:v>65.120850673031285</c:v>
                </c:pt>
                <c:pt idx="14">
                  <c:v>63.658220374656253</c:v>
                </c:pt>
                <c:pt idx="15">
                  <c:v>62.227713851281244</c:v>
                </c:pt>
                <c:pt idx="16">
                  <c:v>60.828273602906243</c:v>
                </c:pt>
                <c:pt idx="17">
                  <c:v>59.458842129531305</c:v>
                </c:pt>
                <c:pt idx="18">
                  <c:v>58.118361931156301</c:v>
                </c:pt>
                <c:pt idx="19">
                  <c:v>56.805775507781249</c:v>
                </c:pt>
                <c:pt idx="20">
                  <c:v>55.520025359406262</c:v>
                </c:pt>
                <c:pt idx="21">
                  <c:v>54.260053986031238</c:v>
                </c:pt>
                <c:pt idx="22">
                  <c:v>53.024803887656262</c:v>
                </c:pt>
                <c:pt idx="23">
                  <c:v>51.81321756428126</c:v>
                </c:pt>
                <c:pt idx="24">
                  <c:v>50.624237515906287</c:v>
                </c:pt>
                <c:pt idx="25">
                  <c:v>49.4568062425313</c:v>
                </c:pt>
                <c:pt idx="26">
                  <c:v>48.309866244156296</c:v>
                </c:pt>
                <c:pt idx="27">
                  <c:v>47.18236002078126</c:v>
                </c:pt>
                <c:pt idx="28">
                  <c:v>46.07323007240629</c:v>
                </c:pt>
                <c:pt idx="29">
                  <c:v>44.981418899031326</c:v>
                </c:pt>
                <c:pt idx="30">
                  <c:v>43.905869000656253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7B2-40F2-AD3B-CFC1F5F362CD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'0.1M'!$K$5:$K$35</c:f>
              <c:numCache>
                <c:formatCode>0.0000</c:formatCode>
                <c:ptCount val="31"/>
                <c:pt idx="0">
                  <c:v>86.379984046966257</c:v>
                </c:pt>
                <c:pt idx="1">
                  <c:v>84.403512173591267</c:v>
                </c:pt>
                <c:pt idx="2">
                  <c:v>82.47291157521623</c:v>
                </c:pt>
                <c:pt idx="3">
                  <c:v>80.587124751841301</c:v>
                </c:pt>
                <c:pt idx="4">
                  <c:v>78.74509420346628</c:v>
                </c:pt>
                <c:pt idx="5">
                  <c:v>76.945762430091278</c:v>
                </c:pt>
                <c:pt idx="6">
                  <c:v>75.188071931716266</c:v>
                </c:pt>
                <c:pt idx="7">
                  <c:v>73.470965208341255</c:v>
                </c:pt>
                <c:pt idx="8">
                  <c:v>71.793384759966273</c:v>
                </c:pt>
                <c:pt idx="9">
                  <c:v>70.154273086591232</c:v>
                </c:pt>
                <c:pt idx="10">
                  <c:v>68.552572688216301</c:v>
                </c:pt>
                <c:pt idx="11">
                  <c:v>66.987226064841295</c:v>
                </c:pt>
                <c:pt idx="12">
                  <c:v>65.457175716466281</c:v>
                </c:pt>
                <c:pt idx="13">
                  <c:v>63.961364143091274</c:v>
                </c:pt>
                <c:pt idx="14">
                  <c:v>62.498733844716256</c:v>
                </c:pt>
                <c:pt idx="15">
                  <c:v>61.068227321341247</c:v>
                </c:pt>
                <c:pt idx="16">
                  <c:v>59.668787072966246</c:v>
                </c:pt>
                <c:pt idx="17">
                  <c:v>58.299355599591308</c:v>
                </c:pt>
                <c:pt idx="18">
                  <c:v>56.958875401216304</c:v>
                </c:pt>
                <c:pt idx="19">
                  <c:v>55.646288977841252</c:v>
                </c:pt>
                <c:pt idx="20">
                  <c:v>54.360538829466265</c:v>
                </c:pt>
                <c:pt idx="21">
                  <c:v>53.100567456091241</c:v>
                </c:pt>
                <c:pt idx="22">
                  <c:v>51.865317357716265</c:v>
                </c:pt>
                <c:pt idx="23">
                  <c:v>50.653731034341263</c:v>
                </c:pt>
                <c:pt idx="24">
                  <c:v>49.46475098596629</c:v>
                </c:pt>
                <c:pt idx="25">
                  <c:v>48.297319712591303</c:v>
                </c:pt>
                <c:pt idx="26">
                  <c:v>47.150379714216299</c:v>
                </c:pt>
                <c:pt idx="27">
                  <c:v>46.022873490841263</c:v>
                </c:pt>
                <c:pt idx="28">
                  <c:v>44.913743542466293</c:v>
                </c:pt>
                <c:pt idx="29">
                  <c:v>43.821932369091328</c:v>
                </c:pt>
                <c:pt idx="30">
                  <c:v>42.746382470716256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7B2-40F2-AD3B-CFC1F5F362CD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'0.5M'!$K$5:$K$35</c:f>
              <c:numCache>
                <c:formatCode>0.0000</c:formatCode>
                <c:ptCount val="31"/>
                <c:pt idx="0">
                  <c:v>81.43185660696625</c:v>
                </c:pt>
                <c:pt idx="1">
                  <c:v>79.455384733591259</c:v>
                </c:pt>
                <c:pt idx="2">
                  <c:v>77.524784135216223</c:v>
                </c:pt>
                <c:pt idx="3">
                  <c:v>75.638997311841294</c:v>
                </c:pt>
                <c:pt idx="4">
                  <c:v>73.796966763466273</c:v>
                </c:pt>
                <c:pt idx="5">
                  <c:v>71.997634990091271</c:v>
                </c:pt>
                <c:pt idx="6">
                  <c:v>70.239944491716258</c:v>
                </c:pt>
                <c:pt idx="7">
                  <c:v>68.522837768341248</c:v>
                </c:pt>
                <c:pt idx="8">
                  <c:v>66.845257319966265</c:v>
                </c:pt>
                <c:pt idx="9">
                  <c:v>65.206145646591224</c:v>
                </c:pt>
                <c:pt idx="10">
                  <c:v>63.604445248216301</c:v>
                </c:pt>
                <c:pt idx="11">
                  <c:v>62.039098624841294</c:v>
                </c:pt>
                <c:pt idx="12">
                  <c:v>60.509048276466281</c:v>
                </c:pt>
                <c:pt idx="13">
                  <c:v>59.013236703091273</c:v>
                </c:pt>
                <c:pt idx="14">
                  <c:v>57.550606404716255</c:v>
                </c:pt>
                <c:pt idx="15">
                  <c:v>56.120099881341247</c:v>
                </c:pt>
                <c:pt idx="16">
                  <c:v>54.720659632966246</c:v>
                </c:pt>
                <c:pt idx="17">
                  <c:v>53.351228159591308</c:v>
                </c:pt>
                <c:pt idx="18">
                  <c:v>52.010747961216303</c:v>
                </c:pt>
                <c:pt idx="19">
                  <c:v>50.698161537841251</c:v>
                </c:pt>
                <c:pt idx="20">
                  <c:v>49.412411389466264</c:v>
                </c:pt>
                <c:pt idx="21">
                  <c:v>48.152440016091241</c:v>
                </c:pt>
                <c:pt idx="22">
                  <c:v>46.917189917716264</c:v>
                </c:pt>
                <c:pt idx="23">
                  <c:v>45.705603594341262</c:v>
                </c:pt>
                <c:pt idx="24">
                  <c:v>44.51662354596629</c:v>
                </c:pt>
                <c:pt idx="25">
                  <c:v>43.349192272591303</c:v>
                </c:pt>
                <c:pt idx="26">
                  <c:v>42.202252274216299</c:v>
                </c:pt>
                <c:pt idx="27">
                  <c:v>41.074746050841263</c:v>
                </c:pt>
                <c:pt idx="28">
                  <c:v>39.965616102466292</c:v>
                </c:pt>
                <c:pt idx="29">
                  <c:v>38.873804929091328</c:v>
                </c:pt>
                <c:pt idx="30">
                  <c:v>37.798255030716255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7B2-40F2-AD3B-CFC1F5F362CD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'1M'!$K$5:$K$35</c:f>
              <c:numCache>
                <c:formatCode>0.0000</c:formatCode>
                <c:ptCount val="31"/>
                <c:pt idx="0">
                  <c:v>75.704304106966248</c:v>
                </c:pt>
                <c:pt idx="1">
                  <c:v>73.727832233591258</c:v>
                </c:pt>
                <c:pt idx="2">
                  <c:v>71.797231635216221</c:v>
                </c:pt>
                <c:pt idx="3">
                  <c:v>69.911444811841292</c:v>
                </c:pt>
                <c:pt idx="4">
                  <c:v>68.069414263466271</c:v>
                </c:pt>
                <c:pt idx="5">
                  <c:v>66.270082490091269</c:v>
                </c:pt>
                <c:pt idx="6">
                  <c:v>64.512391991716257</c:v>
                </c:pt>
                <c:pt idx="7">
                  <c:v>62.795285268341253</c:v>
                </c:pt>
                <c:pt idx="8">
                  <c:v>61.117704819966271</c:v>
                </c:pt>
                <c:pt idx="9">
                  <c:v>59.47859314659123</c:v>
                </c:pt>
                <c:pt idx="10">
                  <c:v>57.876892748216299</c:v>
                </c:pt>
                <c:pt idx="11">
                  <c:v>56.311546124841293</c:v>
                </c:pt>
                <c:pt idx="12">
                  <c:v>54.781495776466279</c:v>
                </c:pt>
                <c:pt idx="13">
                  <c:v>53.285684203091272</c:v>
                </c:pt>
                <c:pt idx="14">
                  <c:v>51.823053904716254</c:v>
                </c:pt>
                <c:pt idx="15">
                  <c:v>50.392547381341245</c:v>
                </c:pt>
                <c:pt idx="16">
                  <c:v>48.993107132966244</c:v>
                </c:pt>
                <c:pt idx="17">
                  <c:v>47.623675659591306</c:v>
                </c:pt>
                <c:pt idx="18">
                  <c:v>46.283195461216302</c:v>
                </c:pt>
                <c:pt idx="19">
                  <c:v>44.97060903784125</c:v>
                </c:pt>
                <c:pt idx="20">
                  <c:v>43.684858889466263</c:v>
                </c:pt>
                <c:pt idx="21">
                  <c:v>42.424887516091239</c:v>
                </c:pt>
                <c:pt idx="22">
                  <c:v>41.189637417716263</c:v>
                </c:pt>
                <c:pt idx="23">
                  <c:v>39.978051094341261</c:v>
                </c:pt>
                <c:pt idx="24">
                  <c:v>38.789071045966288</c:v>
                </c:pt>
                <c:pt idx="25">
                  <c:v>37.621639772591301</c:v>
                </c:pt>
                <c:pt idx="26">
                  <c:v>36.474699774216297</c:v>
                </c:pt>
                <c:pt idx="27">
                  <c:v>35.347193550841261</c:v>
                </c:pt>
                <c:pt idx="28">
                  <c:v>34.238063602466291</c:v>
                </c:pt>
                <c:pt idx="29">
                  <c:v>33.146252429091327</c:v>
                </c:pt>
                <c:pt idx="30">
                  <c:v>32.070702530716254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7B2-40F2-AD3B-CFC1F5F36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82600"/>
        <c:axId val="237482992"/>
      </c:scatterChart>
      <c:valAx>
        <c:axId val="237482600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2992"/>
        <c:crossesAt val="0"/>
        <c:crossBetween val="midCat"/>
        <c:majorUnit val="20"/>
        <c:minorUnit val="10"/>
      </c:valAx>
      <c:valAx>
        <c:axId val="237482992"/>
        <c:scaling>
          <c:orientation val="minMax"/>
          <c:min val="3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relative permittivity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(-)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1260327839279366E-2"/>
              <c:y val="8.814998270640266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260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4148538073744663"/>
          <c:y val="2.9962804113133047E-2"/>
          <c:w val="0.18253121769522343"/>
          <c:h val="0.35531121019804757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'1e-5M'!$L$5:$L$35</c:f>
              <c:numCache>
                <c:formatCode>0.000E+00</c:formatCode>
                <c:ptCount val="31"/>
                <c:pt idx="0">
                  <c:v>1.775129194440131E-3</c:v>
                </c:pt>
                <c:pt idx="1">
                  <c:v>1.5039153935108168E-3</c:v>
                </c:pt>
                <c:pt idx="2">
                  <c:v>1.290868224964121E-3</c:v>
                </c:pt>
                <c:pt idx="3">
                  <c:v>1.121348318582761E-3</c:v>
                </c:pt>
                <c:pt idx="4">
                  <c:v>9.8468057767325985E-4</c:v>
                </c:pt>
                <c:pt idx="5">
                  <c:v>8.7304984229625269E-4</c:v>
                </c:pt>
                <c:pt idx="6">
                  <c:v>7.8070734689798555E-4</c:v>
                </c:pt>
                <c:pt idx="7">
                  <c:v>7.0340019101138159E-4</c:v>
                </c:pt>
                <c:pt idx="8">
                  <c:v>6.3796086576992604E-4</c:v>
                </c:pt>
                <c:pt idx="9">
                  <c:v>5.8201167990231761E-4</c:v>
                </c:pt>
                <c:pt idx="10">
                  <c:v>5.3375169391624332E-4</c:v>
                </c:pt>
                <c:pt idx="11">
                  <c:v>4.9180292525690175E-4</c:v>
                </c:pt>
                <c:pt idx="12">
                  <c:v>4.5509915204847157E-4</c:v>
                </c:pt>
                <c:pt idx="13">
                  <c:v>4.2280535119065734E-4</c:v>
                </c:pt>
                <c:pt idx="14">
                  <c:v>3.9425918338383703E-4</c:v>
                </c:pt>
                <c:pt idx="15">
                  <c:v>3.6892835975226956E-4</c:v>
                </c:pt>
                <c:pt idx="16">
                  <c:v>3.4637946220453638E-4</c:v>
                </c:pt>
                <c:pt idx="17">
                  <c:v>3.2625503617392915E-4</c:v>
                </c:pt>
                <c:pt idx="18">
                  <c:v>3.0825666878416913E-4</c:v>
                </c:pt>
                <c:pt idx="19">
                  <c:v>2.9213240736336539E-4</c:v>
                </c:pt>
                <c:pt idx="20">
                  <c:v>2.7766733398523004E-4</c:v>
                </c:pt>
                <c:pt idx="21">
                  <c:v>2.6467644255454118E-4</c:v>
                </c:pt>
                <c:pt idx="22">
                  <c:v>2.5299920259234634E-4</c:v>
                </c:pt>
                <c:pt idx="23">
                  <c:v>2.4249536464787357E-4</c:v>
                </c:pt>
                <c:pt idx="24">
                  <c:v>2.330416850534397E-4</c:v>
                </c:pt>
                <c:pt idx="25">
                  <c:v>2.245293360902872E-4</c:v>
                </c:pt>
                <c:pt idx="26">
                  <c:v>2.1686183126214616E-4</c:v>
                </c:pt>
                <c:pt idx="27">
                  <c:v>2.0995334124815885E-4</c:v>
                </c:pt>
                <c:pt idx="28">
                  <c:v>2.0372730922701331E-4</c:v>
                </c:pt>
                <c:pt idx="29">
                  <c:v>1.9811529821678447E-4</c:v>
                </c:pt>
                <c:pt idx="30">
                  <c:v>1.9305602043425698E-4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56-4B67-A361-962CE151D001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'0.0001M'!$L$5:$L$35</c:f>
              <c:numCache>
                <c:formatCode>0.000E+00</c:formatCode>
                <c:ptCount val="31"/>
                <c:pt idx="0">
                  <c:v>1.7751424645244787E-3</c:v>
                </c:pt>
                <c:pt idx="1">
                  <c:v>1.5039274857084012E-3</c:v>
                </c:pt>
                <c:pt idx="2">
                  <c:v>1.2908792590918387E-3</c:v>
                </c:pt>
                <c:pt idx="3">
                  <c:v>1.1213584014836641E-3</c:v>
                </c:pt>
                <c:pt idx="4">
                  <c:v>9.8468980484488948E-4</c:v>
                </c:pt>
                <c:pt idx="5">
                  <c:v>8.7305829924847855E-4</c:v>
                </c:pt>
                <c:pt idx="6">
                  <c:v>7.8071511030539521E-4</c:v>
                </c:pt>
                <c:pt idx="7">
                  <c:v>7.0340732970410535E-4</c:v>
                </c:pt>
                <c:pt idx="8">
                  <c:v>6.3796744159384116E-4</c:v>
                </c:pt>
                <c:pt idx="9">
                  <c:v>5.8201774847133785E-4</c:v>
                </c:pt>
                <c:pt idx="10">
                  <c:v>5.337573052739199E-4</c:v>
                </c:pt>
                <c:pt idx="11">
                  <c:v>4.9180812446079772E-4</c:v>
                </c:pt>
                <c:pt idx="12">
                  <c:v>4.5510397968809047E-4</c:v>
                </c:pt>
                <c:pt idx="13">
                  <c:v>4.2280984384773535E-4</c:v>
                </c:pt>
                <c:pt idx="14">
                  <c:v>3.9426337404231627E-4</c:v>
                </c:pt>
                <c:pt idx="15">
                  <c:v>3.6893227816411851E-4</c:v>
                </c:pt>
                <c:pt idx="16">
                  <c:v>3.4638313521666731E-4</c:v>
                </c:pt>
                <c:pt idx="17">
                  <c:v>3.2625848802072394E-4</c:v>
                </c:pt>
                <c:pt idx="18">
                  <c:v>3.0825992134951883E-4</c:v>
                </c:pt>
                <c:pt idx="19">
                  <c:v>2.9213548041562423E-4</c:v>
                </c:pt>
                <c:pt idx="20">
                  <c:v>2.7767024538806115E-4</c:v>
                </c:pt>
                <c:pt idx="21">
                  <c:v>2.6467920845626866E-4</c:v>
                </c:pt>
                <c:pt idx="22">
                  <c:v>2.5300183759611978E-4</c:v>
                </c:pt>
                <c:pt idx="23">
                  <c:v>2.4249788196468414E-4</c:v>
                </c:pt>
                <c:pt idx="24">
                  <c:v>2.3304409663979527E-4</c:v>
                </c:pt>
                <c:pt idx="25">
                  <c:v>2.2453165277215136E-4</c:v>
                </c:pt>
                <c:pt idx="26">
                  <c:v>2.1686406284657001E-4</c:v>
                </c:pt>
                <c:pt idx="27">
                  <c:v>2.0995549662387747E-4</c:v>
                </c:pt>
                <c:pt idx="28">
                  <c:v>2.0372939645514404E-4</c:v>
                </c:pt>
                <c:pt idx="29">
                  <c:v>1.9811732461264109E-4</c:v>
                </c:pt>
                <c:pt idx="30">
                  <c:v>1.9305799264118822E-4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56-4B67-A361-962CE151D001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'0.001M'!$L$5:$L$35</c:f>
              <c:numCache>
                <c:formatCode>0.000E+00</c:formatCode>
                <c:ptCount val="31"/>
                <c:pt idx="0">
                  <c:v>1.77527517756262E-3</c:v>
                </c:pt>
                <c:pt idx="1">
                  <c:v>1.5040484188036081E-3</c:v>
                </c:pt>
                <c:pt idx="2">
                  <c:v>1.2909896105253646E-3</c:v>
                </c:pt>
                <c:pt idx="3">
                  <c:v>1.1214592397853899E-3</c:v>
                </c:pt>
                <c:pt idx="4">
                  <c:v>9.8478208507849462E-4</c:v>
                </c:pt>
                <c:pt idx="5">
                  <c:v>8.7314287659130132E-4</c:v>
                </c:pt>
                <c:pt idx="6">
                  <c:v>7.8079275157354785E-4</c:v>
                </c:pt>
                <c:pt idx="7">
                  <c:v>7.0347872326172742E-4</c:v>
                </c:pt>
                <c:pt idx="8">
                  <c:v>6.3803320595602359E-4</c:v>
                </c:pt>
                <c:pt idx="9">
                  <c:v>5.8207843982775623E-4</c:v>
                </c:pt>
                <c:pt idx="10">
                  <c:v>5.3381342410548603E-4</c:v>
                </c:pt>
                <c:pt idx="11">
                  <c:v>4.9186012138397036E-4</c:v>
                </c:pt>
                <c:pt idx="12">
                  <c:v>4.551522606346572E-4</c:v>
                </c:pt>
                <c:pt idx="13">
                  <c:v>4.2285477466816275E-4</c:v>
                </c:pt>
                <c:pt idx="14">
                  <c:v>3.9430528460587106E-4</c:v>
                </c:pt>
                <c:pt idx="15">
                  <c:v>3.6897146601741303E-4</c:v>
                </c:pt>
                <c:pt idx="16">
                  <c:v>3.4641986885313461E-4</c:v>
                </c:pt>
                <c:pt idx="17">
                  <c:v>3.2629300980614414E-4</c:v>
                </c:pt>
                <c:pt idx="18">
                  <c:v>3.0829245014265448E-4</c:v>
                </c:pt>
                <c:pt idx="19">
                  <c:v>2.9216621391797779E-4</c:v>
                </c:pt>
                <c:pt idx="20">
                  <c:v>2.776993622525215E-4</c:v>
                </c:pt>
                <c:pt idx="21">
                  <c:v>2.6470687018080331E-4</c:v>
                </c:pt>
                <c:pt idx="22">
                  <c:v>2.530281902255748E-4</c:v>
                </c:pt>
                <c:pt idx="23">
                  <c:v>2.4252305762108379E-4</c:v>
                </c:pt>
                <c:pt idx="24">
                  <c:v>2.330682148992166E-4</c:v>
                </c:pt>
                <c:pt idx="25">
                  <c:v>2.2455482190422696E-4</c:v>
                </c:pt>
                <c:pt idx="26">
                  <c:v>2.1688638093090356E-4</c:v>
                </c:pt>
                <c:pt idx="27">
                  <c:v>2.09977052556103E-4</c:v>
                </c:pt>
                <c:pt idx="28">
                  <c:v>2.0375027085398786E-4</c:v>
                </c:pt>
                <c:pt idx="29">
                  <c:v>1.9813759063813866E-4</c:v>
                </c:pt>
                <c:pt idx="30">
                  <c:v>1.9307771673313594E-4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56-4B67-A361-962CE151D001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'0.01M'!$L$5:$L$35</c:f>
              <c:numCache>
                <c:formatCode>0.000E+00</c:formatCode>
                <c:ptCount val="31"/>
                <c:pt idx="0">
                  <c:v>1.7766035283529932E-3</c:v>
                </c:pt>
                <c:pt idx="1">
                  <c:v>1.505258862552107E-3</c:v>
                </c:pt>
                <c:pt idx="2">
                  <c:v>1.2920941412816532E-3</c:v>
                </c:pt>
                <c:pt idx="3">
                  <c:v>1.1224685527922533E-3</c:v>
                </c:pt>
                <c:pt idx="4">
                  <c:v>9.857057398062574E-4</c:v>
                </c:pt>
                <c:pt idx="5">
                  <c:v>8.7398943268375193E-4</c:v>
                </c:pt>
                <c:pt idx="6">
                  <c:v>7.8156988422054051E-4</c:v>
                </c:pt>
                <c:pt idx="7">
                  <c:v>7.0419332239365494E-4</c:v>
                </c:pt>
                <c:pt idx="8">
                  <c:v>6.3869146235976814E-4</c:v>
                </c:pt>
                <c:pt idx="9">
                  <c:v>5.8268592045754633E-4</c:v>
                </c:pt>
                <c:pt idx="10">
                  <c:v>5.3437513831400393E-4</c:v>
                </c:pt>
                <c:pt idx="11">
                  <c:v>4.9238057942179879E-4</c:v>
                </c:pt>
                <c:pt idx="12">
                  <c:v>4.5563552549749157E-4</c:v>
                </c:pt>
                <c:pt idx="13">
                  <c:v>4.2330450817382008E-4</c:v>
                </c:pt>
                <c:pt idx="14">
                  <c:v>3.9472478843393413E-4</c:v>
                </c:pt>
                <c:pt idx="15">
                  <c:v>3.693637183287392E-4</c:v>
                </c:pt>
                <c:pt idx="16">
                  <c:v>3.467875570148671E-4</c:v>
                </c:pt>
                <c:pt idx="17">
                  <c:v>3.2663855967390718E-4</c:v>
                </c:pt>
                <c:pt idx="18">
                  <c:v>3.0861805229092097E-4</c:v>
                </c:pt>
                <c:pt idx="19">
                  <c:v>2.9247384715909566E-4</c:v>
                </c:pt>
                <c:pt idx="20">
                  <c:v>2.7799081474236563E-4</c:v>
                </c:pt>
                <c:pt idx="21">
                  <c:v>2.649837583728799E-4</c:v>
                </c:pt>
                <c:pt idx="22">
                  <c:v>2.532919759044272E-4</c:v>
                </c:pt>
                <c:pt idx="23">
                  <c:v>2.4277506321911994E-4</c:v>
                </c:pt>
                <c:pt idx="24">
                  <c:v>2.3330963727787856E-4</c:v>
                </c:pt>
                <c:pt idx="25">
                  <c:v>2.2478674476019678E-4</c:v>
                </c:pt>
                <c:pt idx="26">
                  <c:v>2.1710978597032438E-4</c:v>
                </c:pt>
                <c:pt idx="27">
                  <c:v>2.1019282956423691E-4</c:v>
                </c:pt>
                <c:pt idx="28">
                  <c:v>2.0395922677402233E-4</c:v>
                </c:pt>
                <c:pt idx="29">
                  <c:v>1.9834045776074527E-4</c:v>
                </c:pt>
                <c:pt idx="30">
                  <c:v>1.9327516008767027E-4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56-4B67-A361-962CE151D001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'0.1M'!$L$5:$L$35</c:f>
              <c:numCache>
                <c:formatCode>0.000E+00</c:formatCode>
                <c:ptCount val="31"/>
                <c:pt idx="0">
                  <c:v>1.7900100262562676E-3</c:v>
                </c:pt>
                <c:pt idx="1">
                  <c:v>1.5174754455915252E-3</c:v>
                </c:pt>
                <c:pt idx="2">
                  <c:v>1.3032418825459999E-3</c:v>
                </c:pt>
                <c:pt idx="3">
                  <c:v>1.1326554069154119E-3</c:v>
                </c:pt>
                <c:pt idx="4">
                  <c:v>9.9502819174770909E-4</c:v>
                </c:pt>
                <c:pt idx="5">
                  <c:v>8.8253387204650566E-4</c:v>
                </c:pt>
                <c:pt idx="6">
                  <c:v>7.8941377122841152E-4</c:v>
                </c:pt>
                <c:pt idx="7">
                  <c:v>7.1140619011580844E-4</c:v>
                </c:pt>
                <c:pt idx="8">
                  <c:v>6.4533578661310812E-4</c:v>
                </c:pt>
                <c:pt idx="9">
                  <c:v>5.8881788042947471E-4</c:v>
                </c:pt>
                <c:pt idx="10">
                  <c:v>5.4004528538494111E-4</c:v>
                </c:pt>
                <c:pt idx="11">
                  <c:v>4.9763442783902988E-4</c:v>
                </c:pt>
                <c:pt idx="12">
                  <c:v>4.6051407582683198E-4</c:v>
                </c:pt>
                <c:pt idx="13">
                  <c:v>4.2784471245412286E-4</c:v>
                </c:pt>
                <c:pt idx="14">
                  <c:v>3.989599644474131E-4</c:v>
                </c:pt>
                <c:pt idx="15">
                  <c:v>3.7332391922874483E-4</c:v>
                </c:pt>
                <c:pt idx="16">
                  <c:v>3.5049990162515409E-4</c:v>
                </c:pt>
                <c:pt idx="17">
                  <c:v>3.3012752802472067E-4</c:v>
                </c:pt>
                <c:pt idx="18">
                  <c:v>3.1190575034296584E-4</c:v>
                </c:pt>
                <c:pt idx="19">
                  <c:v>2.955802441554774E-4</c:v>
                </c:pt>
                <c:pt idx="20">
                  <c:v>2.8093395619855629E-4</c:v>
                </c:pt>
                <c:pt idx="21">
                  <c:v>2.6777995734928031E-4</c:v>
                </c:pt>
                <c:pt idx="22">
                  <c:v>2.5595598489294274E-4</c:v>
                </c:pt>
                <c:pt idx="23">
                  <c:v>2.4532022870498452E-4</c:v>
                </c:pt>
                <c:pt idx="24">
                  <c:v>2.3574803880353488E-4</c:v>
                </c:pt>
                <c:pt idx="25">
                  <c:v>2.2712932011364307E-4</c:v>
                </c:pt>
                <c:pt idx="26">
                  <c:v>2.193664439414103E-4</c:v>
                </c:pt>
                <c:pt idx="27">
                  <c:v>2.1237255155521887E-4</c:v>
                </c:pt>
                <c:pt idx="28">
                  <c:v>2.0607015841223535E-4</c:v>
                </c:pt>
                <c:pt idx="29">
                  <c:v>2.0038999153898135E-4</c:v>
                </c:pt>
                <c:pt idx="30">
                  <c:v>1.9527000994966093E-4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56-4B67-A361-962CE151D001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'0.5M'!$L$5:$L$35</c:f>
              <c:numCache>
                <c:formatCode>0.000E+00</c:formatCode>
                <c:ptCount val="31"/>
                <c:pt idx="0">
                  <c:v>9.2620397579071343E-4</c:v>
                </c:pt>
                <c:pt idx="1">
                  <c:v>7.8716842174600225E-4</c:v>
                </c:pt>
                <c:pt idx="2">
                  <c:v>6.7756539039350147E-4</c:v>
                </c:pt>
                <c:pt idx="3">
                  <c:v>5.9003726943796517E-4</c:v>
                </c:pt>
                <c:pt idx="4">
                  <c:v>5.1921337428159761E-4</c:v>
                </c:pt>
                <c:pt idx="5">
                  <c:v>4.6115697613655809E-4</c:v>
                </c:pt>
                <c:pt idx="6">
                  <c:v>4.1296792218850528E-4</c:v>
                </c:pt>
                <c:pt idx="7">
                  <c:v>3.7249689347286784E-4</c:v>
                </c:pt>
                <c:pt idx="8">
                  <c:v>3.3813978296423489E-4</c:v>
                </c:pt>
                <c:pt idx="9">
                  <c:v>3.0868959095617284E-4</c:v>
                </c:pt>
                <c:pt idx="10">
                  <c:v>2.8322962568531191E-4</c:v>
                </c:pt>
                <c:pt idx="11">
                  <c:v>2.6105637932242245E-4</c:v>
                </c:pt>
                <c:pt idx="12">
                  <c:v>2.4162373512258604E-4</c:v>
                </c:pt>
                <c:pt idx="13">
                  <c:v>2.245025177447404E-4</c:v>
                </c:pt>
                <c:pt idx="14">
                  <c:v>2.0935108859517789E-4</c:v>
                </c:pt>
                <c:pt idx="15">
                  <c:v>1.9589390010149449E-4</c:v>
                </c:pt>
                <c:pt idx="16">
                  <c:v>1.8390579227574416E-4</c:v>
                </c:pt>
                <c:pt idx="17">
                  <c:v>1.7320043870320211E-4</c:v>
                </c:pt>
                <c:pt idx="18">
                  <c:v>1.636217966892236E-4</c:v>
                </c:pt>
                <c:pt idx="19">
                  <c:v>1.5503773753829751E-4</c:v>
                </c:pt>
                <c:pt idx="20">
                  <c:v>1.4733526355445155E-4</c:v>
                </c:pt>
                <c:pt idx="21">
                  <c:v>1.4041688395995591E-4</c:v>
                </c:pt>
                <c:pt idx="22">
                  <c:v>1.341978409013255E-4</c:v>
                </c:pt>
                <c:pt idx="23">
                  <c:v>1.2860396222275268E-4</c:v>
                </c:pt>
                <c:pt idx="24">
                  <c:v>1.2356997918592093E-4</c:v>
                </c:pt>
                <c:pt idx="25">
                  <c:v>1.1903819157840067E-4</c:v>
                </c:pt>
                <c:pt idx="26">
                  <c:v>1.1495739454131703E-4</c:v>
                </c:pt>
                <c:pt idx="27">
                  <c:v>1.1128200444761927E-4</c:v>
                </c:pt>
                <c:pt idx="28">
                  <c:v>1.0797133777671891E-4</c:v>
                </c:pt>
                <c:pt idx="29">
                  <c:v>1.0498900895455611E-4</c:v>
                </c:pt>
                <c:pt idx="30">
                  <c:v>1.0230242184859238E-4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56-4B67-A361-962CE151D001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'1M'!$L$5:$L$35</c:f>
              <c:numCache>
                <c:formatCode>0.000E+00</c:formatCode>
                <c:ptCount val="31"/>
                <c:pt idx="0">
                  <c:v>1.9373927224481894E-3</c:v>
                </c:pt>
                <c:pt idx="1">
                  <c:v>1.6517852908570782E-3</c:v>
                </c:pt>
                <c:pt idx="2">
                  <c:v>1.4258124061192669E-3</c:v>
                </c:pt>
                <c:pt idx="3">
                  <c:v>1.2446747623203408E-3</c:v>
                </c:pt>
                <c:pt idx="4">
                  <c:v>1.0975576651163297E-3</c:v>
                </c:pt>
                <c:pt idx="5">
                  <c:v>9.7652325059235381E-4</c:v>
                </c:pt>
                <c:pt idx="6">
                  <c:v>8.7571434086571617E-4</c:v>
                </c:pt>
                <c:pt idx="7">
                  <c:v>7.907818786533229E-4</c:v>
                </c:pt>
                <c:pt idx="8">
                  <c:v>7.1847281496049151E-4</c:v>
                </c:pt>
                <c:pt idx="9">
                  <c:v>6.5633318632413444E-4</c:v>
                </c:pt>
                <c:pt idx="10">
                  <c:v>6.0249391938343143E-4</c:v>
                </c:pt>
                <c:pt idx="11">
                  <c:v>5.5551607689813991E-4</c:v>
                </c:pt>
                <c:pt idx="12">
                  <c:v>5.1427883828844599E-4</c:v>
                </c:pt>
                <c:pt idx="13">
                  <c:v>4.7789822519039881E-4</c:v>
                </c:pt>
                <c:pt idx="14">
                  <c:v>4.4566796557042582E-4</c:v>
                </c:pt>
                <c:pt idx="15">
                  <c:v>4.1701631637795365E-4</c:v>
                </c:pt>
                <c:pt idx="16">
                  <c:v>3.9147440528141325E-4</c:v>
                </c:pt>
                <c:pt idx="17">
                  <c:v>3.6865290080278698E-4</c:v>
                </c:pt>
                <c:pt idx="18">
                  <c:v>3.4822471626694198E-4</c:v>
                </c:pt>
                <c:pt idx="19">
                  <c:v>3.2991209616033802E-4</c:v>
                </c:pt>
                <c:pt idx="20">
                  <c:v>3.1347689526604991E-4</c:v>
                </c:pt>
                <c:pt idx="21">
                  <c:v>2.9871319258822107E-4</c:v>
                </c:pt>
                <c:pt idx="22">
                  <c:v>2.8544162037058747E-4</c:v>
                </c:pt>
                <c:pt idx="23">
                  <c:v>2.7350495982023625E-4</c:v>
                </c:pt>
                <c:pt idx="24">
                  <c:v>2.6276467838086875E-4</c:v>
                </c:pt>
                <c:pt idx="25">
                  <c:v>2.5309817212347096E-4</c:v>
                </c:pt>
                <c:pt idx="26">
                  <c:v>2.443965407658618E-4</c:v>
                </c:pt>
                <c:pt idx="27">
                  <c:v>2.3656276897576227E-4</c:v>
                </c:pt>
                <c:pt idx="28">
                  <c:v>2.2951022096261376E-4</c:v>
                </c:pt>
                <c:pt idx="29">
                  <c:v>2.2316137951497965E-4</c:v>
                </c:pt>
                <c:pt idx="30">
                  <c:v>2.1744677817233665E-4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E56-4B67-A361-962CE151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83776"/>
        <c:axId val="237484168"/>
      </c:scatterChart>
      <c:valAx>
        <c:axId val="237483776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4168"/>
        <c:crossesAt val="0"/>
        <c:crossBetween val="midCat"/>
        <c:majorUnit val="20"/>
        <c:minorUnit val="10"/>
      </c:valAx>
      <c:valAx>
        <c:axId val="237484168"/>
        <c:scaling>
          <c:orientation val="minMax"/>
          <c:max val="2.0000000000000005E-3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viscosity (Pa.s)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7185997357566124E-2"/>
              <c:y val="0.160517304953978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3776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3889530867222952"/>
          <c:y val="2.9962804113133047E-2"/>
          <c:w val="0.18515557551129644"/>
          <c:h val="0.40585245049216195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'1e-5M'!$M$5:$M$35</c:f>
              <c:numCache>
                <c:formatCode>0.000E+00</c:formatCode>
                <c:ptCount val="31"/>
                <c:pt idx="0">
                  <c:v>5.5925420717065695E-5</c:v>
                </c:pt>
                <c:pt idx="1">
                  <c:v>6.9372278028484146E-5</c:v>
                </c:pt>
                <c:pt idx="2">
                  <c:v>8.2744135339902594E-5</c:v>
                </c:pt>
                <c:pt idx="3">
                  <c:v>9.6040992651321027E-5</c:v>
                </c:pt>
                <c:pt idx="4">
                  <c:v>1.0926284996273946E-4</c:v>
                </c:pt>
                <c:pt idx="5">
                  <c:v>1.2240970727415791E-4</c:v>
                </c:pt>
                <c:pt idx="6">
                  <c:v>1.3548156458557636E-4</c:v>
                </c:pt>
                <c:pt idx="7">
                  <c:v>1.4847842189699481E-4</c:v>
                </c:pt>
                <c:pt idx="8">
                  <c:v>1.6140027920841325E-4</c:v>
                </c:pt>
                <c:pt idx="9">
                  <c:v>1.7424713651983169E-4</c:v>
                </c:pt>
                <c:pt idx="10">
                  <c:v>1.8701899383125013E-4</c:v>
                </c:pt>
                <c:pt idx="11">
                  <c:v>1.997158511426686E-4</c:v>
                </c:pt>
                <c:pt idx="12">
                  <c:v>2.1233770845408706E-4</c:v>
                </c:pt>
                <c:pt idx="13">
                  <c:v>2.2488456576550545E-4</c:v>
                </c:pt>
                <c:pt idx="14">
                  <c:v>2.373564230769239E-4</c:v>
                </c:pt>
                <c:pt idx="15">
                  <c:v>2.4975328038834234E-4</c:v>
                </c:pt>
                <c:pt idx="16">
                  <c:v>2.6207513769976079E-4</c:v>
                </c:pt>
                <c:pt idx="17">
                  <c:v>2.7432199501117925E-4</c:v>
                </c:pt>
                <c:pt idx="18">
                  <c:v>2.8649385232259761E-4</c:v>
                </c:pt>
                <c:pt idx="19">
                  <c:v>2.9859070963401615E-4</c:v>
                </c:pt>
                <c:pt idx="20">
                  <c:v>3.1061256694543454E-4</c:v>
                </c:pt>
                <c:pt idx="21">
                  <c:v>3.22559424256853E-4</c:v>
                </c:pt>
                <c:pt idx="22">
                  <c:v>3.3443128156827146E-4</c:v>
                </c:pt>
                <c:pt idx="23">
                  <c:v>3.4622813887968989E-4</c:v>
                </c:pt>
                <c:pt idx="24">
                  <c:v>3.5794999619110843E-4</c:v>
                </c:pt>
                <c:pt idx="25">
                  <c:v>3.6959685350252677E-4</c:v>
                </c:pt>
                <c:pt idx="26">
                  <c:v>3.8116871081394523E-4</c:v>
                </c:pt>
                <c:pt idx="27">
                  <c:v>3.926655681253637E-4</c:v>
                </c:pt>
                <c:pt idx="28">
                  <c:v>4.0408742543678218E-4</c:v>
                </c:pt>
                <c:pt idx="29">
                  <c:v>4.1543428274820057E-4</c:v>
                </c:pt>
                <c:pt idx="30">
                  <c:v>4.2670614005961896E-4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27-4567-92B4-437C1D0BC504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'0.0001M'!$M$5:$M$35</c:f>
              <c:numCache>
                <c:formatCode>0.000E+00</c:formatCode>
                <c:ptCount val="31"/>
                <c:pt idx="0">
                  <c:v>5.5764503961522338E-4</c:v>
                </c:pt>
                <c:pt idx="1">
                  <c:v>6.9177609665316221E-4</c:v>
                </c:pt>
                <c:pt idx="2">
                  <c:v>8.2515715369110105E-4</c:v>
                </c:pt>
                <c:pt idx="3">
                  <c:v>9.5778821072904001E-4</c:v>
                </c:pt>
                <c:pt idx="4">
                  <c:v>1.0896692677669787E-3</c:v>
                </c:pt>
                <c:pt idx="5">
                  <c:v>1.2208003248049173E-3</c:v>
                </c:pt>
                <c:pt idx="6">
                  <c:v>1.3511813818428565E-3</c:v>
                </c:pt>
                <c:pt idx="7">
                  <c:v>1.4808124388807952E-3</c:v>
                </c:pt>
                <c:pt idx="8">
                  <c:v>1.609693495918734E-3</c:v>
                </c:pt>
                <c:pt idx="9">
                  <c:v>1.7378245529566729E-3</c:v>
                </c:pt>
                <c:pt idx="10">
                  <c:v>1.8652056099946119E-3</c:v>
                </c:pt>
                <c:pt idx="11">
                  <c:v>1.991836667032551E-3</c:v>
                </c:pt>
                <c:pt idx="12">
                  <c:v>2.1177177240704901E-3</c:v>
                </c:pt>
                <c:pt idx="13">
                  <c:v>2.2428487811084279E-3</c:v>
                </c:pt>
                <c:pt idx="14">
                  <c:v>2.3672298381463668E-3</c:v>
                </c:pt>
                <c:pt idx="15">
                  <c:v>2.4908608951843057E-3</c:v>
                </c:pt>
                <c:pt idx="16">
                  <c:v>2.6137419522222448E-3</c:v>
                </c:pt>
                <c:pt idx="17">
                  <c:v>2.735873009260184E-3</c:v>
                </c:pt>
                <c:pt idx="18">
                  <c:v>2.857254066298122E-3</c:v>
                </c:pt>
                <c:pt idx="19">
                  <c:v>2.9778851233360614E-3</c:v>
                </c:pt>
                <c:pt idx="20">
                  <c:v>3.0977661803740001E-3</c:v>
                </c:pt>
                <c:pt idx="21">
                  <c:v>3.2168972374119389E-3</c:v>
                </c:pt>
                <c:pt idx="22">
                  <c:v>3.3352782944498782E-3</c:v>
                </c:pt>
                <c:pt idx="23">
                  <c:v>3.4529093514878159E-3</c:v>
                </c:pt>
                <c:pt idx="24">
                  <c:v>3.569790408525756E-3</c:v>
                </c:pt>
                <c:pt idx="25">
                  <c:v>3.6859214655636939E-3</c:v>
                </c:pt>
                <c:pt idx="26">
                  <c:v>3.8013025226016333E-3</c:v>
                </c:pt>
                <c:pt idx="27">
                  <c:v>3.9159335796395715E-3</c:v>
                </c:pt>
                <c:pt idx="28">
                  <c:v>4.0298146366775107E-3</c:v>
                </c:pt>
                <c:pt idx="29">
                  <c:v>4.14294569371545E-3</c:v>
                </c:pt>
                <c:pt idx="30">
                  <c:v>4.2553267507533877E-3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E27-4567-92B4-437C1D0BC504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'0.001M'!$M$5:$M$35</c:f>
              <c:numCache>
                <c:formatCode>0.000E+00</c:formatCode>
                <c:ptCount val="31"/>
                <c:pt idx="0">
                  <c:v>5.5258718924492125E-3</c:v>
                </c:pt>
                <c:pt idx="1">
                  <c:v>6.8565738359925854E-3</c:v>
                </c:pt>
                <c:pt idx="2">
                  <c:v>8.1797757795359603E-3</c:v>
                </c:pt>
                <c:pt idx="3">
                  <c:v>9.495477723079333E-3</c:v>
                </c:pt>
                <c:pt idx="4">
                  <c:v>1.0803679666622705E-2</c:v>
                </c:pt>
                <c:pt idx="5">
                  <c:v>1.2104381610166078E-2</c:v>
                </c:pt>
                <c:pt idx="6">
                  <c:v>1.3397583553709453E-2</c:v>
                </c:pt>
                <c:pt idx="7">
                  <c:v>1.4683285497252825E-2</c:v>
                </c:pt>
                <c:pt idx="8">
                  <c:v>1.5961487440796198E-2</c:v>
                </c:pt>
                <c:pt idx="9">
                  <c:v>1.7232189384339569E-2</c:v>
                </c:pt>
                <c:pt idx="10">
                  <c:v>1.8495391327882946E-2</c:v>
                </c:pt>
                <c:pt idx="11">
                  <c:v>1.975109327142632E-2</c:v>
                </c:pt>
                <c:pt idx="12">
                  <c:v>2.0999295214969693E-2</c:v>
                </c:pt>
                <c:pt idx="13">
                  <c:v>2.2239997158513065E-2</c:v>
                </c:pt>
                <c:pt idx="14">
                  <c:v>2.3473199102056436E-2</c:v>
                </c:pt>
                <c:pt idx="15">
                  <c:v>2.4698901045599807E-2</c:v>
                </c:pt>
                <c:pt idx="16">
                  <c:v>2.5917102989143185E-2</c:v>
                </c:pt>
                <c:pt idx="17">
                  <c:v>2.7127804932686562E-2</c:v>
                </c:pt>
                <c:pt idx="18">
                  <c:v>2.8331006876229928E-2</c:v>
                </c:pt>
                <c:pt idx="19">
                  <c:v>2.9526708819773304E-2</c:v>
                </c:pt>
                <c:pt idx="20">
                  <c:v>3.0714910763316675E-2</c:v>
                </c:pt>
                <c:pt idx="21">
                  <c:v>3.1895612706860046E-2</c:v>
                </c:pt>
                <c:pt idx="22">
                  <c:v>3.3068814650403427E-2</c:v>
                </c:pt>
                <c:pt idx="23">
                  <c:v>3.4234516593946787E-2</c:v>
                </c:pt>
                <c:pt idx="24">
                  <c:v>3.5392718537490174E-2</c:v>
                </c:pt>
                <c:pt idx="25">
                  <c:v>3.6543420481033546E-2</c:v>
                </c:pt>
                <c:pt idx="26">
                  <c:v>3.7686622424576918E-2</c:v>
                </c:pt>
                <c:pt idx="27">
                  <c:v>3.882232436812029E-2</c:v>
                </c:pt>
                <c:pt idx="28">
                  <c:v>3.9950526311663667E-2</c:v>
                </c:pt>
                <c:pt idx="29">
                  <c:v>4.1071228255207037E-2</c:v>
                </c:pt>
                <c:pt idx="30">
                  <c:v>4.21844301987504E-2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E27-4567-92B4-437C1D0BC504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'0.01M'!$M$5:$M$35</c:f>
              <c:numCache>
                <c:formatCode>0.000E+00</c:formatCode>
                <c:ptCount val="31"/>
                <c:pt idx="0">
                  <c:v>5.3689445858625409E-2</c:v>
                </c:pt>
                <c:pt idx="1">
                  <c:v>6.6667316917955743E-2</c:v>
                </c:pt>
                <c:pt idx="2">
                  <c:v>7.9570187977286086E-2</c:v>
                </c:pt>
                <c:pt idx="3">
                  <c:v>9.2398059036616423E-2</c:v>
                </c:pt>
                <c:pt idx="4">
                  <c:v>0.10515093009594674</c:v>
                </c:pt>
                <c:pt idx="5">
                  <c:v>0.11782880115527708</c:v>
                </c:pt>
                <c:pt idx="6">
                  <c:v>0.13043167221460741</c:v>
                </c:pt>
                <c:pt idx="7">
                  <c:v>0.14295954327393773</c:v>
                </c:pt>
                <c:pt idx="8">
                  <c:v>0.15541241433326805</c:v>
                </c:pt>
                <c:pt idx="9">
                  <c:v>0.16779028539259838</c:v>
                </c:pt>
                <c:pt idx="10">
                  <c:v>0.18009315645192875</c:v>
                </c:pt>
                <c:pt idx="11">
                  <c:v>0.1923210275112591</c:v>
                </c:pt>
                <c:pt idx="12">
                  <c:v>0.20447389857058945</c:v>
                </c:pt>
                <c:pt idx="13">
                  <c:v>0.2165517696299197</c:v>
                </c:pt>
                <c:pt idx="14">
                  <c:v>0.22855464068925005</c:v>
                </c:pt>
                <c:pt idx="15">
                  <c:v>0.2404825117485804</c:v>
                </c:pt>
                <c:pt idx="16">
                  <c:v>0.25233538280791074</c:v>
                </c:pt>
                <c:pt idx="17">
                  <c:v>0.2641132538672411</c:v>
                </c:pt>
                <c:pt idx="18">
                  <c:v>0.27581612492657137</c:v>
                </c:pt>
                <c:pt idx="19">
                  <c:v>0.2874439959859017</c:v>
                </c:pt>
                <c:pt idx="20">
                  <c:v>0.29899686704523204</c:v>
                </c:pt>
                <c:pt idx="21">
                  <c:v>0.31047473810456233</c:v>
                </c:pt>
                <c:pt idx="22">
                  <c:v>0.3218776091638928</c:v>
                </c:pt>
                <c:pt idx="23">
                  <c:v>0.33320548022322299</c:v>
                </c:pt>
                <c:pt idx="24">
                  <c:v>0.34445835128255348</c:v>
                </c:pt>
                <c:pt idx="25">
                  <c:v>0.35563622234188369</c:v>
                </c:pt>
                <c:pt idx="26">
                  <c:v>0.36673909340121408</c:v>
                </c:pt>
                <c:pt idx="27">
                  <c:v>0.37776696446054436</c:v>
                </c:pt>
                <c:pt idx="28">
                  <c:v>0.38871983551987477</c:v>
                </c:pt>
                <c:pt idx="29">
                  <c:v>0.39959770657920507</c:v>
                </c:pt>
                <c:pt idx="30">
                  <c:v>0.41040057763853538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E27-4567-92B4-437C1D0BC504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'0.1M'!$M$5:$M$35</c:f>
              <c:numCache>
                <c:formatCode>0.000E+00</c:formatCode>
                <c:ptCount val="31"/>
                <c:pt idx="0">
                  <c:v>0.49010053563301115</c:v>
                </c:pt>
                <c:pt idx="1">
                  <c:v>0.61006441916620624</c:v>
                </c:pt>
                <c:pt idx="2">
                  <c:v>0.72927830269940142</c:v>
                </c:pt>
                <c:pt idx="3">
                  <c:v>0.84774218623259678</c:v>
                </c:pt>
                <c:pt idx="4">
                  <c:v>0.96545606976579179</c:v>
                </c:pt>
                <c:pt idx="5">
                  <c:v>1.0824199532989869</c:v>
                </c:pt>
                <c:pt idx="6">
                  <c:v>1.1986338368321823</c:v>
                </c:pt>
                <c:pt idx="7">
                  <c:v>1.3140977203653772</c:v>
                </c:pt>
                <c:pt idx="8">
                  <c:v>1.4288116038985723</c:v>
                </c:pt>
                <c:pt idx="9">
                  <c:v>1.5427754874317676</c:v>
                </c:pt>
                <c:pt idx="10">
                  <c:v>1.6559893709649629</c:v>
                </c:pt>
                <c:pt idx="11">
                  <c:v>1.7684532544981582</c:v>
                </c:pt>
                <c:pt idx="12">
                  <c:v>1.8801671380313536</c:v>
                </c:pt>
                <c:pt idx="13">
                  <c:v>1.9911310215645481</c:v>
                </c:pt>
                <c:pt idx="14">
                  <c:v>2.1013449050977431</c:v>
                </c:pt>
                <c:pt idx="15">
                  <c:v>2.2108087886309384</c:v>
                </c:pt>
                <c:pt idx="16">
                  <c:v>2.3195226721641342</c:v>
                </c:pt>
                <c:pt idx="17">
                  <c:v>2.4274865556973291</c:v>
                </c:pt>
                <c:pt idx="18">
                  <c:v>2.5347004392305239</c:v>
                </c:pt>
                <c:pt idx="19">
                  <c:v>2.6411643227637192</c:v>
                </c:pt>
                <c:pt idx="20">
                  <c:v>2.7468782062969144</c:v>
                </c:pt>
                <c:pt idx="21">
                  <c:v>2.8518420898301096</c:v>
                </c:pt>
                <c:pt idx="22">
                  <c:v>2.9560559733633052</c:v>
                </c:pt>
                <c:pt idx="23">
                  <c:v>3.0595198568964994</c:v>
                </c:pt>
                <c:pt idx="24">
                  <c:v>3.1622337404296958</c:v>
                </c:pt>
                <c:pt idx="25">
                  <c:v>3.26419762396289</c:v>
                </c:pt>
                <c:pt idx="26">
                  <c:v>3.3654115074960855</c:v>
                </c:pt>
                <c:pt idx="27">
                  <c:v>3.4658753910292806</c:v>
                </c:pt>
                <c:pt idx="28">
                  <c:v>3.565589274562476</c:v>
                </c:pt>
                <c:pt idx="29">
                  <c:v>3.6645531580956714</c:v>
                </c:pt>
                <c:pt idx="30">
                  <c:v>3.7627670416288654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E27-4567-92B4-437C1D0BC504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'0.5M'!$M$5:$M$35</c:f>
              <c:numCache>
                <c:formatCode>0.000E+00</c:formatCode>
                <c:ptCount val="31"/>
                <c:pt idx="0">
                  <c:v>2.0752793446332869</c:v>
                </c:pt>
                <c:pt idx="1">
                  <c:v>2.5963972580203531</c:v>
                </c:pt>
                <c:pt idx="2">
                  <c:v>3.1137651714074202</c:v>
                </c:pt>
                <c:pt idx="3">
                  <c:v>3.627383084794487</c:v>
                </c:pt>
                <c:pt idx="4">
                  <c:v>4.1372509981815533</c:v>
                </c:pt>
                <c:pt idx="5">
                  <c:v>4.6433689115686194</c:v>
                </c:pt>
                <c:pt idx="6">
                  <c:v>5.1457368249556872</c:v>
                </c:pt>
                <c:pt idx="7">
                  <c:v>5.644354738342753</c:v>
                </c:pt>
                <c:pt idx="8">
                  <c:v>6.1392226517298187</c:v>
                </c:pt>
                <c:pt idx="9">
                  <c:v>6.6303405651168852</c:v>
                </c:pt>
                <c:pt idx="10">
                  <c:v>7.1177084785039533</c:v>
                </c:pt>
                <c:pt idx="11">
                  <c:v>7.6013263918910212</c:v>
                </c:pt>
                <c:pt idx="12">
                  <c:v>8.0811943052780872</c:v>
                </c:pt>
                <c:pt idx="13">
                  <c:v>8.5573122186651513</c:v>
                </c:pt>
                <c:pt idx="14">
                  <c:v>9.0296801320522189</c:v>
                </c:pt>
                <c:pt idx="15">
                  <c:v>9.4982980454392862</c:v>
                </c:pt>
                <c:pt idx="16">
                  <c:v>9.9631659588263517</c:v>
                </c:pt>
                <c:pt idx="17">
                  <c:v>10.424283872213421</c:v>
                </c:pt>
                <c:pt idx="18">
                  <c:v>10.881651785600484</c:v>
                </c:pt>
                <c:pt idx="19">
                  <c:v>11.335269698987553</c:v>
                </c:pt>
                <c:pt idx="20">
                  <c:v>11.785137612374619</c:v>
                </c:pt>
                <c:pt idx="21">
                  <c:v>12.231255525761684</c:v>
                </c:pt>
                <c:pt idx="22">
                  <c:v>12.673623439148754</c:v>
                </c:pt>
                <c:pt idx="23">
                  <c:v>13.112241352535817</c:v>
                </c:pt>
                <c:pt idx="24">
                  <c:v>13.547109265922888</c:v>
                </c:pt>
                <c:pt idx="25">
                  <c:v>13.97822717930995</c:v>
                </c:pt>
                <c:pt idx="26">
                  <c:v>14.40559509269702</c:v>
                </c:pt>
                <c:pt idx="27">
                  <c:v>14.829213006084085</c:v>
                </c:pt>
                <c:pt idx="28">
                  <c:v>15.249080919471155</c:v>
                </c:pt>
                <c:pt idx="29">
                  <c:v>15.66519883285822</c:v>
                </c:pt>
                <c:pt idx="30">
                  <c:v>16.077566746245282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E27-4567-92B4-437C1D0BC504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'1M'!$M$5:$M$35</c:f>
              <c:numCache>
                <c:formatCode>0.000E+00</c:formatCode>
                <c:ptCount val="31"/>
                <c:pt idx="0">
                  <c:v>3.6560131795716639</c:v>
                </c:pt>
                <c:pt idx="1">
                  <c:v>4.5945201812191101</c:v>
                </c:pt>
                <c:pt idx="2">
                  <c:v>5.5255271828665578</c:v>
                </c:pt>
                <c:pt idx="3">
                  <c:v>6.4490341845140042</c:v>
                </c:pt>
                <c:pt idx="4">
                  <c:v>7.3650411861614486</c:v>
                </c:pt>
                <c:pt idx="5">
                  <c:v>8.2735481878088954</c:v>
                </c:pt>
                <c:pt idx="6">
                  <c:v>9.1745551894563437</c:v>
                </c:pt>
                <c:pt idx="7">
                  <c:v>10.06806219110379</c:v>
                </c:pt>
                <c:pt idx="8">
                  <c:v>10.954069192751234</c:v>
                </c:pt>
                <c:pt idx="9">
                  <c:v>11.832576194398682</c:v>
                </c:pt>
                <c:pt idx="10">
                  <c:v>12.703583196046129</c:v>
                </c:pt>
                <c:pt idx="11">
                  <c:v>13.567090197693577</c:v>
                </c:pt>
                <c:pt idx="12">
                  <c:v>14.423097199341026</c:v>
                </c:pt>
                <c:pt idx="13">
                  <c:v>15.271604200988467</c:v>
                </c:pt>
                <c:pt idx="14">
                  <c:v>16.112611202635915</c:v>
                </c:pt>
                <c:pt idx="15">
                  <c:v>16.946118204283362</c:v>
                </c:pt>
                <c:pt idx="16">
                  <c:v>17.772125205930809</c:v>
                </c:pt>
                <c:pt idx="17">
                  <c:v>18.59063220757826</c:v>
                </c:pt>
                <c:pt idx="18">
                  <c:v>19.401639209225699</c:v>
                </c:pt>
                <c:pt idx="19">
                  <c:v>20.205146210873146</c:v>
                </c:pt>
                <c:pt idx="20">
                  <c:v>21.001153212520592</c:v>
                </c:pt>
                <c:pt idx="21">
                  <c:v>21.789660214168038</c:v>
                </c:pt>
                <c:pt idx="22">
                  <c:v>22.57066721581549</c:v>
                </c:pt>
                <c:pt idx="23">
                  <c:v>23.344174217462928</c:v>
                </c:pt>
                <c:pt idx="24">
                  <c:v>24.110181219110387</c:v>
                </c:pt>
                <c:pt idx="25">
                  <c:v>24.868688220757825</c:v>
                </c:pt>
                <c:pt idx="26">
                  <c:v>25.619695222405277</c:v>
                </c:pt>
                <c:pt idx="27">
                  <c:v>26.363202224052721</c:v>
                </c:pt>
                <c:pt idx="28">
                  <c:v>27.099209225700172</c:v>
                </c:pt>
                <c:pt idx="29">
                  <c:v>27.827716227347615</c:v>
                </c:pt>
                <c:pt idx="30">
                  <c:v>28.548723228995058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E27-4567-92B4-437C1D0B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84952"/>
        <c:axId val="237485344"/>
      </c:scatterChart>
      <c:valAx>
        <c:axId val="237484952"/>
        <c:scaling>
          <c:orientation val="minMax"/>
          <c:max val="18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5344"/>
        <c:crossesAt val="0"/>
        <c:crossBetween val="midCat"/>
        <c:majorUnit val="20"/>
        <c:minorUnit val="10"/>
      </c:valAx>
      <c:valAx>
        <c:axId val="237485344"/>
        <c:scaling>
          <c:logBase val="10"/>
          <c:orientation val="minMax"/>
          <c:min val="1.0000000000000005E-7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conductivity (S/m)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7420345319203114E-2"/>
              <c:y val="0.11569567935563164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84952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38984569565251215"/>
          <c:y val="0.6532028512888175"/>
          <c:w val="0.53301314173559489"/>
          <c:h val="0.20287656046940622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'1e-5M'!$P$5:$P$35</c:f>
              <c:numCache>
                <c:formatCode>0.00000</c:formatCode>
                <c:ptCount val="31"/>
                <c:pt idx="0">
                  <c:v>7.7855862891866634</c:v>
                </c:pt>
                <c:pt idx="1">
                  <c:v>6.7090283888841391</c:v>
                </c:pt>
                <c:pt idx="2">
                  <c:v>6.3922268019418649</c:v>
                </c:pt>
                <c:pt idx="3">
                  <c:v>6.1876941855001331</c:v>
                </c:pt>
                <c:pt idx="4">
                  <c:v>5.9762003365414778</c:v>
                </c:pt>
                <c:pt idx="5">
                  <c:v>5.7233292128223745</c:v>
                </c:pt>
                <c:pt idx="6">
                  <c:v>5.436509560298056</c:v>
                </c:pt>
                <c:pt idx="7">
                  <c:v>5.1369733707676684</c:v>
                </c:pt>
                <c:pt idx="8">
                  <c:v>4.8421733974441192</c:v>
                </c:pt>
                <c:pt idx="9">
                  <c:v>4.5617195611879389</c:v>
                </c:pt>
                <c:pt idx="10">
                  <c:v>4.2994000466235747</c:v>
                </c:pt>
                <c:pt idx="11">
                  <c:v>4.0557900897985668</c:v>
                </c:pt>
                <c:pt idx="12">
                  <c:v>3.8299699838512939</c:v>
                </c:pt>
                <c:pt idx="13">
                  <c:v>3.6204451932283823</c:v>
                </c:pt>
                <c:pt idx="14">
                  <c:v>3.4255906570462455</c:v>
                </c:pt>
                <c:pt idx="15">
                  <c:v>3.2438475977195083</c:v>
                </c:pt>
                <c:pt idx="16">
                  <c:v>3.0737995656432622</c:v>
                </c:pt>
                <c:pt idx="17">
                  <c:v>2.9141921630909895</c:v>
                </c:pt>
                <c:pt idx="18">
                  <c:v>2.7639279782785664</c:v>
                </c:pt>
                <c:pt idx="19">
                  <c:v>2.622051796101629</c:v>
                </c:pt>
                <c:pt idx="20">
                  <c:v>2.4877330934228201</c:v>
                </c:pt>
                <c:pt idx="21">
                  <c:v>2.3602489251283441</c:v>
                </c:pt>
                <c:pt idx="22">
                  <c:v>2.2389684395644505</c:v>
                </c:pt>
                <c:pt idx="23">
                  <c:v>2.1233393868817405</c:v>
                </c:pt>
                <c:pt idx="24">
                  <c:v>2.0128765918220912</c:v>
                </c:pt>
                <c:pt idx="25">
                  <c:v>1.9071522037583781</c:v>
                </c:pt>
                <c:pt idx="26">
                  <c:v>1.8057874884716121</c:v>
                </c:pt>
                <c:pt idx="27">
                  <c:v>1.7084459278187998</c:v>
                </c:pt>
                <c:pt idx="28">
                  <c:v>1.6148274156342461</c:v>
                </c:pt>
                <c:pt idx="29">
                  <c:v>1.5246633668256369</c:v>
                </c:pt>
                <c:pt idx="30">
                  <c:v>1.437712585228061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B9-409C-AA9B-841828E15CCD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'0.0001M'!$P$5:$P$35</c:f>
              <c:numCache>
                <c:formatCode>0.00000</c:formatCode>
                <c:ptCount val="31"/>
                <c:pt idx="0">
                  <c:v>7.7284690313493307</c:v>
                </c:pt>
                <c:pt idx="1">
                  <c:v>6.8672227111073116</c:v>
                </c:pt>
                <c:pt idx="2">
                  <c:v>6.6137814415534919</c:v>
                </c:pt>
                <c:pt idx="3">
                  <c:v>6.4501553484001066</c:v>
                </c:pt>
                <c:pt idx="4">
                  <c:v>6.2809602692331818</c:v>
                </c:pt>
                <c:pt idx="5">
                  <c:v>6.0786633702578996</c:v>
                </c:pt>
                <c:pt idx="6">
                  <c:v>5.849207648238445</c:v>
                </c:pt>
                <c:pt idx="7">
                  <c:v>5.6095786966141343</c:v>
                </c:pt>
                <c:pt idx="8">
                  <c:v>5.3737387179552956</c:v>
                </c:pt>
                <c:pt idx="9">
                  <c:v>5.1493756489503522</c:v>
                </c:pt>
                <c:pt idx="10">
                  <c:v>4.9395200372988608</c:v>
                </c:pt>
                <c:pt idx="11">
                  <c:v>4.7446320718388542</c:v>
                </c:pt>
                <c:pt idx="12">
                  <c:v>4.5639759870810348</c:v>
                </c:pt>
                <c:pt idx="13">
                  <c:v>4.3963561545827066</c:v>
                </c:pt>
                <c:pt idx="14">
                  <c:v>4.2404725256369975</c:v>
                </c:pt>
                <c:pt idx="15">
                  <c:v>4.0950780781756064</c:v>
                </c:pt>
                <c:pt idx="16">
                  <c:v>3.9590396525146097</c:v>
                </c:pt>
                <c:pt idx="17">
                  <c:v>3.8313537304727916</c:v>
                </c:pt>
                <c:pt idx="18">
                  <c:v>3.7111423826228536</c:v>
                </c:pt>
                <c:pt idx="19">
                  <c:v>3.5976414368813039</c:v>
                </c:pt>
                <c:pt idx="20">
                  <c:v>3.4901864747382572</c:v>
                </c:pt>
                <c:pt idx="21">
                  <c:v>3.3881991401026763</c:v>
                </c:pt>
                <c:pt idx="22">
                  <c:v>3.2911747516515613</c:v>
                </c:pt>
                <c:pt idx="23">
                  <c:v>3.1986715095053926</c:v>
                </c:pt>
                <c:pt idx="24">
                  <c:v>3.1103012734576732</c:v>
                </c:pt>
                <c:pt idx="25">
                  <c:v>3.025721763006703</c:v>
                </c:pt>
                <c:pt idx="26">
                  <c:v>2.9446299907772904</c:v>
                </c:pt>
                <c:pt idx="27">
                  <c:v>2.8667567422550402</c:v>
                </c:pt>
                <c:pt idx="28">
                  <c:v>2.7918619325073974</c:v>
                </c:pt>
                <c:pt idx="29">
                  <c:v>2.7197306934605097</c:v>
                </c:pt>
                <c:pt idx="30">
                  <c:v>2.6501700681824492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B9-409C-AA9B-841828E15CCD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'0.001M'!$P$5:$P$35</c:f>
              <c:numCache>
                <c:formatCode>0.00000</c:formatCode>
                <c:ptCount val="31"/>
                <c:pt idx="0">
                  <c:v>7.671351773511998</c:v>
                </c:pt>
                <c:pt idx="1">
                  <c:v>7.0254170333304833</c:v>
                </c:pt>
                <c:pt idx="2">
                  <c:v>6.8353360811651189</c:v>
                </c:pt>
                <c:pt idx="3">
                  <c:v>6.7126165113000802</c:v>
                </c:pt>
                <c:pt idx="4">
                  <c:v>6.5857202019248868</c:v>
                </c:pt>
                <c:pt idx="5">
                  <c:v>6.4339975276934247</c:v>
                </c:pt>
                <c:pt idx="6">
                  <c:v>6.2619057361788339</c:v>
                </c:pt>
                <c:pt idx="7">
                  <c:v>6.0821840224606012</c:v>
                </c:pt>
                <c:pt idx="8">
                  <c:v>5.9053040384664719</c:v>
                </c:pt>
                <c:pt idx="9">
                  <c:v>5.7370317367127637</c:v>
                </c:pt>
                <c:pt idx="10">
                  <c:v>5.5796400279741452</c:v>
                </c:pt>
                <c:pt idx="11">
                  <c:v>5.4334740538791406</c:v>
                </c:pt>
                <c:pt idx="12">
                  <c:v>5.2979819903107765</c:v>
                </c:pt>
                <c:pt idx="13">
                  <c:v>5.1722671159370295</c:v>
                </c:pt>
                <c:pt idx="14">
                  <c:v>5.0553543942277477</c:v>
                </c:pt>
                <c:pt idx="15">
                  <c:v>4.9463085586317046</c:v>
                </c:pt>
                <c:pt idx="16">
                  <c:v>4.8442797393859571</c:v>
                </c:pt>
                <c:pt idx="17">
                  <c:v>4.7485152978545937</c:v>
                </c:pt>
                <c:pt idx="18">
                  <c:v>4.6583567869671398</c:v>
                </c:pt>
                <c:pt idx="19">
                  <c:v>4.5732310776609779</c:v>
                </c:pt>
                <c:pt idx="20">
                  <c:v>4.4926398560536924</c:v>
                </c:pt>
                <c:pt idx="21">
                  <c:v>4.4161493550770068</c:v>
                </c:pt>
                <c:pt idx="22">
                  <c:v>4.3433810637386712</c:v>
                </c:pt>
                <c:pt idx="23">
                  <c:v>4.2740036321290447</c:v>
                </c:pt>
                <c:pt idx="24">
                  <c:v>4.2077259550932542</c:v>
                </c:pt>
                <c:pt idx="25">
                  <c:v>4.1442913222550271</c:v>
                </c:pt>
                <c:pt idx="26">
                  <c:v>4.0834724930829669</c:v>
                </c:pt>
                <c:pt idx="27">
                  <c:v>4.0250675566912797</c:v>
                </c:pt>
                <c:pt idx="28">
                  <c:v>3.9688964493805474</c:v>
                </c:pt>
                <c:pt idx="29">
                  <c:v>3.914798020095382</c:v>
                </c:pt>
                <c:pt idx="30">
                  <c:v>3.8626275511368369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1B9-409C-AA9B-841828E15CCD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1B9-409C-AA9B-841828E15CCD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'0.1M'!$P$5:$P$35</c:f>
              <c:numCache>
                <c:formatCode>0.00000</c:formatCode>
                <c:ptCount val="31"/>
                <c:pt idx="0">
                  <c:v>7.5571172578373327</c:v>
                </c:pt>
                <c:pt idx="1">
                  <c:v>7.3418056777768275</c:v>
                </c:pt>
                <c:pt idx="2">
                  <c:v>7.278445360388373</c:v>
                </c:pt>
                <c:pt idx="3">
                  <c:v>7.2375388371000264</c:v>
                </c:pt>
                <c:pt idx="4">
                  <c:v>7.1952400673082959</c:v>
                </c:pt>
                <c:pt idx="5">
                  <c:v>7.1446658425644749</c:v>
                </c:pt>
                <c:pt idx="6">
                  <c:v>7.087301912059611</c:v>
                </c:pt>
                <c:pt idx="7">
                  <c:v>7.027394674153534</c:v>
                </c:pt>
                <c:pt idx="8">
                  <c:v>6.9684346794888237</c:v>
                </c:pt>
                <c:pt idx="9">
                  <c:v>6.9123439122375876</c:v>
                </c:pt>
                <c:pt idx="10">
                  <c:v>6.8598800093247148</c:v>
                </c:pt>
                <c:pt idx="11">
                  <c:v>6.8111580179597135</c:v>
                </c:pt>
                <c:pt idx="12">
                  <c:v>6.7659939967702591</c:v>
                </c:pt>
                <c:pt idx="13">
                  <c:v>6.7240890386456762</c:v>
                </c:pt>
                <c:pt idx="14">
                  <c:v>6.6851181314092489</c:v>
                </c:pt>
                <c:pt idx="15">
                  <c:v>6.6487695195439018</c:v>
                </c:pt>
                <c:pt idx="16">
                  <c:v>6.6147599131286521</c:v>
                </c:pt>
                <c:pt idx="17">
                  <c:v>6.5828384326181979</c:v>
                </c:pt>
                <c:pt idx="18">
                  <c:v>6.5527855956557133</c:v>
                </c:pt>
                <c:pt idx="19">
                  <c:v>6.524410359220326</c:v>
                </c:pt>
                <c:pt idx="20">
                  <c:v>6.4975466186845647</c:v>
                </c:pt>
                <c:pt idx="21">
                  <c:v>6.4720497850256695</c:v>
                </c:pt>
                <c:pt idx="22">
                  <c:v>6.4477936879128901</c:v>
                </c:pt>
                <c:pt idx="23">
                  <c:v>6.4246678773763479</c:v>
                </c:pt>
                <c:pt idx="24">
                  <c:v>6.4025753183644181</c:v>
                </c:pt>
                <c:pt idx="25">
                  <c:v>6.381430440751676</c:v>
                </c:pt>
                <c:pt idx="26">
                  <c:v>6.3611574976943226</c:v>
                </c:pt>
                <c:pt idx="27">
                  <c:v>6.3416891855637605</c:v>
                </c:pt>
                <c:pt idx="28">
                  <c:v>6.3229654831268496</c:v>
                </c:pt>
                <c:pt idx="29">
                  <c:v>6.3049326733651272</c:v>
                </c:pt>
                <c:pt idx="30">
                  <c:v>6.2875425170456118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1B9-409C-AA9B-841828E15CCD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1B9-409C-AA9B-841828E15CCD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'1M'!$P$5:$P$35</c:f>
              <c:numCache>
                <c:formatCode>0.00000</c:formatCode>
                <c:ptCount val="31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1B9-409C-AA9B-841828E15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33048"/>
        <c:axId val="237433440"/>
      </c:scatterChart>
      <c:valAx>
        <c:axId val="237433048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3440"/>
        <c:crossesAt val="0"/>
        <c:crossBetween val="midCat"/>
        <c:majorUnit val="20"/>
        <c:minorUnit val="10"/>
      </c:valAx>
      <c:valAx>
        <c:axId val="237433440"/>
        <c:scaling>
          <c:orientation val="minMax"/>
          <c:max val="8"/>
          <c:min val="5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pH (-)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39579285496E-2"/>
              <c:y val="0.3009572004990562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3048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167628225231198"/>
          <c:y val="2.9962773908511684E-2"/>
          <c:w val="0.17368163756243646"/>
          <c:h val="0.41462698006967164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'1e-5M'!$S$4:$S$34</c:f>
              <c:numCache>
                <c:formatCode>General</c:formatCode>
                <c:ptCount val="31"/>
                <c:pt idx="1">
                  <c:v>9.7227545089137452E-8</c:v>
                </c:pt>
                <c:pt idx="2">
                  <c:v>9.6145642756041906E-8</c:v>
                </c:pt>
                <c:pt idx="3">
                  <c:v>9.4934829342391494E-8</c:v>
                </c:pt>
                <c:pt idx="4">
                  <c:v>9.3595060230690129E-8</c:v>
                </c:pt>
                <c:pt idx="5">
                  <c:v>9.1600582528469249E-8</c:v>
                </c:pt>
                <c:pt idx="6">
                  <c:v>8.807061602283113E-8</c:v>
                </c:pt>
                <c:pt idx="7">
                  <c:v>8.1919842530287826E-8</c:v>
                </c:pt>
                <c:pt idx="8">
                  <c:v>7.257321834632924E-8</c:v>
                </c:pt>
                <c:pt idx="9">
                  <c:v>6.0921007061736875E-8</c:v>
                </c:pt>
                <c:pt idx="10">
                  <c:v>4.8999094355282846E-8</c:v>
                </c:pt>
                <c:pt idx="11">
                  <c:v>3.8505739581845083E-8</c:v>
                </c:pt>
                <c:pt idx="12">
                  <c:v>3.0074731980015975E-8</c:v>
                </c:pt>
                <c:pt idx="13">
                  <c:v>2.3595787568162245E-8</c:v>
                </c:pt>
                <c:pt idx="14">
                  <c:v>1.8694448698131463E-8</c:v>
                </c:pt>
                <c:pt idx="15">
                  <c:v>1.4987097569941866E-8</c:v>
                </c:pt>
                <c:pt idx="16">
                  <c:v>1.2161795036938277E-8</c:v>
                </c:pt>
                <c:pt idx="17">
                  <c:v>9.9852035172870525E-9</c:v>
                </c:pt>
                <c:pt idx="18">
                  <c:v>8.2881170292129293E-9</c:v>
                </c:pt>
                <c:pt idx="19">
                  <c:v>6.9488241525972314E-9</c:v>
                </c:pt>
                <c:pt idx="20">
                  <c:v>5.8795352780552014E-9</c:v>
                </c:pt>
                <c:pt idx="21">
                  <c:v>5.016422281530396E-9</c:v>
                </c:pt>
                <c:pt idx="22">
                  <c:v>4.3125955858739732E-9</c:v>
                </c:pt>
                <c:pt idx="23">
                  <c:v>3.7332182551065089E-9</c:v>
                </c:pt>
                <c:pt idx="24">
                  <c:v>3.2521100960560569E-9</c:v>
                </c:pt>
                <c:pt idx="25">
                  <c:v>2.8493749421156316E-9</c:v>
                </c:pt>
                <c:pt idx="26">
                  <c:v>2.5097288614315685E-9</c:v>
                </c:pt>
                <c:pt idx="27">
                  <c:v>2.2213104976155404E-9</c:v>
                </c:pt>
                <c:pt idx="28">
                  <c:v>1.9748255351547783E-9</c:v>
                </c:pt>
                <c:pt idx="29">
                  <c:v>1.762924858567966E-9</c:v>
                </c:pt>
                <c:pt idx="30">
                  <c:v>1.5797478046591913E-9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B6-40F4-83A6-4A40F8D2A01F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'0.0001M'!$S$4:$S$34</c:f>
              <c:numCache>
                <c:formatCode>General</c:formatCode>
                <c:ptCount val="31"/>
                <c:pt idx="1">
                  <c:v>3.07681459136287E-8</c:v>
                </c:pt>
                <c:pt idx="2">
                  <c:v>3.067853558163856E-8</c:v>
                </c:pt>
                <c:pt idx="3">
                  <c:v>3.058595232479993E-8</c:v>
                </c:pt>
                <c:pt idx="4">
                  <c:v>3.0488585211063868E-8</c:v>
                </c:pt>
                <c:pt idx="5">
                  <c:v>3.037850789361235E-8</c:v>
                </c:pt>
                <c:pt idx="6">
                  <c:v>3.02434355248331E-8</c:v>
                </c:pt>
                <c:pt idx="7">
                  <c:v>3.0064988466555046E-8</c:v>
                </c:pt>
                <c:pt idx="8">
                  <c:v>2.981690334357817E-8</c:v>
                </c:pt>
                <c:pt idx="9">
                  <c:v>2.9464946378045825E-8</c:v>
                </c:pt>
                <c:pt idx="10">
                  <c:v>2.8969479605504543E-8</c:v>
                </c:pt>
                <c:pt idx="11">
                  <c:v>2.8291150832588594E-8</c:v>
                </c:pt>
                <c:pt idx="12">
                  <c:v>2.739935500772277E-8</c:v>
                </c:pt>
                <c:pt idx="13">
                  <c:v>2.6281573350680553E-8</c:v>
                </c:pt>
                <c:pt idx="14">
                  <c:v>2.4950147427504962E-8</c:v>
                </c:pt>
                <c:pt idx="15">
                  <c:v>2.3443010799164091E-8</c:v>
                </c:pt>
                <c:pt idx="16">
                  <c:v>2.1817257507521646E-8</c:v>
                </c:pt>
                <c:pt idx="17">
                  <c:v>2.0137941323234541E-8</c:v>
                </c:pt>
                <c:pt idx="18">
                  <c:v>1.8466570206057412E-8</c:v>
                </c:pt>
                <c:pt idx="19">
                  <c:v>1.6853032119356451E-8</c:v>
                </c:pt>
                <c:pt idx="20">
                  <c:v>1.5332249586960932E-8</c:v>
                </c:pt>
                <c:pt idx="21">
                  <c:v>1.3924705096761696E-8</c:v>
                </c:pt>
                <c:pt idx="22">
                  <c:v>1.2639116645885213E-8</c:v>
                </c:pt>
                <c:pt idx="23">
                  <c:v>1.1475743055376022E-8</c:v>
                </c:pt>
                <c:pt idx="24">
                  <c:v>1.0429402300017266E-8</c:v>
                </c:pt>
                <c:pt idx="25">
                  <c:v>9.4918311776441691E-9</c:v>
                </c:pt>
                <c:pt idx="26">
                  <c:v>8.6533493735187676E-9</c:v>
                </c:pt>
                <c:pt idx="27">
                  <c:v>7.9039406991626568E-9</c:v>
                </c:pt>
                <c:pt idx="28">
                  <c:v>7.2339018142871055E-9</c:v>
                </c:pt>
                <c:pt idx="29">
                  <c:v>6.6341943423878365E-9</c:v>
                </c:pt>
                <c:pt idx="30">
                  <c:v>6.0966054884902962E-9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B6-40F4-83A6-4A40F8D2A01F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'0.001M'!$S$5:$S$35</c:f>
              <c:numCache>
                <c:formatCode>General</c:formatCode>
                <c:ptCount val="31"/>
                <c:pt idx="0">
                  <c:v>9.7298981181998271E-9</c:v>
                </c:pt>
                <c:pt idx="1">
                  <c:v>9.7068674827307167E-9</c:v>
                </c:pt>
                <c:pt idx="2">
                  <c:v>9.6825048347366283E-9</c:v>
                </c:pt>
                <c:pt idx="3">
                  <c:v>9.6567944956330016E-9</c:v>
                </c:pt>
                <c:pt idx="4">
                  <c:v>9.6296932901383352E-9</c:v>
                </c:pt>
                <c:pt idx="5">
                  <c:v>9.6011427942996836E-9</c:v>
                </c:pt>
                <c:pt idx="6">
                  <c:v>9.5710677986735731E-9</c:v>
                </c:pt>
                <c:pt idx="7">
                  <c:v>9.5393751884620041E-9</c:v>
                </c:pt>
                <c:pt idx="8">
                  <c:v>9.505955336020966E-9</c:v>
                </c:pt>
                <c:pt idx="9">
                  <c:v>9.4706846991259923E-9</c:v>
                </c:pt>
                <c:pt idx="10">
                  <c:v>9.4334284402935989E-9</c:v>
                </c:pt>
                <c:pt idx="11">
                  <c:v>9.3940427302051138E-9</c:v>
                </c:pt>
                <c:pt idx="12">
                  <c:v>9.3523767861515715E-9</c:v>
                </c:pt>
                <c:pt idx="13">
                  <c:v>9.3082747611537088E-9</c:v>
                </c:pt>
                <c:pt idx="14">
                  <c:v>9.2615775725425815E-9</c:v>
                </c:pt>
                <c:pt idx="15">
                  <c:v>9.2121247247477551E-9</c:v>
                </c:pt>
                <c:pt idx="16">
                  <c:v>9.1597561557313473E-9</c:v>
                </c:pt>
                <c:pt idx="17">
                  <c:v>9.104314118918222E-9</c:v>
                </c:pt>
                <c:pt idx="18">
                  <c:v>9.0456450997442719E-9</c:v>
                </c:pt>
                <c:pt idx="19">
                  <c:v>8.9836017561065492E-9</c:v>
                </c:pt>
                <c:pt idx="20">
                  <c:v>8.9180448639839178E-9</c:v>
                </c:pt>
                <c:pt idx="21">
                  <c:v>8.8488452428146111E-9</c:v>
                </c:pt>
                <c:pt idx="22">
                  <c:v>8.775885629706971E-9</c:v>
                </c:pt>
                <c:pt idx="23">
                  <c:v>8.6990624672413936E-9</c:v>
                </c:pt>
                <c:pt idx="24">
                  <c:v>8.6182875666060359E-9</c:v>
                </c:pt>
                <c:pt idx="25">
                  <c:v>8.5334896062379526E-9</c:v>
                </c:pt>
                <c:pt idx="26">
                  <c:v>8.4446154261481456E-9</c:v>
                </c:pt>
                <c:pt idx="27">
                  <c:v>8.3516310797846298E-9</c:v>
                </c:pt>
                <c:pt idx="28">
                  <c:v>8.2545226086578895E-9</c:v>
                </c:pt>
                <c:pt idx="29">
                  <c:v>8.1532965099604098E-9</c:v>
                </c:pt>
                <c:pt idx="30">
                  <c:v>8.0479798739064806E-9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CB6-40F4-83A6-4A40F8D2A01F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'0.01M'!$S$4:$S$34</c:f>
              <c:numCache>
                <c:formatCode>General</c:formatCode>
                <c:ptCount val="31"/>
                <c:pt idx="1">
                  <c:v>3.0748407067480707E-9</c:v>
                </c:pt>
                <c:pt idx="2">
                  <c:v>3.0676209649963214E-9</c:v>
                </c:pt>
                <c:pt idx="3">
                  <c:v>3.0599493836857573E-9</c:v>
                </c:pt>
                <c:pt idx="4">
                  <c:v>3.0518450595575765E-9</c:v>
                </c:pt>
                <c:pt idx="5">
                  <c:v>3.0433267473653258E-9</c:v>
                </c:pt>
                <c:pt idx="6">
                  <c:v>3.034412227403147E-9</c:v>
                </c:pt>
                <c:pt idx="7">
                  <c:v>3.0251182723506892E-9</c:v>
                </c:pt>
                <c:pt idx="8">
                  <c:v>3.0154605966689234E-9</c:v>
                </c:pt>
                <c:pt idx="9">
                  <c:v>3.0054537646633085E-9</c:v>
                </c:pt>
                <c:pt idx="10">
                  <c:v>2.9951111103760828E-9</c:v>
                </c:pt>
                <c:pt idx="11">
                  <c:v>2.9844446863948099E-9</c:v>
                </c:pt>
                <c:pt idx="12">
                  <c:v>2.9734652323866652E-9</c:v>
                </c:pt>
                <c:pt idx="13">
                  <c:v>2.9621821524782555E-9</c:v>
                </c:pt>
                <c:pt idx="14">
                  <c:v>2.9506034952128597E-9</c:v>
                </c:pt>
                <c:pt idx="15">
                  <c:v>2.9387359331690427E-9</c:v>
                </c:pt>
                <c:pt idx="16">
                  <c:v>2.9265847409717181E-9</c:v>
                </c:pt>
                <c:pt idx="17">
                  <c:v>2.9141537711338495E-9</c:v>
                </c:pt>
                <c:pt idx="18">
                  <c:v>2.901445427449912E-9</c:v>
                </c:pt>
                <c:pt idx="19">
                  <c:v>2.8884606357642138E-9</c:v>
                </c:pt>
                <c:pt idx="20">
                  <c:v>2.8751988119615662E-9</c:v>
                </c:pt>
                <c:pt idx="21">
                  <c:v>2.8616578270168995E-9</c:v>
                </c:pt>
                <c:pt idx="22">
                  <c:v>2.8478339689117432E-9</c:v>
                </c:pt>
                <c:pt idx="23">
                  <c:v>2.8337219011857773E-9</c:v>
                </c:pt>
                <c:pt idx="24">
                  <c:v>2.819314617843379E-9</c:v>
                </c:pt>
                <c:pt idx="25">
                  <c:v>2.8046033942788577E-9</c:v>
                </c:pt>
                <c:pt idx="26">
                  <c:v>2.7895777338192255E-9</c:v>
                </c:pt>
                <c:pt idx="27">
                  <c:v>2.774225309408976E-9</c:v>
                </c:pt>
                <c:pt idx="28">
                  <c:v>2.7585318998757647E-9</c:v>
                </c:pt>
                <c:pt idx="29">
                  <c:v>2.7424813201172739E-9</c:v>
                </c:pt>
                <c:pt idx="30">
                  <c:v>2.7260553444353692E-9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CB6-40F4-83A6-4A40F8D2A01F}"/>
            </c:ext>
          </c:extLst>
        </c:ser>
        <c:ser>
          <c:idx val="5"/>
          <c:order val="4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'0.5M'!$S$4:$S$34</c:f>
              <c:numCache>
                <c:formatCode>General</c:formatCode>
                <c:ptCount val="31"/>
                <c:pt idx="1">
                  <c:v>4.194047500381159E-10</c:v>
                </c:pt>
                <c:pt idx="2">
                  <c:v>4.1805822430606573E-10</c:v>
                </c:pt>
                <c:pt idx="3">
                  <c:v>4.1664304549825585E-10</c:v>
                </c:pt>
                <c:pt idx="4">
                  <c:v>4.1516216144450928E-10</c:v>
                </c:pt>
                <c:pt idx="5">
                  <c:v>4.1361832867339159E-10</c:v>
                </c:pt>
                <c:pt idx="6">
                  <c:v>4.1201411251211238E-10</c:v>
                </c:pt>
                <c:pt idx="7">
                  <c:v>4.1035188727072116E-10</c:v>
                </c:pt>
                <c:pt idx="8">
                  <c:v>4.086338358816932E-10</c:v>
                </c:pt>
                <c:pt idx="9">
                  <c:v>4.0686194901084096E-10</c:v>
                </c:pt>
                <c:pt idx="10">
                  <c:v>4.0503802366741066E-10</c:v>
                </c:pt>
                <c:pt idx="11">
                  <c:v>4.0316366131469409E-10</c:v>
                </c:pt>
                <c:pt idx="12">
                  <c:v>4.0124026547942555E-10</c:v>
                </c:pt>
                <c:pt idx="13">
                  <c:v>3.9926903886126343E-10</c:v>
                </c:pt>
                <c:pt idx="14">
                  <c:v>3.9725097994259705E-10</c:v>
                </c:pt>
                <c:pt idx="15">
                  <c:v>3.9518687909497152E-10</c:v>
                </c:pt>
                <c:pt idx="16">
                  <c:v>3.9307731417334468E-10</c:v>
                </c:pt>
                <c:pt idx="17">
                  <c:v>3.9092264558378078E-10</c:v>
                </c:pt>
                <c:pt idx="18">
                  <c:v>3.8872301080409027E-10</c:v>
                </c:pt>
                <c:pt idx="19">
                  <c:v>3.8647831833021972E-10</c:v>
                </c:pt>
                <c:pt idx="20">
                  <c:v>3.8418824101372412E-10</c:v>
                </c:pt>
                <c:pt idx="21">
                  <c:v>3.8185220874723238E-10</c:v>
                </c:pt>
                <c:pt idx="22">
                  <c:v>3.794694004452569E-10</c:v>
                </c:pt>
                <c:pt idx="23">
                  <c:v>3.7703873525676759E-10</c:v>
                </c:pt>
                <c:pt idx="24">
                  <c:v>3.7455886293336059E-10</c:v>
                </c:pt>
                <c:pt idx="25">
                  <c:v>3.7202815326231507E-10</c:v>
                </c:pt>
                <c:pt idx="26">
                  <c:v>3.6944468445691183E-10</c:v>
                </c:pt>
                <c:pt idx="27">
                  <c:v>3.6680623037665251E-10</c:v>
                </c:pt>
                <c:pt idx="28">
                  <c:v>3.6411024642684587E-10</c:v>
                </c:pt>
                <c:pt idx="29">
                  <c:v>3.6135385395972707E-10</c:v>
                </c:pt>
                <c:pt idx="30">
                  <c:v>3.5853382296692652E-10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CB6-40F4-83A6-4A40F8D2A01F}"/>
            </c:ext>
          </c:extLst>
        </c:ser>
        <c:ser>
          <c:idx val="0"/>
          <c:order val="5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'1M'!$S$4:$S$34</c:f>
              <c:numCache>
                <c:formatCode>General</c:formatCode>
                <c:ptCount val="31"/>
                <c:pt idx="1">
                  <c:v>2.8594431784052017E-10</c:v>
                </c:pt>
                <c:pt idx="2">
                  <c:v>2.8475794305917838E-10</c:v>
                </c:pt>
                <c:pt idx="3">
                  <c:v>2.8351935688254442E-10</c:v>
                </c:pt>
                <c:pt idx="4">
                  <c:v>2.8223055728297078E-10</c:v>
                </c:pt>
                <c:pt idx="5">
                  <c:v>2.8089340238319099E-10</c:v>
                </c:pt>
                <c:pt idx="6">
                  <c:v>2.7950961051310775E-10</c:v>
                </c:pt>
                <c:pt idx="7">
                  <c:v>2.780807597880373E-10</c:v>
                </c:pt>
                <c:pt idx="8">
                  <c:v>2.7660828722117402E-10</c:v>
                </c:pt>
                <c:pt idx="9">
                  <c:v>2.7509348737903316E-10</c:v>
                </c:pt>
                <c:pt idx="10">
                  <c:v>2.7353751058466671E-10</c:v>
                </c:pt>
                <c:pt idx="11">
                  <c:v>2.719413606694367E-10</c:v>
                </c:pt>
                <c:pt idx="12">
                  <c:v>2.7030589226998591E-10</c:v>
                </c:pt>
                <c:pt idx="13">
                  <c:v>2.6863180766269492E-10</c:v>
                </c:pt>
                <c:pt idx="14">
                  <c:v>2.6691965312322817E-10</c:v>
                </c:pt>
                <c:pt idx="15">
                  <c:v>2.6516981479368402E-10</c:v>
                </c:pt>
                <c:pt idx="16">
                  <c:v>2.6338251403422529E-10</c:v>
                </c:pt>
                <c:pt idx="17">
                  <c:v>2.6155780222975452E-10</c:v>
                </c:pt>
                <c:pt idx="18">
                  <c:v>2.5969555501506021E-10</c:v>
                </c:pt>
                <c:pt idx="19">
                  <c:v>2.5779546587369664E-10</c:v>
                </c:pt>
                <c:pt idx="20">
                  <c:v>2.5585703905647486E-10</c:v>
                </c:pt>
                <c:pt idx="21">
                  <c:v>2.5387958175454587E-10</c:v>
                </c:pt>
                <c:pt idx="22">
                  <c:v>2.5186219544936003E-10</c:v>
                </c:pt>
                <c:pt idx="23">
                  <c:v>2.4980376634688912E-10</c:v>
                </c:pt>
                <c:pt idx="24">
                  <c:v>2.4770295478591709E-10</c:v>
                </c:pt>
                <c:pt idx="25">
                  <c:v>2.4555818348938489E-10</c:v>
                </c:pt>
                <c:pt idx="26">
                  <c:v>2.4336762450294699E-10</c:v>
                </c:pt>
                <c:pt idx="27">
                  <c:v>2.4112918463518648E-10</c:v>
                </c:pt>
                <c:pt idx="28">
                  <c:v>2.3884048917815412E-10</c:v>
                </c:pt>
                <c:pt idx="29">
                  <c:v>2.3649886364360719E-10</c:v>
                </c:pt>
                <c:pt idx="30">
                  <c:v>2.3410131319763152E-10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CB6-40F4-83A6-4A40F8D2A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34224"/>
        <c:axId val="237434616"/>
      </c:scatterChart>
      <c:valAx>
        <c:axId val="237434224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4616"/>
        <c:crossesAt val="0"/>
        <c:crossBetween val="midCat"/>
        <c:majorUnit val="20"/>
        <c:minorUnit val="10"/>
      </c:valAx>
      <c:valAx>
        <c:axId val="237434616"/>
        <c:scaling>
          <c:logBase val="10"/>
          <c:orientation val="minMax"/>
          <c:max val="1.0000000000000004E-6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Debye length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(m)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39579285496E-2"/>
              <c:y val="0.30095720049905628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422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344722797023602"/>
          <c:y val="2.9962804113133047E-2"/>
          <c:w val="0.1531461665593927"/>
          <c:h val="0.35113139365168367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'1e-5M'!$U$4:$U$34</c:f>
              <c:numCache>
                <c:formatCode>0.000E+00</c:formatCode>
                <c:ptCount val="31"/>
                <c:pt idx="1">
                  <c:v>9.6725527321095812E-5</c:v>
                </c:pt>
                <c:pt idx="2">
                  <c:v>1.1578793629739574E-3</c:v>
                </c:pt>
                <c:pt idx="3">
                  <c:v>2.4189974508323606E-3</c:v>
                </c:pt>
                <c:pt idx="4">
                  <c:v>3.9081043800332322E-3</c:v>
                </c:pt>
                <c:pt idx="5">
                  <c:v>6.4614427902971779E-3</c:v>
                </c:pt>
                <c:pt idx="6">
                  <c:v>1.1958196215764529E-2</c:v>
                </c:pt>
                <c:pt idx="7">
                  <c:v>2.472965663516195E-2</c:v>
                </c:pt>
                <c:pt idx="8">
                  <c:v>5.5279094082405472E-2</c:v>
                </c:pt>
                <c:pt idx="9">
                  <c:v>0.12896516253224322</c:v>
                </c:pt>
                <c:pt idx="10">
                  <c:v>0.30374962756918816</c:v>
                </c:pt>
                <c:pt idx="11">
                  <c:v>0.70212428317365116</c:v>
                </c:pt>
                <c:pt idx="12">
                  <c:v>1.5637499693322201</c:v>
                </c:pt>
                <c:pt idx="13">
                  <c:v>3.3271863376856832</c:v>
                </c:pt>
                <c:pt idx="14">
                  <c:v>6.7507028764142234</c:v>
                </c:pt>
                <c:pt idx="15">
                  <c:v>13.083595318220789</c:v>
                </c:pt>
                <c:pt idx="16">
                  <c:v>24.300871778069695</c:v>
                </c:pt>
                <c:pt idx="17">
                  <c:v>43.415596913355117</c:v>
                </c:pt>
                <c:pt idx="18">
                  <c:v>74.884538285920968</c:v>
                </c:pt>
                <c:pt idx="19">
                  <c:v>125.12401805188713</c:v>
                </c:pt>
                <c:pt idx="20">
                  <c:v>203.15401246960084</c:v>
                </c:pt>
                <c:pt idx="21">
                  <c:v>321.38953615742253</c:v>
                </c:pt>
                <c:pt idx="22">
                  <c:v>496.5991674565845</c:v>
                </c:pt>
                <c:pt idx="23">
                  <c:v>751.05118000460061</c:v>
                </c:pt>
                <c:pt idx="24">
                  <c:v>1113.8681015629031</c:v>
                </c:pt>
                <c:pt idx="25">
                  <c:v>1622.6105744826627</c:v>
                </c:pt>
                <c:pt idx="26">
                  <c:v>2325.1110841188101</c:v>
                </c:pt>
                <c:pt idx="27">
                  <c:v>3281.5773825603078</c:v>
                </c:pt>
                <c:pt idx="28">
                  <c:v>4566.9841832649126</c:v>
                </c:pt>
                <c:pt idx="29">
                  <c:v>6273.7698408899259</c:v>
                </c:pt>
                <c:pt idx="30">
                  <c:v>8514.8521458109681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16-4381-85AD-45CCF8E334C6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'0.0001M'!$U$4:$U$34</c:f>
              <c:numCache>
                <c:formatCode>0.000E+00</c:formatCode>
                <c:ptCount val="31"/>
                <c:pt idx="1">
                  <c:v>3.473123711125991E-4</c:v>
                </c:pt>
                <c:pt idx="2">
                  <c:v>2.5180702256577311E-3</c:v>
                </c:pt>
                <c:pt idx="3">
                  <c:v>4.5044689088015949E-3</c:v>
                </c:pt>
                <c:pt idx="4">
                  <c:v>6.5517470157696002E-3</c:v>
                </c:pt>
                <c:pt idx="5">
                  <c:v>9.6539090228634286E-3</c:v>
                </c:pt>
                <c:pt idx="6">
                  <c:v>1.5360173485908818E-2</c:v>
                </c:pt>
                <c:pt idx="7">
                  <c:v>2.6047600112645921E-2</c:v>
                </c:pt>
                <c:pt idx="8">
                  <c:v>4.5313775957683884E-2</c:v>
                </c:pt>
                <c:pt idx="9">
                  <c:v>7.8407002334645828E-2</c:v>
                </c:pt>
                <c:pt idx="10">
                  <c:v>0.13277183929545741</c:v>
                </c:pt>
                <c:pt idx="11">
                  <c:v>0.2188630060356074</c:v>
                </c:pt>
                <c:pt idx="12">
                  <c:v>0.35139113459357213</c:v>
                </c:pt>
                <c:pt idx="13">
                  <c:v>0.55113390671764462</c:v>
                </c:pt>
                <c:pt idx="14">
                  <c:v>0.84738105931601415</c:v>
                </c:pt>
                <c:pt idx="15">
                  <c:v>1.28099892146628</c:v>
                </c:pt>
                <c:pt idx="16">
                  <c:v>1.9080362596860589</c:v>
                </c:pt>
                <c:pt idx="17">
                  <c:v>2.8037792960272361</c:v>
                </c:pt>
                <c:pt idx="18">
                  <c:v>4.067197750807809</c:v>
                </c:pt>
                <c:pt idx="19">
                  <c:v>5.8257736215066407</c:v>
                </c:pt>
                <c:pt idx="20">
                  <c:v>8.2407378732518133</c:v>
                </c:pt>
                <c:pt idx="21">
                  <c:v>11.51274679755767</c:v>
                </c:pt>
                <c:pt idx="22">
                  <c:v>15.888017801030562</c:v>
                </c:pt>
                <c:pt idx="23">
                  <c:v>21.664926328309676</c:v>
                </c:pt>
                <c:pt idx="24">
                  <c:v>29.201049065914276</c:v>
                </c:pt>
                <c:pt idx="25">
                  <c:v>38.920625428386813</c:v>
                </c:pt>
                <c:pt idx="26">
                  <c:v>51.322398602954934</c:v>
                </c:pt>
                <c:pt idx="27">
                  <c:v>66.987787505330004</c:v>
                </c:pt>
                <c:pt idx="28">
                  <c:v>86.589330584497645</c:v>
                </c:pt>
                <c:pt idx="29">
                  <c:v>110.89933067136283</c:v>
                </c:pt>
                <c:pt idx="30">
                  <c:v>140.79861646542719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16-4381-85AD-45CCF8E334C6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'0.001M'!$V$5:$V$35</c:f>
              <c:numCache>
                <c:formatCode>0.000E+00</c:formatCode>
                <c:ptCount val="31"/>
                <c:pt idx="0">
                  <c:v>-0.10488782377381374</c:v>
                </c:pt>
                <c:pt idx="1">
                  <c:v>-8.3087764750962745E-2</c:v>
                </c:pt>
                <c:pt idx="2">
                  <c:v>-7.7501201535191327E-2</c:v>
                </c:pt>
                <c:pt idx="3">
                  <c:v>-7.4234513199847016E-2</c:v>
                </c:pt>
                <c:pt idx="4">
                  <c:v>-7.0646984840426502E-2</c:v>
                </c:pt>
                <c:pt idx="5">
                  <c:v>-6.5915537737469942E-2</c:v>
                </c:pt>
                <c:pt idx="6">
                  <c:v>-6.0169430784281878E-2</c:v>
                </c:pt>
                <c:pt idx="7">
                  <c:v>-5.3887418165677062E-2</c:v>
                </c:pt>
                <c:pt idx="8">
                  <c:v>-4.7488005358546713E-2</c:v>
                </c:pt>
                <c:pt idx="9">
                  <c:v>-4.1219270608193824E-2</c:v>
                </c:pt>
                <c:pt idx="10">
                  <c:v>-3.5195138816916639E-2</c:v>
                </c:pt>
                <c:pt idx="11">
                  <c:v>-2.9451796040055274E-2</c:v>
                </c:pt>
                <c:pt idx="12">
                  <c:v>-2.3986760210307934E-2</c:v>
                </c:pt>
                <c:pt idx="13">
                  <c:v>-1.878062231586565E-2</c:v>
                </c:pt>
                <c:pt idx="14">
                  <c:v>-1.3808015093394688E-2</c:v>
                </c:pt>
                <c:pt idx="15">
                  <c:v>-9.0427983392198114E-3</c:v>
                </c:pt>
                <c:pt idx="16">
                  <c:v>-4.4603268006020453E-3</c:v>
                </c:pt>
                <c:pt idx="17">
                  <c:v>-3.8297797216419977E-5</c:v>
                </c:pt>
                <c:pt idx="18">
                  <c:v>4.2430686574426498E-3</c:v>
                </c:pt>
                <c:pt idx="19">
                  <c:v>8.4011456432130354E-3</c:v>
                </c:pt>
                <c:pt idx="20">
                  <c:v>1.2451130381610172E-2</c:v>
                </c:pt>
                <c:pt idx="21">
                  <c:v>1.6406304812967697E-2</c:v>
                </c:pt>
                <c:pt idx="22">
                  <c:v>2.0278286939944538E-2</c:v>
                </c:pt>
                <c:pt idx="23">
                  <c:v>2.4077257225647269E-2</c:v>
                </c:pt>
                <c:pt idx="24">
                  <c:v>2.7812155429307622E-2</c:v>
                </c:pt>
                <c:pt idx="25">
                  <c:v>3.1490848381249409E-2</c:v>
                </c:pt>
                <c:pt idx="26">
                  <c:v>3.5120271348693319E-2</c:v>
                </c:pt>
                <c:pt idx="27">
                  <c:v>3.8706546343750849E-2</c:v>
                </c:pt>
                <c:pt idx="28">
                  <c:v>4.2255080742738149E-2</c:v>
                </c:pt>
                <c:pt idx="29">
                  <c:v>4.5770649307645628E-2</c:v>
                </c:pt>
                <c:pt idx="30">
                  <c:v>4.9257462316900223E-2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916-4381-85AD-45CCF8E334C6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'0.01M'!$U$4:$U$34</c:f>
              <c:numCache>
                <c:formatCode>0.000E+00</c:formatCode>
                <c:ptCount val="31"/>
                <c:pt idx="1">
                  <c:v>4.5706118592198095E-3</c:v>
                </c:pt>
                <c:pt idx="2">
                  <c:v>1.2191487423451785E-2</c:v>
                </c:pt>
                <c:pt idx="3">
                  <c:v>1.6261582981287544E-2</c:v>
                </c:pt>
                <c:pt idx="4">
                  <c:v>1.9568480450881047E-2</c:v>
                </c:pt>
                <c:pt idx="5">
                  <c:v>2.3698070520395294E-2</c:v>
                </c:pt>
                <c:pt idx="6">
                  <c:v>2.9810402652102719E-2</c:v>
                </c:pt>
                <c:pt idx="7">
                  <c:v>3.8687432247995868E-2</c:v>
                </c:pt>
                <c:pt idx="8">
                  <c:v>5.0797525927076974E-2</c:v>
                </c:pt>
                <c:pt idx="9">
                  <c:v>6.6405796306025611E-2</c:v>
                </c:pt>
                <c:pt idx="10">
                  <c:v>8.5666295420983959E-2</c:v>
                </c:pt>
                <c:pt idx="11">
                  <c:v>0.10867561732020409</c:v>
                </c:pt>
                <c:pt idx="12">
                  <c:v>0.13549915344824151</c:v>
                </c:pt>
                <c:pt idx="13">
                  <c:v>0.16618325412272653</c:v>
                </c:pt>
                <c:pt idx="14">
                  <c:v>0.20076095110732342</c:v>
                </c:pt>
                <c:pt idx="15">
                  <c:v>0.23925481914167077</c:v>
                </c:pt>
                <c:pt idx="16">
                  <c:v>0.28167853434114776</c:v>
                </c:pt>
                <c:pt idx="17">
                  <c:v>0.32803780081743383</c:v>
                </c:pt>
                <c:pt idx="18">
                  <c:v>0.37833094034293779</c:v>
                </c:pt>
                <c:pt idx="19">
                  <c:v>0.4325492790861219</c:v>
                </c:pt>
                <c:pt idx="20">
                  <c:v>0.49067739507028324</c:v>
                </c:pt>
                <c:pt idx="21">
                  <c:v>0.55269325807198577</c:v>
                </c:pt>
                <c:pt idx="22">
                  <c:v>0.61856827849377882</c:v>
                </c:pt>
                <c:pt idx="23">
                  <c:v>0.68826727409376365</c:v>
                </c:pt>
                <c:pt idx="24">
                  <c:v>0.76174835930165774</c:v>
                </c:pt>
                <c:pt idx="25">
                  <c:v>0.83896275938107312</c:v>
                </c:pt>
                <c:pt idx="26">
                  <c:v>0.9198545500634594</c:v>
                </c:pt>
                <c:pt idx="27">
                  <c:v>1.0043603220689667</c:v>
                </c:pt>
                <c:pt idx="28">
                  <c:v>1.0924087689317248</c:v>
                </c:pt>
                <c:pt idx="29">
                  <c:v>1.1839201956457921</c:v>
                </c:pt>
                <c:pt idx="30">
                  <c:v>1.2788059447721685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916-4381-85AD-45CCF8E334C6}"/>
            </c:ext>
          </c:extLst>
        </c:ser>
        <c:ser>
          <c:idx val="5"/>
          <c:order val="4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'0.5M'!$U$4:$U$34</c:f>
              <c:numCache>
                <c:formatCode>0.000E+00</c:formatCode>
                <c:ptCount val="31"/>
                <c:pt idx="1">
                  <c:v>5.8489605847402967E-2</c:v>
                </c:pt>
                <c:pt idx="2">
                  <c:v>6.4474696961993067E-2</c:v>
                </c:pt>
                <c:pt idx="3">
                  <c:v>6.6248681793061218E-2</c:v>
                </c:pt>
                <c:pt idx="4">
                  <c:v>6.7341965146757027E-2</c:v>
                </c:pt>
                <c:pt idx="5">
                  <c:v>6.8500465399490021E-2</c:v>
                </c:pt>
                <c:pt idx="6">
                  <c:v>6.9967736734477856E-2</c:v>
                </c:pt>
                <c:pt idx="7">
                  <c:v>7.1717785941221926E-2</c:v>
                </c:pt>
                <c:pt idx="8">
                  <c:v>7.3618754755828006E-2</c:v>
                </c:pt>
                <c:pt idx="9">
                  <c:v>7.554729041814473E-2</c:v>
                </c:pt>
                <c:pt idx="10">
                  <c:v>7.742399605547641E-2</c:v>
                </c:pt>
                <c:pt idx="11">
                  <c:v>7.9207318498779752E-2</c:v>
                </c:pt>
                <c:pt idx="12">
                  <c:v>8.0879459056378375E-2</c:v>
                </c:pt>
                <c:pt idx="13">
                  <c:v>8.2435635545324237E-2</c:v>
                </c:pt>
                <c:pt idx="14">
                  <c:v>8.3877625620007362E-2</c:v>
                </c:pt>
                <c:pt idx="15">
                  <c:v>8.5210225698156353E-2</c:v>
                </c:pt>
                <c:pt idx="16">
                  <c:v>8.6439392910973509E-2</c:v>
                </c:pt>
                <c:pt idx="17">
                  <c:v>8.7571300476301087E-2</c:v>
                </c:pt>
                <c:pt idx="18">
                  <c:v>8.8611876520771876E-2</c:v>
                </c:pt>
                <c:pt idx="19">
                  <c:v>8.9566595498676668E-2</c:v>
                </c:pt>
                <c:pt idx="20">
                  <c:v>9.0440399835030383E-2</c:v>
                </c:pt>
                <c:pt idx="21">
                  <c:v>9.1237687090431563E-2</c:v>
                </c:pt>
                <c:pt idx="22">
                  <c:v>9.1962328458882275E-2</c:v>
                </c:pt>
                <c:pt idx="23">
                  <c:v>9.261770060566836E-2</c:v>
                </c:pt>
                <c:pt idx="24">
                  <c:v>9.3206721493385394E-2</c:v>
                </c:pt>
                <c:pt idx="25">
                  <c:v>9.3731885470940135E-2</c:v>
                </c:pt>
                <c:pt idx="26">
                  <c:v>9.4195295375119448E-2</c:v>
                </c:pt>
                <c:pt idx="27">
                  <c:v>9.4598690705719038E-2</c:v>
                </c:pt>
                <c:pt idx="28">
                  <c:v>9.4943471613657307E-2</c:v>
                </c:pt>
                <c:pt idx="29">
                  <c:v>9.5230718774515707E-2</c:v>
                </c:pt>
                <c:pt idx="30">
                  <c:v>9.546120936472352E-2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916-4381-85AD-45CCF8E334C6}"/>
            </c:ext>
          </c:extLst>
        </c:ser>
        <c:ser>
          <c:idx val="0"/>
          <c:order val="5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'1M'!$U$4:$U$34</c:f>
              <c:numCache>
                <c:formatCode>0.000E+00</c:formatCode>
                <c:ptCount val="31"/>
                <c:pt idx="1">
                  <c:v>0.10916470279065697</c:v>
                </c:pt>
                <c:pt idx="2">
                  <c:v>0.1087117884010152</c:v>
                </c:pt>
                <c:pt idx="3">
                  <c:v>0.10823893892028917</c:v>
                </c:pt>
                <c:pt idx="4">
                  <c:v>0.10774691897937246</c:v>
                </c:pt>
                <c:pt idx="5">
                  <c:v>0.10723643978662048</c:v>
                </c:pt>
                <c:pt idx="6">
                  <c:v>0.10670815914633423</c:v>
                </c:pt>
                <c:pt idx="7">
                  <c:v>0.10616268129477335</c:v>
                </c:pt>
                <c:pt idx="8">
                  <c:v>0.10560055655853973</c:v>
                </c:pt>
                <c:pt idx="9">
                  <c:v>0.10502228083864275</c:v>
                </c:pt>
                <c:pt idx="10">
                  <c:v>0.10442829492204332</c:v>
                </c:pt>
                <c:pt idx="11">
                  <c:v>0.10381898362094205</c:v>
                </c:pt>
                <c:pt idx="12">
                  <c:v>0.10319467473849457</c:v>
                </c:pt>
                <c:pt idx="13">
                  <c:v>0.10255563785797223</c:v>
                </c:pt>
                <c:pt idx="14">
                  <c:v>0.10190208295059813</c:v>
                </c:pt>
                <c:pt idx="15">
                  <c:v>0.10123415879534324</c:v>
                </c:pt>
                <c:pt idx="16">
                  <c:v>0.10055195120181123</c:v>
                </c:pt>
                <c:pt idx="17">
                  <c:v>9.9855481024930706E-2</c:v>
                </c:pt>
                <c:pt idx="18">
                  <c:v>9.9144701957443376E-2</c:v>
                </c:pt>
                <c:pt idx="19">
                  <c:v>9.8419498083057957E-2</c:v>
                </c:pt>
                <c:pt idx="20">
                  <c:v>9.7679681169551308E-2</c:v>
                </c:pt>
                <c:pt idx="21">
                  <c:v>9.6924987676936025E-2</c:v>
                </c:pt>
                <c:pt idx="22">
                  <c:v>9.6155075450959013E-2</c:v>
                </c:pt>
                <c:pt idx="23">
                  <c:v>9.536952006650315E-2</c:v>
                </c:pt>
                <c:pt idx="24">
                  <c:v>9.4567810778745848E-2</c:v>
                </c:pt>
                <c:pt idx="25">
                  <c:v>9.3749346031970091E-2</c:v>
                </c:pt>
                <c:pt idx="26">
                  <c:v>9.2913428466437617E-2</c:v>
                </c:pt>
                <c:pt idx="27">
                  <c:v>9.2059259352377118E-2</c:v>
                </c:pt>
                <c:pt idx="28">
                  <c:v>9.1185932366469949E-2</c:v>
                </c:pt>
                <c:pt idx="29">
                  <c:v>9.0292426609670018E-2</c:v>
                </c:pt>
                <c:pt idx="30">
                  <c:v>8.9377598745061113E-2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916-4381-85AD-45CCF8E3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435400"/>
        <c:axId val="237435792"/>
      </c:scatterChart>
      <c:valAx>
        <c:axId val="237435400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5792"/>
        <c:crossesAt val="-0.18000000000000002"/>
        <c:crossBetween val="midCat"/>
        <c:majorUnit val="20"/>
        <c:minorUnit val="10"/>
      </c:valAx>
      <c:valAx>
        <c:axId val="237435792"/>
        <c:scaling>
          <c:orientation val="minMax"/>
          <c:max val="0.1"/>
          <c:min val="-0.18000000000000002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Stern plane potential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(V)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2284360506734201E-2"/>
              <c:y val="0.2285245850111760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435400"/>
        <c:crossesAt val="1.0000000000000192E-6"/>
        <c:crossBetween val="midCat"/>
        <c:majorUnit val="6.0000000000000012E-2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344722797023602"/>
          <c:y val="2.9962804113133047E-2"/>
          <c:w val="0.1531461665593927"/>
          <c:h val="0.35113139365168367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'1e-5M'!$W$4:$W$34</c:f>
              <c:numCache>
                <c:formatCode>0.00E+00</c:formatCode>
                <c:ptCount val="31"/>
                <c:pt idx="1">
                  <c:v>-0.14733194815284906</c:v>
                </c:pt>
                <c:pt idx="2">
                  <c:v>-0.11210186901411313</c:v>
                </c:pt>
                <c:pt idx="3">
                  <c:v>-0.10250303676519935</c:v>
                </c:pt>
                <c:pt idx="4">
                  <c:v>-9.6543449000932133E-2</c:v>
                </c:pt>
                <c:pt idx="5">
                  <c:v>-8.993005799289211E-2</c:v>
                </c:pt>
                <c:pt idx="6">
                  <c:v>-8.1157770761279127E-2</c:v>
                </c:pt>
                <c:pt idx="7">
                  <c:v>-7.0140506640420874E-2</c:v>
                </c:pt>
                <c:pt idx="8">
                  <c:v>-5.7361201536748077E-2</c:v>
                </c:pt>
                <c:pt idx="9">
                  <c:v>-4.3456535143601885E-2</c:v>
                </c:pt>
                <c:pt idx="10">
                  <c:v>-2.9172885954746423E-2</c:v>
                </c:pt>
                <c:pt idx="11">
                  <c:v>-1.5267902775603602E-2</c:v>
                </c:pt>
                <c:pt idx="12">
                  <c:v>-2.3599446900008517E-3</c:v>
                </c:pt>
                <c:pt idx="13">
                  <c:v>9.1209617933186386E-3</c:v>
                </c:pt>
                <c:pt idx="14">
                  <c:v>1.890182902763643E-2</c:v>
                </c:pt>
                <c:pt idx="15">
                  <c:v>2.682429553921175E-2</c:v>
                </c:pt>
                <c:pt idx="16">
                  <c:v>3.2817309100937539E-2</c:v>
                </c:pt>
                <c:pt idx="17">
                  <c:v>3.6883739392631669E-2</c:v>
                </c:pt>
                <c:pt idx="18">
                  <c:v>3.9094009001589311E-2</c:v>
                </c:pt>
                <c:pt idx="19">
                  <c:v>3.9581257667927396E-2</c:v>
                </c:pt>
                <c:pt idx="20">
                  <c:v>3.853481613363393E-2</c:v>
                </c:pt>
                <c:pt idx="21">
                  <c:v>3.6190524464276626E-2</c:v>
                </c:pt>
                <c:pt idx="22">
                  <c:v>3.2817682891609169E-2</c:v>
                </c:pt>
                <c:pt idx="23">
                  <c:v>2.8703317486823719E-2</c:v>
                </c:pt>
                <c:pt idx="24">
                  <c:v>2.4135052437259628E-2</c:v>
                </c:pt>
                <c:pt idx="25">
                  <c:v>1.9384218268555888E-2</c:v>
                </c:pt>
                <c:pt idx="26">
                  <c:v>1.4690885116705315E-2</c:v>
                </c:pt>
                <c:pt idx="27">
                  <c:v>1.0252300336733621E-2</c:v>
                </c:pt>
                <c:pt idx="28">
                  <c:v>6.215770713863129E-3</c:v>
                </c:pt>
                <c:pt idx="29">
                  <c:v>2.6764373591794521E-3</c:v>
                </c:pt>
                <c:pt idx="30">
                  <c:v>-3.202513842070244E-4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7CA-4518-8EEF-5BFB4EE8BB11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'0.0001M'!$W$4:$W$34</c:f>
              <c:numCache>
                <c:formatCode>0.00E+00</c:formatCode>
                <c:ptCount val="31"/>
                <c:pt idx="1">
                  <c:v>-0.11578381723007279</c:v>
                </c:pt>
                <c:pt idx="2">
                  <c:v>-9.0773341525529336E-2</c:v>
                </c:pt>
                <c:pt idx="3">
                  <c:v>-8.4156977014574683E-2</c:v>
                </c:pt>
                <c:pt idx="4">
                  <c:v>-8.0169718649077834E-2</c:v>
                </c:pt>
                <c:pt idx="5">
                  <c:v>-7.5813807052445933E-2</c:v>
                </c:pt>
                <c:pt idx="6">
                  <c:v>-7.0150313939830927E-2</c:v>
                </c:pt>
                <c:pt idx="7">
                  <c:v>-6.3315338513867545E-2</c:v>
                </c:pt>
                <c:pt idx="8">
                  <c:v>-5.5835700767322402E-2</c:v>
                </c:pt>
                <c:pt idx="9">
                  <c:v>-4.816579753882861E-2</c:v>
                </c:pt>
                <c:pt idx="10">
                  <c:v>-4.0565431517554658E-2</c:v>
                </c:pt>
                <c:pt idx="11">
                  <c:v>-3.3144807715228153E-2</c:v>
                </c:pt>
                <c:pt idx="12">
                  <c:v>-2.5933544604836052E-2</c:v>
                </c:pt>
                <c:pt idx="13">
                  <c:v>-1.8930623894106664E-2</c:v>
                </c:pt>
                <c:pt idx="14">
                  <c:v>-1.2133842204656364E-2</c:v>
                </c:pt>
                <c:pt idx="15">
                  <c:v>-5.5543613097430592E-3</c:v>
                </c:pt>
                <c:pt idx="16">
                  <c:v>7.7919071526911729E-4</c:v>
                </c:pt>
                <c:pt idx="17">
                  <c:v>6.8235457637161375E-3</c:v>
                </c:pt>
                <c:pt idx="18">
                  <c:v>1.2527184989369984E-2</c:v>
                </c:pt>
                <c:pt idx="19">
                  <c:v>1.7837336379392152E-2</c:v>
                </c:pt>
                <c:pt idx="20">
                  <c:v>2.2705646823671717E-2</c:v>
                </c:pt>
                <c:pt idx="21">
                  <c:v>2.7091802205026473E-2</c:v>
                </c:pt>
                <c:pt idx="22">
                  <c:v>3.0965248197877042E-2</c:v>
                </c:pt>
                <c:pt idx="23">
                  <c:v>3.4305550270455801E-2</c:v>
                </c:pt>
                <c:pt idx="24">
                  <c:v>3.7101953548546097E-2</c:v>
                </c:pt>
                <c:pt idx="25">
                  <c:v>3.9352562873390631E-2</c:v>
                </c:pt>
                <c:pt idx="26">
                  <c:v>4.1063400070685478E-2</c:v>
                </c:pt>
                <c:pt idx="27">
                  <c:v>4.224746901149451E-2</c:v>
                </c:pt>
                <c:pt idx="28">
                  <c:v>4.292387958301698E-2</c:v>
                </c:pt>
                <c:pt idx="29">
                  <c:v>4.3117039334509714E-2</c:v>
                </c:pt>
                <c:pt idx="30">
                  <c:v>4.2855903060267472E-2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7CA-4518-8EEF-5BFB4EE8BB11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7CA-4518-8EEF-5BFB4EE8BB11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'0.01M'!$W$4:$W$34</c:f>
              <c:numCache>
                <c:formatCode>0.00E+00</c:formatCode>
                <c:ptCount val="31"/>
                <c:pt idx="1">
                  <c:v>-2.6136844141361693E-2</c:v>
                </c:pt>
                <c:pt idx="2">
                  <c:v>-2.3303689382589896E-2</c:v>
                </c:pt>
                <c:pt idx="3">
                  <c:v>-2.2579758656823462E-2</c:v>
                </c:pt>
                <c:pt idx="4">
                  <c:v>-2.2157471283892248E-2</c:v>
                </c:pt>
                <c:pt idx="5">
                  <c:v>-2.1694282365189888E-2</c:v>
                </c:pt>
                <c:pt idx="6">
                  <c:v>-2.1085765902548313E-2</c:v>
                </c:pt>
                <c:pt idx="7">
                  <c:v>-2.0350907914074602E-2</c:v>
                </c:pt>
                <c:pt idx="8">
                  <c:v>-1.955291176673318E-2</c:v>
                </c:pt>
                <c:pt idx="9">
                  <c:v>-1.8746272433128215E-2</c:v>
                </c:pt>
                <c:pt idx="10">
                  <c:v>-1.7962986522740178E-2</c:v>
                </c:pt>
                <c:pt idx="11">
                  <c:v>-1.7217567998434678E-2</c:v>
                </c:pt>
                <c:pt idx="12">
                  <c:v>-1.65144887449666E-2</c:v>
                </c:pt>
                <c:pt idx="13">
                  <c:v>-1.5853277089658953E-2</c:v>
                </c:pt>
                <c:pt idx="14">
                  <c:v>-1.5231334988197613E-2</c:v>
                </c:pt>
                <c:pt idx="15">
                  <c:v>-1.4645349206041021E-2</c:v>
                </c:pt>
                <c:pt idx="16">
                  <c:v>-1.4091952166901726E-2</c:v>
                </c:pt>
                <c:pt idx="17">
                  <c:v>-1.3568006494419979E-2</c:v>
                </c:pt>
                <c:pt idx="18">
                  <c:v>-1.3070707633781049E-2</c:v>
                </c:pt>
                <c:pt idx="19">
                  <c:v>-1.2597601813628487E-2</c:v>
                </c:pt>
                <c:pt idx="20">
                  <c:v>-1.2146567094783813E-2</c:v>
                </c:pt>
                <c:pt idx="21">
                  <c:v>-1.1715780554478392E-2</c:v>
                </c:pt>
                <c:pt idx="22">
                  <c:v>-1.1303682434821482E-2</c:v>
                </c:pt>
                <c:pt idx="23">
                  <c:v>-1.090894207098409E-2</c:v>
                </c:pt>
                <c:pt idx="24">
                  <c:v>-1.0530427485624366E-2</c:v>
                </c:pt>
                <c:pt idx="25">
                  <c:v>-1.0167179141756877E-2</c:v>
                </c:pt>
                <c:pt idx="26">
                  <c:v>-9.818387714581411E-3</c:v>
                </c:pt>
                <c:pt idx="27">
                  <c:v>-9.4833754870187713E-3</c:v>
                </c:pt>
                <c:pt idx="28">
                  <c:v>-9.1615808993511672E-3</c:v>
                </c:pt>
                <c:pt idx="29">
                  <c:v>-8.8525457926221657E-3</c:v>
                </c:pt>
                <c:pt idx="30">
                  <c:v>-8.5559049295012464E-3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7CA-4518-8EEF-5BFB4EE8BB11}"/>
            </c:ext>
          </c:extLst>
        </c:ser>
        <c:ser>
          <c:idx val="5"/>
          <c:order val="4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'0.5M'!$W$4:$W$34</c:f>
              <c:numCache>
                <c:formatCode>0.00E+00</c:formatCode>
                <c:ptCount val="31"/>
                <c:pt idx="1">
                  <c:v>-9.5002961296323744E-3</c:v>
                </c:pt>
                <c:pt idx="2">
                  <c:v>-9.5002802320988972E-3</c:v>
                </c:pt>
                <c:pt idx="3">
                  <c:v>-9.5002712010887735E-3</c:v>
                </c:pt>
                <c:pt idx="4">
                  <c:v>-9.5002628306871586E-3</c:v>
                </c:pt>
                <c:pt idx="5">
                  <c:v>-9.5002540214486654E-3</c:v>
                </c:pt>
                <c:pt idx="6">
                  <c:v>-9.500244527237002E-3</c:v>
                </c:pt>
                <c:pt idx="7">
                  <c:v>-9.5002345029665432E-3</c:v>
                </c:pt>
                <c:pt idx="8">
                  <c:v>-9.5002242183608119E-3</c:v>
                </c:pt>
                <c:pt idx="9">
                  <c:v>-9.5002138911330341E-3</c:v>
                </c:pt>
                <c:pt idx="10">
                  <c:v>-9.500203654157555E-3</c:v>
                </c:pt>
                <c:pt idx="11">
                  <c:v>-9.5001935788751237E-3</c:v>
                </c:pt>
                <c:pt idx="12">
                  <c:v>-9.5001837022315981E-3</c:v>
                </c:pt>
                <c:pt idx="13">
                  <c:v>-9.5001740439981108E-3</c:v>
                </c:pt>
                <c:pt idx="14">
                  <c:v>-9.5001646159746829E-3</c:v>
                </c:pt>
                <c:pt idx="15">
                  <c:v>-9.5001554264403845E-3</c:v>
                </c:pt>
                <c:pt idx="16">
                  <c:v>-9.5001464821558735E-3</c:v>
                </c:pt>
                <c:pt idx="17">
                  <c:v>-9.5001377891830285E-3</c:v>
                </c:pt>
                <c:pt idx="18">
                  <c:v>-9.5001293531604344E-3</c:v>
                </c:pt>
                <c:pt idx="19">
                  <c:v>-9.5001211793451779E-3</c:v>
                </c:pt>
                <c:pt idx="20">
                  <c:v>-9.5001132725677732E-3</c:v>
                </c:pt>
                <c:pt idx="21">
                  <c:v>-9.5001056371670535E-3</c:v>
                </c:pt>
                <c:pt idx="22">
                  <c:v>-9.5000982769332873E-3</c:v>
                </c:pt>
                <c:pt idx="23">
                  <c:v>-9.5000911950693413E-3</c:v>
                </c:pt>
                <c:pt idx="24">
                  <c:v>-9.5000843941711651E-3</c:v>
                </c:pt>
                <c:pt idx="25">
                  <c:v>-9.5000778762251419E-3</c:v>
                </c:pt>
                <c:pt idx="26">
                  <c:v>-9.5000716426184607E-3</c:v>
                </c:pt>
                <c:pt idx="27">
                  <c:v>-9.5000656941582537E-3</c:v>
                </c:pt>
                <c:pt idx="28">
                  <c:v>-9.5000600310955318E-3</c:v>
                </c:pt>
                <c:pt idx="29">
                  <c:v>-9.500054653150224E-3</c:v>
                </c:pt>
                <c:pt idx="30">
                  <c:v>-9.5000495595341603E-3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7CA-4518-8EEF-5BFB4EE8BB11}"/>
            </c:ext>
          </c:extLst>
        </c:ser>
        <c:ser>
          <c:idx val="0"/>
          <c:order val="5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'1M'!$W$4:$W$34</c:f>
              <c:numCache>
                <c:formatCode>0.00E+00</c:formatCode>
                <c:ptCount val="31"/>
                <c:pt idx="1">
                  <c:v>-9.5000008854323158E-3</c:v>
                </c:pt>
                <c:pt idx="2">
                  <c:v>-9.5000008398639663E-3</c:v>
                </c:pt>
                <c:pt idx="3">
                  <c:v>-9.5000007933870347E-3</c:v>
                </c:pt>
                <c:pt idx="4">
                  <c:v>-9.5000007464514265E-3</c:v>
                </c:pt>
                <c:pt idx="5">
                  <c:v>-9.5000006994738432E-3</c:v>
                </c:pt>
                <c:pt idx="6">
                  <c:v>-9.5000006528350132E-3</c:v>
                </c:pt>
                <c:pt idx="7">
                  <c:v>-9.5000006068778758E-3</c:v>
                </c:pt>
                <c:pt idx="8">
                  <c:v>-9.5000005619065957E-3</c:v>
                </c:pt>
                <c:pt idx="9">
                  <c:v>-9.5000005181863651E-3</c:v>
                </c:pt>
                <c:pt idx="10">
                  <c:v>-9.5000004759438553E-3</c:v>
                </c:pt>
                <c:pt idx="11">
                  <c:v>-9.500000435368262E-3</c:v>
                </c:pt>
                <c:pt idx="12">
                  <c:v>-9.5000003966128153E-3</c:v>
                </c:pt>
                <c:pt idx="13">
                  <c:v>-9.5000003597966783E-3</c:v>
                </c:pt>
                <c:pt idx="14">
                  <c:v>-9.5000003250071598E-3</c:v>
                </c:pt>
                <c:pt idx="15">
                  <c:v>-9.5000002923021284E-3</c:v>
                </c:pt>
                <c:pt idx="16">
                  <c:v>-9.5000002617125715E-3</c:v>
                </c:pt>
                <c:pt idx="17">
                  <c:v>-9.500000233245251E-3</c:v>
                </c:pt>
                <c:pt idx="18">
                  <c:v>-9.5000002068853541E-3</c:v>
                </c:pt>
                <c:pt idx="19">
                  <c:v>-9.5000001825991352E-3</c:v>
                </c:pt>
                <c:pt idx="20">
                  <c:v>-9.500000160336473E-3</c:v>
                </c:pt>
                <c:pt idx="21">
                  <c:v>-9.500000140033325E-3</c:v>
                </c:pt>
                <c:pt idx="22">
                  <c:v>-9.5000001216140658E-3</c:v>
                </c:pt>
                <c:pt idx="23">
                  <c:v>-9.5000001049936559E-3</c:v>
                </c:pt>
                <c:pt idx="24">
                  <c:v>-9.5000000900796588E-3</c:v>
                </c:pt>
                <c:pt idx="25">
                  <c:v>-9.500000076774099E-3</c:v>
                </c:pt>
                <c:pt idx="26">
                  <c:v>-9.5000000649751309E-3</c:v>
                </c:pt>
                <c:pt idx="27">
                  <c:v>-9.5000000545785515E-3</c:v>
                </c:pt>
                <c:pt idx="28">
                  <c:v>-9.5000000454791515E-3</c:v>
                </c:pt>
                <c:pt idx="29">
                  <c:v>-9.5000000375719072E-3</c:v>
                </c:pt>
                <c:pt idx="30">
                  <c:v>-9.5000000307530318E-3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7CA-4518-8EEF-5BFB4EE8BB11}"/>
            </c:ext>
          </c:extLst>
        </c:ser>
        <c:ser>
          <c:idx val="1"/>
          <c:order val="6"/>
          <c:tx>
            <c:v>Vinogradov ... 0.01 M</c:v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Vinogradov0.01M!$G$2:$G$22</c:f>
              <c:numCache>
                <c:formatCode>General</c:formatCode>
                <c:ptCount val="21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  <c:pt idx="5">
                  <c:v>22</c:v>
                </c:pt>
                <c:pt idx="6">
                  <c:v>39</c:v>
                </c:pt>
                <c:pt idx="7">
                  <c:v>78</c:v>
                </c:pt>
                <c:pt idx="8">
                  <c:v>118</c:v>
                </c:pt>
                <c:pt idx="9">
                  <c:v>147</c:v>
                </c:pt>
                <c:pt idx="10">
                  <c:v>21</c:v>
                </c:pt>
                <c:pt idx="11">
                  <c:v>43</c:v>
                </c:pt>
                <c:pt idx="12">
                  <c:v>82</c:v>
                </c:pt>
                <c:pt idx="13">
                  <c:v>118</c:v>
                </c:pt>
                <c:pt idx="14">
                  <c:v>146</c:v>
                </c:pt>
                <c:pt idx="15">
                  <c:v>22</c:v>
                </c:pt>
                <c:pt idx="16">
                  <c:v>38</c:v>
                </c:pt>
                <c:pt idx="17">
                  <c:v>70</c:v>
                </c:pt>
                <c:pt idx="18">
                  <c:v>78</c:v>
                </c:pt>
                <c:pt idx="19">
                  <c:v>118</c:v>
                </c:pt>
                <c:pt idx="20">
                  <c:v>147</c:v>
                </c:pt>
              </c:numCache>
            </c:numRef>
          </c:xVal>
          <c:yVal>
            <c:numRef>
              <c:f>Vinogradov0.01M!$I$2:$I$22</c:f>
              <c:numCache>
                <c:formatCode>General</c:formatCode>
                <c:ptCount val="21"/>
                <c:pt idx="0">
                  <c:v>-21.748319859999999</c:v>
                </c:pt>
                <c:pt idx="1">
                  <c:v>-15.60977027</c:v>
                </c:pt>
                <c:pt idx="2">
                  <c:v>-11.23004117</c:v>
                </c:pt>
                <c:pt idx="3">
                  <c:v>-10.66352348</c:v>
                </c:pt>
                <c:pt idx="4">
                  <c:v>-9.1503950110000005</c:v>
                </c:pt>
                <c:pt idx="5">
                  <c:v>-22.45545701</c:v>
                </c:pt>
                <c:pt idx="6">
                  <c:v>-18.361140049999999</c:v>
                </c:pt>
                <c:pt idx="7">
                  <c:v>-10.52608843</c:v>
                </c:pt>
                <c:pt idx="8">
                  <c:v>-12.053138710000001</c:v>
                </c:pt>
                <c:pt idx="9">
                  <c:v>-10.44771785</c:v>
                </c:pt>
                <c:pt idx="10">
                  <c:v>-21.32082647</c:v>
                </c:pt>
                <c:pt idx="11">
                  <c:v>-15.623324200000001</c:v>
                </c:pt>
                <c:pt idx="12">
                  <c:v>-11.48827146</c:v>
                </c:pt>
                <c:pt idx="13">
                  <c:v>-10.83271549</c:v>
                </c:pt>
                <c:pt idx="14">
                  <c:v>-9.9464604330000004</c:v>
                </c:pt>
                <c:pt idx="15">
                  <c:v>-21.66664389</c:v>
                </c:pt>
                <c:pt idx="16">
                  <c:v>-17.251154</c:v>
                </c:pt>
                <c:pt idx="17">
                  <c:v>-14.323206109999999</c:v>
                </c:pt>
                <c:pt idx="18">
                  <c:v>-13.74557624</c:v>
                </c:pt>
                <c:pt idx="19">
                  <c:v>-11.63812156</c:v>
                </c:pt>
                <c:pt idx="20">
                  <c:v>-10.05311345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7CA-4518-8EEF-5BFB4EE8BB11}"/>
            </c:ext>
          </c:extLst>
        </c:ser>
        <c:ser>
          <c:idx val="7"/>
          <c:order val="7"/>
          <c:tx>
            <c:v>Vinogradov ... 0.5 M</c:v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xVal>
            <c:numRef>
              <c:f>Vinogradov0.5M!$G$2:$G$21</c:f>
              <c:numCache>
                <c:formatCode>General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  <c:pt idx="5">
                  <c:v>21</c:v>
                </c:pt>
                <c:pt idx="6">
                  <c:v>40</c:v>
                </c:pt>
                <c:pt idx="7">
                  <c:v>76</c:v>
                </c:pt>
                <c:pt idx="8">
                  <c:v>120</c:v>
                </c:pt>
                <c:pt idx="9">
                  <c:v>150</c:v>
                </c:pt>
                <c:pt idx="10">
                  <c:v>22</c:v>
                </c:pt>
                <c:pt idx="11">
                  <c:v>39</c:v>
                </c:pt>
                <c:pt idx="12">
                  <c:v>77</c:v>
                </c:pt>
                <c:pt idx="13">
                  <c:v>118</c:v>
                </c:pt>
                <c:pt idx="14">
                  <c:v>147</c:v>
                </c:pt>
                <c:pt idx="15">
                  <c:v>21</c:v>
                </c:pt>
                <c:pt idx="16">
                  <c:v>40</c:v>
                </c:pt>
                <c:pt idx="17">
                  <c:v>76</c:v>
                </c:pt>
                <c:pt idx="18">
                  <c:v>120</c:v>
                </c:pt>
                <c:pt idx="19">
                  <c:v>150</c:v>
                </c:pt>
              </c:numCache>
            </c:numRef>
          </c:xVal>
          <c:yVal>
            <c:numRef>
              <c:f>Vinogradov0.5M!$I$2:$I$21</c:f>
              <c:numCache>
                <c:formatCode>General</c:formatCode>
                <c:ptCount val="20"/>
                <c:pt idx="0">
                  <c:v>-9.4009797899999992</c:v>
                </c:pt>
                <c:pt idx="1">
                  <c:v>-10.22648491</c:v>
                </c:pt>
                <c:pt idx="2">
                  <c:v>-8.7463933009999995</c:v>
                </c:pt>
                <c:pt idx="3">
                  <c:v>-10.53335994</c:v>
                </c:pt>
                <c:pt idx="4">
                  <c:v>-10.786559430000001</c:v>
                </c:pt>
                <c:pt idx="5">
                  <c:v>-8.4912075530000006</c:v>
                </c:pt>
                <c:pt idx="6">
                  <c:v>-9.4487042460000001</c:v>
                </c:pt>
                <c:pt idx="7">
                  <c:v>-9.175409428</c:v>
                </c:pt>
                <c:pt idx="8">
                  <c:v>-8.7296564080000003</c:v>
                </c:pt>
                <c:pt idx="9">
                  <c:v>-9.0924857669999994</c:v>
                </c:pt>
                <c:pt idx="10">
                  <c:v>-9.9376204329999993</c:v>
                </c:pt>
                <c:pt idx="11">
                  <c:v>-10.52158595</c:v>
                </c:pt>
                <c:pt idx="12">
                  <c:v>-10.56341799</c:v>
                </c:pt>
                <c:pt idx="13">
                  <c:v>-10.38665651</c:v>
                </c:pt>
                <c:pt idx="14">
                  <c:v>-9.6244044239999997</c:v>
                </c:pt>
                <c:pt idx="15">
                  <c:v>-9.6695792130000005</c:v>
                </c:pt>
                <c:pt idx="16">
                  <c:v>-9.9863065770000006</c:v>
                </c:pt>
                <c:pt idx="17">
                  <c:v>-10.26080046</c:v>
                </c:pt>
                <c:pt idx="18">
                  <c:v>-9.8050488639999998</c:v>
                </c:pt>
                <c:pt idx="19">
                  <c:v>-10.486528209999999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7CA-4518-8EEF-5BFB4EE8B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128416"/>
        <c:axId val="238128808"/>
      </c:scatterChart>
      <c:valAx>
        <c:axId val="238128416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28808"/>
        <c:crossesAt val="-50"/>
        <c:crossBetween val="midCat"/>
        <c:majorUnit val="20"/>
        <c:minorUnit val="10"/>
      </c:valAx>
      <c:valAx>
        <c:axId val="238128808"/>
        <c:scaling>
          <c:orientation val="minMax"/>
          <c:max val="0"/>
          <c:min val="-5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potential (mV)</a:t>
                </a:r>
              </a:p>
            </c:rich>
          </c:tx>
          <c:layout>
            <c:manualLayout>
              <c:xMode val="edge"/>
              <c:yMode val="edge"/>
              <c:x val="2.8703339579285496E-2"/>
              <c:y val="0.3009572004990562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28416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1615089313105684"/>
          <c:y val="0.48548343922985937"/>
          <c:w val="0.2086476673925205"/>
          <c:h val="0.37139896467620404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'1e-5M'!$M$5:$M$35</c:f>
              <c:numCache>
                <c:formatCode>0.000E+00</c:formatCode>
                <c:ptCount val="31"/>
                <c:pt idx="0">
                  <c:v>5.5925420717065695E-5</c:v>
                </c:pt>
                <c:pt idx="1">
                  <c:v>6.9372278028484146E-5</c:v>
                </c:pt>
                <c:pt idx="2">
                  <c:v>8.2744135339902594E-5</c:v>
                </c:pt>
                <c:pt idx="3">
                  <c:v>9.6040992651321027E-5</c:v>
                </c:pt>
                <c:pt idx="4">
                  <c:v>1.0926284996273946E-4</c:v>
                </c:pt>
                <c:pt idx="5">
                  <c:v>1.2240970727415791E-4</c:v>
                </c:pt>
                <c:pt idx="6">
                  <c:v>1.3548156458557636E-4</c:v>
                </c:pt>
                <c:pt idx="7">
                  <c:v>1.4847842189699481E-4</c:v>
                </c:pt>
                <c:pt idx="8">
                  <c:v>1.6140027920841325E-4</c:v>
                </c:pt>
                <c:pt idx="9">
                  <c:v>1.7424713651983169E-4</c:v>
                </c:pt>
                <c:pt idx="10">
                  <c:v>1.8701899383125013E-4</c:v>
                </c:pt>
                <c:pt idx="11">
                  <c:v>1.997158511426686E-4</c:v>
                </c:pt>
                <c:pt idx="12">
                  <c:v>2.1233770845408706E-4</c:v>
                </c:pt>
                <c:pt idx="13">
                  <c:v>2.2488456576550545E-4</c:v>
                </c:pt>
                <c:pt idx="14">
                  <c:v>2.373564230769239E-4</c:v>
                </c:pt>
                <c:pt idx="15">
                  <c:v>2.4975328038834234E-4</c:v>
                </c:pt>
                <c:pt idx="16">
                  <c:v>2.6207513769976079E-4</c:v>
                </c:pt>
                <c:pt idx="17">
                  <c:v>2.7432199501117925E-4</c:v>
                </c:pt>
                <c:pt idx="18">
                  <c:v>2.8649385232259761E-4</c:v>
                </c:pt>
                <c:pt idx="19">
                  <c:v>2.9859070963401615E-4</c:v>
                </c:pt>
                <c:pt idx="20">
                  <c:v>3.1061256694543454E-4</c:v>
                </c:pt>
                <c:pt idx="21">
                  <c:v>3.22559424256853E-4</c:v>
                </c:pt>
                <c:pt idx="22">
                  <c:v>3.3443128156827146E-4</c:v>
                </c:pt>
                <c:pt idx="23">
                  <c:v>3.4622813887968989E-4</c:v>
                </c:pt>
                <c:pt idx="24">
                  <c:v>3.5794999619110843E-4</c:v>
                </c:pt>
                <c:pt idx="25">
                  <c:v>3.6959685350252677E-4</c:v>
                </c:pt>
                <c:pt idx="26">
                  <c:v>3.8116871081394523E-4</c:v>
                </c:pt>
                <c:pt idx="27">
                  <c:v>3.926655681253637E-4</c:v>
                </c:pt>
                <c:pt idx="28">
                  <c:v>4.0408742543678218E-4</c:v>
                </c:pt>
                <c:pt idx="29">
                  <c:v>4.1543428274820057E-4</c:v>
                </c:pt>
                <c:pt idx="30">
                  <c:v>4.2670614005961896E-4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61-4A71-BEA7-9A5F5E2E1CC9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'0.0001M'!$M$5:$M$35</c:f>
              <c:numCache>
                <c:formatCode>0.000E+00</c:formatCode>
                <c:ptCount val="31"/>
                <c:pt idx="0">
                  <c:v>5.5764503961522338E-4</c:v>
                </c:pt>
                <c:pt idx="1">
                  <c:v>6.9177609665316221E-4</c:v>
                </c:pt>
                <c:pt idx="2">
                  <c:v>8.2515715369110105E-4</c:v>
                </c:pt>
                <c:pt idx="3">
                  <c:v>9.5778821072904001E-4</c:v>
                </c:pt>
                <c:pt idx="4">
                  <c:v>1.0896692677669787E-3</c:v>
                </c:pt>
                <c:pt idx="5">
                  <c:v>1.2208003248049173E-3</c:v>
                </c:pt>
                <c:pt idx="6">
                  <c:v>1.3511813818428565E-3</c:v>
                </c:pt>
                <c:pt idx="7">
                  <c:v>1.4808124388807952E-3</c:v>
                </c:pt>
                <c:pt idx="8">
                  <c:v>1.609693495918734E-3</c:v>
                </c:pt>
                <c:pt idx="9">
                  <c:v>1.7378245529566729E-3</c:v>
                </c:pt>
                <c:pt idx="10">
                  <c:v>1.8652056099946119E-3</c:v>
                </c:pt>
                <c:pt idx="11">
                  <c:v>1.991836667032551E-3</c:v>
                </c:pt>
                <c:pt idx="12">
                  <c:v>2.1177177240704901E-3</c:v>
                </c:pt>
                <c:pt idx="13">
                  <c:v>2.2428487811084279E-3</c:v>
                </c:pt>
                <c:pt idx="14">
                  <c:v>2.3672298381463668E-3</c:v>
                </c:pt>
                <c:pt idx="15">
                  <c:v>2.4908608951843057E-3</c:v>
                </c:pt>
                <c:pt idx="16">
                  <c:v>2.6137419522222448E-3</c:v>
                </c:pt>
                <c:pt idx="17">
                  <c:v>2.735873009260184E-3</c:v>
                </c:pt>
                <c:pt idx="18">
                  <c:v>2.857254066298122E-3</c:v>
                </c:pt>
                <c:pt idx="19">
                  <c:v>2.9778851233360614E-3</c:v>
                </c:pt>
                <c:pt idx="20">
                  <c:v>3.0977661803740001E-3</c:v>
                </c:pt>
                <c:pt idx="21">
                  <c:v>3.2168972374119389E-3</c:v>
                </c:pt>
                <c:pt idx="22">
                  <c:v>3.3352782944498782E-3</c:v>
                </c:pt>
                <c:pt idx="23">
                  <c:v>3.4529093514878159E-3</c:v>
                </c:pt>
                <c:pt idx="24">
                  <c:v>3.569790408525756E-3</c:v>
                </c:pt>
                <c:pt idx="25">
                  <c:v>3.6859214655636939E-3</c:v>
                </c:pt>
                <c:pt idx="26">
                  <c:v>3.8013025226016333E-3</c:v>
                </c:pt>
                <c:pt idx="27">
                  <c:v>3.9159335796395715E-3</c:v>
                </c:pt>
                <c:pt idx="28">
                  <c:v>4.0298146366775107E-3</c:v>
                </c:pt>
                <c:pt idx="29">
                  <c:v>4.14294569371545E-3</c:v>
                </c:pt>
                <c:pt idx="30">
                  <c:v>4.2553267507533877E-3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61-4A71-BEA7-9A5F5E2E1CC9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'0.001M'!$M$5:$M$35</c:f>
              <c:numCache>
                <c:formatCode>0.000E+00</c:formatCode>
                <c:ptCount val="31"/>
                <c:pt idx="0">
                  <c:v>5.5258718924492125E-3</c:v>
                </c:pt>
                <c:pt idx="1">
                  <c:v>6.8565738359925854E-3</c:v>
                </c:pt>
                <c:pt idx="2">
                  <c:v>8.1797757795359603E-3</c:v>
                </c:pt>
                <c:pt idx="3">
                  <c:v>9.495477723079333E-3</c:v>
                </c:pt>
                <c:pt idx="4">
                  <c:v>1.0803679666622705E-2</c:v>
                </c:pt>
                <c:pt idx="5">
                  <c:v>1.2104381610166078E-2</c:v>
                </c:pt>
                <c:pt idx="6">
                  <c:v>1.3397583553709453E-2</c:v>
                </c:pt>
                <c:pt idx="7">
                  <c:v>1.4683285497252825E-2</c:v>
                </c:pt>
                <c:pt idx="8">
                  <c:v>1.5961487440796198E-2</c:v>
                </c:pt>
                <c:pt idx="9">
                  <c:v>1.7232189384339569E-2</c:v>
                </c:pt>
                <c:pt idx="10">
                  <c:v>1.8495391327882946E-2</c:v>
                </c:pt>
                <c:pt idx="11">
                  <c:v>1.975109327142632E-2</c:v>
                </c:pt>
                <c:pt idx="12">
                  <c:v>2.0999295214969693E-2</c:v>
                </c:pt>
                <c:pt idx="13">
                  <c:v>2.2239997158513065E-2</c:v>
                </c:pt>
                <c:pt idx="14">
                  <c:v>2.3473199102056436E-2</c:v>
                </c:pt>
                <c:pt idx="15">
                  <c:v>2.4698901045599807E-2</c:v>
                </c:pt>
                <c:pt idx="16">
                  <c:v>2.5917102989143185E-2</c:v>
                </c:pt>
                <c:pt idx="17">
                  <c:v>2.7127804932686562E-2</c:v>
                </c:pt>
                <c:pt idx="18">
                  <c:v>2.8331006876229928E-2</c:v>
                </c:pt>
                <c:pt idx="19">
                  <c:v>2.9526708819773304E-2</c:v>
                </c:pt>
                <c:pt idx="20">
                  <c:v>3.0714910763316675E-2</c:v>
                </c:pt>
                <c:pt idx="21">
                  <c:v>3.1895612706860046E-2</c:v>
                </c:pt>
                <c:pt idx="22">
                  <c:v>3.3068814650403427E-2</c:v>
                </c:pt>
                <c:pt idx="23">
                  <c:v>3.4234516593946787E-2</c:v>
                </c:pt>
                <c:pt idx="24">
                  <c:v>3.5392718537490174E-2</c:v>
                </c:pt>
                <c:pt idx="25">
                  <c:v>3.6543420481033546E-2</c:v>
                </c:pt>
                <c:pt idx="26">
                  <c:v>3.7686622424576918E-2</c:v>
                </c:pt>
                <c:pt idx="27">
                  <c:v>3.882232436812029E-2</c:v>
                </c:pt>
                <c:pt idx="28">
                  <c:v>3.9950526311663667E-2</c:v>
                </c:pt>
                <c:pt idx="29">
                  <c:v>4.1071228255207037E-2</c:v>
                </c:pt>
                <c:pt idx="30">
                  <c:v>4.21844301987504E-2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61-4A71-BEA7-9A5F5E2E1CC9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'0.01M'!$M$5:$M$35</c:f>
              <c:numCache>
                <c:formatCode>0.000E+00</c:formatCode>
                <c:ptCount val="31"/>
                <c:pt idx="0">
                  <c:v>5.3689445858625409E-2</c:v>
                </c:pt>
                <c:pt idx="1">
                  <c:v>6.6667316917955743E-2</c:v>
                </c:pt>
                <c:pt idx="2">
                  <c:v>7.9570187977286086E-2</c:v>
                </c:pt>
                <c:pt idx="3">
                  <c:v>9.2398059036616423E-2</c:v>
                </c:pt>
                <c:pt idx="4">
                  <c:v>0.10515093009594674</c:v>
                </c:pt>
                <c:pt idx="5">
                  <c:v>0.11782880115527708</c:v>
                </c:pt>
                <c:pt idx="6">
                  <c:v>0.13043167221460741</c:v>
                </c:pt>
                <c:pt idx="7">
                  <c:v>0.14295954327393773</c:v>
                </c:pt>
                <c:pt idx="8">
                  <c:v>0.15541241433326805</c:v>
                </c:pt>
                <c:pt idx="9">
                  <c:v>0.16779028539259838</c:v>
                </c:pt>
                <c:pt idx="10">
                  <c:v>0.18009315645192875</c:v>
                </c:pt>
                <c:pt idx="11">
                  <c:v>0.1923210275112591</c:v>
                </c:pt>
                <c:pt idx="12">
                  <c:v>0.20447389857058945</c:v>
                </c:pt>
                <c:pt idx="13">
                  <c:v>0.2165517696299197</c:v>
                </c:pt>
                <c:pt idx="14">
                  <c:v>0.22855464068925005</c:v>
                </c:pt>
                <c:pt idx="15">
                  <c:v>0.2404825117485804</c:v>
                </c:pt>
                <c:pt idx="16">
                  <c:v>0.25233538280791074</c:v>
                </c:pt>
                <c:pt idx="17">
                  <c:v>0.2641132538672411</c:v>
                </c:pt>
                <c:pt idx="18">
                  <c:v>0.27581612492657137</c:v>
                </c:pt>
                <c:pt idx="19">
                  <c:v>0.2874439959859017</c:v>
                </c:pt>
                <c:pt idx="20">
                  <c:v>0.29899686704523204</c:v>
                </c:pt>
                <c:pt idx="21">
                  <c:v>0.31047473810456233</c:v>
                </c:pt>
                <c:pt idx="22">
                  <c:v>0.3218776091638928</c:v>
                </c:pt>
                <c:pt idx="23">
                  <c:v>0.33320548022322299</c:v>
                </c:pt>
                <c:pt idx="24">
                  <c:v>0.34445835128255348</c:v>
                </c:pt>
                <c:pt idx="25">
                  <c:v>0.35563622234188369</c:v>
                </c:pt>
                <c:pt idx="26">
                  <c:v>0.36673909340121408</c:v>
                </c:pt>
                <c:pt idx="27">
                  <c:v>0.37776696446054436</c:v>
                </c:pt>
                <c:pt idx="28">
                  <c:v>0.38871983551987477</c:v>
                </c:pt>
                <c:pt idx="29">
                  <c:v>0.39959770657920507</c:v>
                </c:pt>
                <c:pt idx="30">
                  <c:v>0.41040057763853538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561-4A71-BEA7-9A5F5E2E1CC9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'0.1M'!$M$5:$M$35</c:f>
              <c:numCache>
                <c:formatCode>0.000E+00</c:formatCode>
                <c:ptCount val="31"/>
                <c:pt idx="0">
                  <c:v>0.49010053563301115</c:v>
                </c:pt>
                <c:pt idx="1">
                  <c:v>0.61006441916620624</c:v>
                </c:pt>
                <c:pt idx="2">
                  <c:v>0.72927830269940142</c:v>
                </c:pt>
                <c:pt idx="3">
                  <c:v>0.84774218623259678</c:v>
                </c:pt>
                <c:pt idx="4">
                  <c:v>0.96545606976579179</c:v>
                </c:pt>
                <c:pt idx="5">
                  <c:v>1.0824199532989869</c:v>
                </c:pt>
                <c:pt idx="6">
                  <c:v>1.1986338368321823</c:v>
                </c:pt>
                <c:pt idx="7">
                  <c:v>1.3140977203653772</c:v>
                </c:pt>
                <c:pt idx="8">
                  <c:v>1.4288116038985723</c:v>
                </c:pt>
                <c:pt idx="9">
                  <c:v>1.5427754874317676</c:v>
                </c:pt>
                <c:pt idx="10">
                  <c:v>1.6559893709649629</c:v>
                </c:pt>
                <c:pt idx="11">
                  <c:v>1.7684532544981582</c:v>
                </c:pt>
                <c:pt idx="12">
                  <c:v>1.8801671380313536</c:v>
                </c:pt>
                <c:pt idx="13">
                  <c:v>1.9911310215645481</c:v>
                </c:pt>
                <c:pt idx="14">
                  <c:v>2.1013449050977431</c:v>
                </c:pt>
                <c:pt idx="15">
                  <c:v>2.2108087886309384</c:v>
                </c:pt>
                <c:pt idx="16">
                  <c:v>2.3195226721641342</c:v>
                </c:pt>
                <c:pt idx="17">
                  <c:v>2.4274865556973291</c:v>
                </c:pt>
                <c:pt idx="18">
                  <c:v>2.5347004392305239</c:v>
                </c:pt>
                <c:pt idx="19">
                  <c:v>2.6411643227637192</c:v>
                </c:pt>
                <c:pt idx="20">
                  <c:v>2.7468782062969144</c:v>
                </c:pt>
                <c:pt idx="21">
                  <c:v>2.8518420898301096</c:v>
                </c:pt>
                <c:pt idx="22">
                  <c:v>2.9560559733633052</c:v>
                </c:pt>
                <c:pt idx="23">
                  <c:v>3.0595198568964994</c:v>
                </c:pt>
                <c:pt idx="24">
                  <c:v>3.1622337404296958</c:v>
                </c:pt>
                <c:pt idx="25">
                  <c:v>3.26419762396289</c:v>
                </c:pt>
                <c:pt idx="26">
                  <c:v>3.3654115074960855</c:v>
                </c:pt>
                <c:pt idx="27">
                  <c:v>3.4658753910292806</c:v>
                </c:pt>
                <c:pt idx="28">
                  <c:v>3.565589274562476</c:v>
                </c:pt>
                <c:pt idx="29">
                  <c:v>3.6645531580956714</c:v>
                </c:pt>
                <c:pt idx="30">
                  <c:v>3.7627670416288654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561-4A71-BEA7-9A5F5E2E1CC9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'0.5M'!$M$5:$M$35</c:f>
              <c:numCache>
                <c:formatCode>0.000E+00</c:formatCode>
                <c:ptCount val="31"/>
                <c:pt idx="0">
                  <c:v>2.0752793446332869</c:v>
                </c:pt>
                <c:pt idx="1">
                  <c:v>2.5963972580203531</c:v>
                </c:pt>
                <c:pt idx="2">
                  <c:v>3.1137651714074202</c:v>
                </c:pt>
                <c:pt idx="3">
                  <c:v>3.627383084794487</c:v>
                </c:pt>
                <c:pt idx="4">
                  <c:v>4.1372509981815533</c:v>
                </c:pt>
                <c:pt idx="5">
                  <c:v>4.6433689115686194</c:v>
                </c:pt>
                <c:pt idx="6">
                  <c:v>5.1457368249556872</c:v>
                </c:pt>
                <c:pt idx="7">
                  <c:v>5.644354738342753</c:v>
                </c:pt>
                <c:pt idx="8">
                  <c:v>6.1392226517298187</c:v>
                </c:pt>
                <c:pt idx="9">
                  <c:v>6.6303405651168852</c:v>
                </c:pt>
                <c:pt idx="10">
                  <c:v>7.1177084785039533</c:v>
                </c:pt>
                <c:pt idx="11">
                  <c:v>7.6013263918910212</c:v>
                </c:pt>
                <c:pt idx="12">
                  <c:v>8.0811943052780872</c:v>
                </c:pt>
                <c:pt idx="13">
                  <c:v>8.5573122186651513</c:v>
                </c:pt>
                <c:pt idx="14">
                  <c:v>9.0296801320522189</c:v>
                </c:pt>
                <c:pt idx="15">
                  <c:v>9.4982980454392862</c:v>
                </c:pt>
                <c:pt idx="16">
                  <c:v>9.9631659588263517</c:v>
                </c:pt>
                <c:pt idx="17">
                  <c:v>10.424283872213421</c:v>
                </c:pt>
                <c:pt idx="18">
                  <c:v>10.881651785600484</c:v>
                </c:pt>
                <c:pt idx="19">
                  <c:v>11.335269698987553</c:v>
                </c:pt>
                <c:pt idx="20">
                  <c:v>11.785137612374619</c:v>
                </c:pt>
                <c:pt idx="21">
                  <c:v>12.231255525761684</c:v>
                </c:pt>
                <c:pt idx="22">
                  <c:v>12.673623439148754</c:v>
                </c:pt>
                <c:pt idx="23">
                  <c:v>13.112241352535817</c:v>
                </c:pt>
                <c:pt idx="24">
                  <c:v>13.547109265922888</c:v>
                </c:pt>
                <c:pt idx="25">
                  <c:v>13.97822717930995</c:v>
                </c:pt>
                <c:pt idx="26">
                  <c:v>14.40559509269702</c:v>
                </c:pt>
                <c:pt idx="27">
                  <c:v>14.829213006084085</c:v>
                </c:pt>
                <c:pt idx="28">
                  <c:v>15.249080919471155</c:v>
                </c:pt>
                <c:pt idx="29">
                  <c:v>15.66519883285822</c:v>
                </c:pt>
                <c:pt idx="30">
                  <c:v>16.077566746245282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561-4A71-BEA7-9A5F5E2E1CC9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'1M'!$M$5:$M$35</c:f>
              <c:numCache>
                <c:formatCode>0.000E+00</c:formatCode>
                <c:ptCount val="31"/>
                <c:pt idx="0">
                  <c:v>3.6560131795716639</c:v>
                </c:pt>
                <c:pt idx="1">
                  <c:v>4.5945201812191101</c:v>
                </c:pt>
                <c:pt idx="2">
                  <c:v>5.5255271828665578</c:v>
                </c:pt>
                <c:pt idx="3">
                  <c:v>6.4490341845140042</c:v>
                </c:pt>
                <c:pt idx="4">
                  <c:v>7.3650411861614486</c:v>
                </c:pt>
                <c:pt idx="5">
                  <c:v>8.2735481878088954</c:v>
                </c:pt>
                <c:pt idx="6">
                  <c:v>9.1745551894563437</c:v>
                </c:pt>
                <c:pt idx="7">
                  <c:v>10.06806219110379</c:v>
                </c:pt>
                <c:pt idx="8">
                  <c:v>10.954069192751234</c:v>
                </c:pt>
                <c:pt idx="9">
                  <c:v>11.832576194398682</c:v>
                </c:pt>
                <c:pt idx="10">
                  <c:v>12.703583196046129</c:v>
                </c:pt>
                <c:pt idx="11">
                  <c:v>13.567090197693577</c:v>
                </c:pt>
                <c:pt idx="12">
                  <c:v>14.423097199341026</c:v>
                </c:pt>
                <c:pt idx="13">
                  <c:v>15.271604200988467</c:v>
                </c:pt>
                <c:pt idx="14">
                  <c:v>16.112611202635915</c:v>
                </c:pt>
                <c:pt idx="15">
                  <c:v>16.946118204283362</c:v>
                </c:pt>
                <c:pt idx="16">
                  <c:v>17.772125205930809</c:v>
                </c:pt>
                <c:pt idx="17">
                  <c:v>18.59063220757826</c:v>
                </c:pt>
                <c:pt idx="18">
                  <c:v>19.401639209225699</c:v>
                </c:pt>
                <c:pt idx="19">
                  <c:v>20.205146210873146</c:v>
                </c:pt>
                <c:pt idx="20">
                  <c:v>21.001153212520592</c:v>
                </c:pt>
                <c:pt idx="21">
                  <c:v>21.789660214168038</c:v>
                </c:pt>
                <c:pt idx="22">
                  <c:v>22.57066721581549</c:v>
                </c:pt>
                <c:pt idx="23">
                  <c:v>23.344174217462928</c:v>
                </c:pt>
                <c:pt idx="24">
                  <c:v>24.110181219110387</c:v>
                </c:pt>
                <c:pt idx="25">
                  <c:v>24.868688220757825</c:v>
                </c:pt>
                <c:pt idx="26">
                  <c:v>25.619695222405277</c:v>
                </c:pt>
                <c:pt idx="27">
                  <c:v>26.363202224052721</c:v>
                </c:pt>
                <c:pt idx="28">
                  <c:v>27.099209225700172</c:v>
                </c:pt>
                <c:pt idx="29">
                  <c:v>27.827716227347615</c:v>
                </c:pt>
                <c:pt idx="30">
                  <c:v>28.548723228995058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561-4A71-BEA7-9A5F5E2E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129592"/>
        <c:axId val="238129984"/>
      </c:scatterChart>
      <c:valAx>
        <c:axId val="238129592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29984"/>
        <c:crossesAt val="0"/>
        <c:crossBetween val="midCat"/>
        <c:majorUnit val="20"/>
        <c:minorUnit val="10"/>
      </c:valAx>
      <c:valAx>
        <c:axId val="238129984"/>
        <c:scaling>
          <c:logBase val="10"/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conductivity (S/m)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39579285496E-2"/>
              <c:y val="0.175407333653397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29592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344722797023602"/>
          <c:y val="2.9962804113133047E-2"/>
          <c:w val="0.11477200269488273"/>
          <c:h val="0.24206232322766322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820078621674801"/>
          <c:y val="2.0424744204271771E-2"/>
          <c:w val="0.61311549751710148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Vinogradov0.01M!$F$2:$F$6</c:f>
              <c:numCache>
                <c:formatCode>General</c:formatCode>
                <c:ptCount val="5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</c:numCache>
            </c:numRef>
          </c:xVal>
          <c:yVal>
            <c:numRef>
              <c:f>Vinogradov0.01M!$K$2:$K$6</c:f>
              <c:numCache>
                <c:formatCode>General</c:formatCode>
                <c:ptCount val="5"/>
                <c:pt idx="0">
                  <c:v>43.8</c:v>
                </c:pt>
                <c:pt idx="1">
                  <c:v>39.4</c:v>
                </c:pt>
                <c:pt idx="2">
                  <c:v>37.9</c:v>
                </c:pt>
                <c:pt idx="3">
                  <c:v>36.5</c:v>
                </c:pt>
                <c:pt idx="4">
                  <c:v>36.1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AB-4A40-AEF6-F22DE1DCDA26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Vinogradov0.01M!$F$7:$F$11</c:f>
              <c:numCache>
                <c:formatCode>General</c:formatCode>
                <c:ptCount val="5"/>
                <c:pt idx="0">
                  <c:v>6.73</c:v>
                </c:pt>
                <c:pt idx="1">
                  <c:v>6.36</c:v>
                </c:pt>
                <c:pt idx="2">
                  <c:v>5.96</c:v>
                </c:pt>
              </c:numCache>
            </c:numRef>
          </c:xVal>
          <c:yVal>
            <c:numRef>
              <c:f>Vinogradov0.01M!$K$7:$K$12</c:f>
              <c:numCache>
                <c:formatCode>General</c:formatCode>
                <c:ptCount val="6"/>
                <c:pt idx="0">
                  <c:v>42</c:v>
                </c:pt>
                <c:pt idx="1">
                  <c:v>36.4</c:v>
                </c:pt>
                <c:pt idx="2">
                  <c:v>26.7</c:v>
                </c:pt>
                <c:pt idx="3">
                  <c:v>22.3</c:v>
                </c:pt>
                <c:pt idx="4">
                  <c:v>21</c:v>
                </c:pt>
                <c:pt idx="5">
                  <c:v>72.3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AB-4A40-AEF6-F22DE1DCDA26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5"/>
            <c:spPr>
              <a:ln w="19050"/>
            </c:spPr>
          </c:errBars>
          <c:xVal>
            <c:numRef>
              <c:f>Vinogradov0.01M!$F$12:$F$16</c:f>
              <c:numCache>
                <c:formatCode>General</c:formatCode>
                <c:ptCount val="5"/>
                <c:pt idx="0">
                  <c:v>6.75</c:v>
                </c:pt>
                <c:pt idx="1">
                  <c:v>6.33</c:v>
                </c:pt>
                <c:pt idx="2">
                  <c:v>5.95</c:v>
                </c:pt>
              </c:numCache>
            </c:numRef>
          </c:xVal>
          <c:yVal>
            <c:numRef>
              <c:f>Vinogradov0.01M!$K$12:$K$16</c:f>
              <c:numCache>
                <c:formatCode>General</c:formatCode>
                <c:ptCount val="5"/>
                <c:pt idx="0">
                  <c:v>72.3</c:v>
                </c:pt>
                <c:pt idx="1">
                  <c:v>59.928600000000003</c:v>
                </c:pt>
                <c:pt idx="2">
                  <c:v>45.753399999999999</c:v>
                </c:pt>
                <c:pt idx="3">
                  <c:v>44.090800000000002</c:v>
                </c:pt>
                <c:pt idx="4">
                  <c:v>43.553699999999999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AB-4A40-AEF6-F22DE1DCDA26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0"/>
            <c:spPr>
              <a:ln w="19050"/>
            </c:spPr>
          </c:errBars>
          <c:xVal>
            <c:numRef>
              <c:f>Vinogradov0.01M!$F$17:$F$22</c:f>
              <c:numCache>
                <c:formatCode>General</c:formatCode>
                <c:ptCount val="6"/>
                <c:pt idx="0">
                  <c:v>6.71</c:v>
                </c:pt>
                <c:pt idx="1">
                  <c:v>6.38</c:v>
                </c:pt>
                <c:pt idx="2">
                  <c:v>6.03</c:v>
                </c:pt>
                <c:pt idx="3">
                  <c:v>5.83</c:v>
                </c:pt>
              </c:numCache>
            </c:numRef>
          </c:xVal>
          <c:yVal>
            <c:numRef>
              <c:f>Vinogradov0.01M!$K$17:$K$22</c:f>
              <c:numCache>
                <c:formatCode>General</c:formatCode>
                <c:ptCount val="6"/>
                <c:pt idx="0">
                  <c:v>223.2</c:v>
                </c:pt>
                <c:pt idx="1">
                  <c:v>141.4</c:v>
                </c:pt>
                <c:pt idx="2">
                  <c:v>93.5</c:v>
                </c:pt>
                <c:pt idx="3">
                  <c:v>85.35</c:v>
                </c:pt>
                <c:pt idx="4">
                  <c:v>83.3</c:v>
                </c:pt>
                <c:pt idx="5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0AB-4A40-AEF6-F22DE1DCDA26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0AB-4A40-AEF6-F22DE1DCDA26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Vinogradov0.5M!$F$2:$F$6</c:f>
              <c:numCache>
                <c:formatCode>General</c:formatCode>
                <c:ptCount val="5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</c:numCache>
            </c:numRef>
          </c:xVal>
          <c:yVal>
            <c:numRef>
              <c:f>Vinogradov0.5M!$K$2:$K$6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2.8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0AB-4A40-AEF6-F22DE1DCDA26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Vinogradov0.5M!$F$7:$F$11</c:f>
              <c:numCache>
                <c:formatCode>General</c:formatCode>
                <c:ptCount val="5"/>
                <c:pt idx="0">
                  <c:v>7.23</c:v>
                </c:pt>
                <c:pt idx="1">
                  <c:v>7.3</c:v>
                </c:pt>
                <c:pt idx="2">
                  <c:v>7.12</c:v>
                </c:pt>
              </c:numCache>
            </c:numRef>
          </c:xVal>
          <c:yVal>
            <c:numRef>
              <c:f>Vinogradov0.5M!$K$7:$K$11</c:f>
              <c:numCache>
                <c:formatCode>General</c:formatCode>
                <c:ptCount val="5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2.2999999999999998</c:v>
                </c:pt>
                <c:pt idx="4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0AB-4A40-AEF6-F22DE1DCDA26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Vinogradov0.5M!$F$12:$F$16</c:f>
              <c:numCache>
                <c:formatCode>General</c:formatCode>
                <c:ptCount val="5"/>
                <c:pt idx="0">
                  <c:v>7.54</c:v>
                </c:pt>
                <c:pt idx="1">
                  <c:v>7.48</c:v>
                </c:pt>
                <c:pt idx="2">
                  <c:v>7.38</c:v>
                </c:pt>
              </c:numCache>
            </c:numRef>
          </c:xVal>
          <c:yVal>
            <c:numRef>
              <c:f>Vinogradov0.5M!$K$12:$K$16</c:f>
              <c:numCache>
                <c:formatCode>General</c:formatCode>
                <c:ptCount val="5"/>
                <c:pt idx="0">
                  <c:v>2.5</c:v>
                </c:pt>
                <c:pt idx="1">
                  <c:v>2.6</c:v>
                </c:pt>
                <c:pt idx="2">
                  <c:v>2.5</c:v>
                </c:pt>
                <c:pt idx="3">
                  <c:v>2.6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0AB-4A40-AEF6-F22DE1DCDA26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0.5"/>
            <c:spPr>
              <a:ln w="19050"/>
            </c:spPr>
          </c:errBars>
          <c:xVal>
            <c:numRef>
              <c:f>Vinogradov0.5M!$F$17:$F$21</c:f>
              <c:numCache>
                <c:formatCode>General</c:formatCode>
                <c:ptCount val="5"/>
                <c:pt idx="0">
                  <c:v>7.31</c:v>
                </c:pt>
                <c:pt idx="1">
                  <c:v>7.27</c:v>
                </c:pt>
                <c:pt idx="2">
                  <c:v>7.14</c:v>
                </c:pt>
              </c:numCache>
            </c:numRef>
          </c:xVal>
          <c:yVal>
            <c:numRef>
              <c:f>Vinogradov0.5M!$K$17:$K$21</c:f>
              <c:numCache>
                <c:formatCode>General</c:formatCode>
                <c:ptCount val="5"/>
                <c:pt idx="0">
                  <c:v>2.7</c:v>
                </c:pt>
                <c:pt idx="1">
                  <c:v>3.1</c:v>
                </c:pt>
                <c:pt idx="2">
                  <c:v>3</c:v>
                </c:pt>
                <c:pt idx="3">
                  <c:v>3.1</c:v>
                </c:pt>
                <c:pt idx="4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0AB-4A40-AEF6-F22DE1DCDA26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0AB-4A40-AEF6-F22DE1DCD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07152"/>
        <c:axId val="202579752"/>
      </c:scatterChart>
      <c:valAx>
        <c:axId val="202607152"/>
        <c:scaling>
          <c:orientation val="minMax"/>
          <c:max val="7.6"/>
          <c:min val="5.8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pH (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2579752"/>
        <c:crossesAt val="-40"/>
        <c:crossBetween val="midCat"/>
        <c:majorUnit val="0.2"/>
      </c:valAx>
      <c:valAx>
        <c:axId val="202579752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- Streaming  potential coefficient</a:t>
                </a:r>
                <a:r>
                  <a:rPr lang="en-US" sz="24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 (mV/MPa)</a:t>
                </a:r>
              </a:p>
            </c:rich>
          </c:tx>
          <c:layout>
            <c:manualLayout>
              <c:xMode val="edge"/>
              <c:yMode val="edge"/>
              <c:x val="2.3976511184940305E-2"/>
              <c:y val="0.1631997300588843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2607152"/>
        <c:crossesAt val="5.5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114258416062176"/>
          <c:y val="2.1346975461324569E-2"/>
          <c:w val="0.22021883771721371"/>
          <c:h val="0.48463074505149673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'1e-5M'!$M$5:$M$35</c:f>
              <c:numCache>
                <c:formatCode>0.000E+00</c:formatCode>
                <c:ptCount val="31"/>
                <c:pt idx="0">
                  <c:v>5.5925420717065695E-5</c:v>
                </c:pt>
                <c:pt idx="1">
                  <c:v>6.9372278028484146E-5</c:v>
                </c:pt>
                <c:pt idx="2">
                  <c:v>8.2744135339902594E-5</c:v>
                </c:pt>
                <c:pt idx="3">
                  <c:v>9.6040992651321027E-5</c:v>
                </c:pt>
                <c:pt idx="4">
                  <c:v>1.0926284996273946E-4</c:v>
                </c:pt>
                <c:pt idx="5">
                  <c:v>1.2240970727415791E-4</c:v>
                </c:pt>
                <c:pt idx="6">
                  <c:v>1.3548156458557636E-4</c:v>
                </c:pt>
                <c:pt idx="7">
                  <c:v>1.4847842189699481E-4</c:v>
                </c:pt>
                <c:pt idx="8">
                  <c:v>1.6140027920841325E-4</c:v>
                </c:pt>
                <c:pt idx="9">
                  <c:v>1.7424713651983169E-4</c:v>
                </c:pt>
                <c:pt idx="10">
                  <c:v>1.8701899383125013E-4</c:v>
                </c:pt>
                <c:pt idx="11">
                  <c:v>1.997158511426686E-4</c:v>
                </c:pt>
                <c:pt idx="12">
                  <c:v>2.1233770845408706E-4</c:v>
                </c:pt>
                <c:pt idx="13">
                  <c:v>2.2488456576550545E-4</c:v>
                </c:pt>
                <c:pt idx="14">
                  <c:v>2.373564230769239E-4</c:v>
                </c:pt>
                <c:pt idx="15">
                  <c:v>2.4975328038834234E-4</c:v>
                </c:pt>
                <c:pt idx="16">
                  <c:v>2.6207513769976079E-4</c:v>
                </c:pt>
                <c:pt idx="17">
                  <c:v>2.7432199501117925E-4</c:v>
                </c:pt>
                <c:pt idx="18">
                  <c:v>2.8649385232259761E-4</c:v>
                </c:pt>
                <c:pt idx="19">
                  <c:v>2.9859070963401615E-4</c:v>
                </c:pt>
                <c:pt idx="20">
                  <c:v>3.1061256694543454E-4</c:v>
                </c:pt>
                <c:pt idx="21">
                  <c:v>3.22559424256853E-4</c:v>
                </c:pt>
                <c:pt idx="22">
                  <c:v>3.3443128156827146E-4</c:v>
                </c:pt>
                <c:pt idx="23">
                  <c:v>3.4622813887968989E-4</c:v>
                </c:pt>
                <c:pt idx="24">
                  <c:v>3.5794999619110843E-4</c:v>
                </c:pt>
                <c:pt idx="25">
                  <c:v>3.6959685350252677E-4</c:v>
                </c:pt>
                <c:pt idx="26">
                  <c:v>3.8116871081394523E-4</c:v>
                </c:pt>
                <c:pt idx="27">
                  <c:v>3.926655681253637E-4</c:v>
                </c:pt>
                <c:pt idx="28">
                  <c:v>4.0408742543678218E-4</c:v>
                </c:pt>
                <c:pt idx="29">
                  <c:v>4.1543428274820057E-4</c:v>
                </c:pt>
                <c:pt idx="30">
                  <c:v>4.2670614005961896E-4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10-406B-AF1D-FF7225F724B3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'0.0001M'!$M$5:$M$35</c:f>
              <c:numCache>
                <c:formatCode>0.000E+00</c:formatCode>
                <c:ptCount val="31"/>
                <c:pt idx="0">
                  <c:v>5.5764503961522338E-4</c:v>
                </c:pt>
                <c:pt idx="1">
                  <c:v>6.9177609665316221E-4</c:v>
                </c:pt>
                <c:pt idx="2">
                  <c:v>8.2515715369110105E-4</c:v>
                </c:pt>
                <c:pt idx="3">
                  <c:v>9.5778821072904001E-4</c:v>
                </c:pt>
                <c:pt idx="4">
                  <c:v>1.0896692677669787E-3</c:v>
                </c:pt>
                <c:pt idx="5">
                  <c:v>1.2208003248049173E-3</c:v>
                </c:pt>
                <c:pt idx="6">
                  <c:v>1.3511813818428565E-3</c:v>
                </c:pt>
                <c:pt idx="7">
                  <c:v>1.4808124388807952E-3</c:v>
                </c:pt>
                <c:pt idx="8">
                  <c:v>1.609693495918734E-3</c:v>
                </c:pt>
                <c:pt idx="9">
                  <c:v>1.7378245529566729E-3</c:v>
                </c:pt>
                <c:pt idx="10">
                  <c:v>1.8652056099946119E-3</c:v>
                </c:pt>
                <c:pt idx="11">
                  <c:v>1.991836667032551E-3</c:v>
                </c:pt>
                <c:pt idx="12">
                  <c:v>2.1177177240704901E-3</c:v>
                </c:pt>
                <c:pt idx="13">
                  <c:v>2.2428487811084279E-3</c:v>
                </c:pt>
                <c:pt idx="14">
                  <c:v>2.3672298381463668E-3</c:v>
                </c:pt>
                <c:pt idx="15">
                  <c:v>2.4908608951843057E-3</c:v>
                </c:pt>
                <c:pt idx="16">
                  <c:v>2.6137419522222448E-3</c:v>
                </c:pt>
                <c:pt idx="17">
                  <c:v>2.735873009260184E-3</c:v>
                </c:pt>
                <c:pt idx="18">
                  <c:v>2.857254066298122E-3</c:v>
                </c:pt>
                <c:pt idx="19">
                  <c:v>2.9778851233360614E-3</c:v>
                </c:pt>
                <c:pt idx="20">
                  <c:v>3.0977661803740001E-3</c:v>
                </c:pt>
                <c:pt idx="21">
                  <c:v>3.2168972374119389E-3</c:v>
                </c:pt>
                <c:pt idx="22">
                  <c:v>3.3352782944498782E-3</c:v>
                </c:pt>
                <c:pt idx="23">
                  <c:v>3.4529093514878159E-3</c:v>
                </c:pt>
                <c:pt idx="24">
                  <c:v>3.569790408525756E-3</c:v>
                </c:pt>
                <c:pt idx="25">
                  <c:v>3.6859214655636939E-3</c:v>
                </c:pt>
                <c:pt idx="26">
                  <c:v>3.8013025226016333E-3</c:v>
                </c:pt>
                <c:pt idx="27">
                  <c:v>3.9159335796395715E-3</c:v>
                </c:pt>
                <c:pt idx="28">
                  <c:v>4.0298146366775107E-3</c:v>
                </c:pt>
                <c:pt idx="29">
                  <c:v>4.14294569371545E-3</c:v>
                </c:pt>
                <c:pt idx="30">
                  <c:v>4.2553267507533877E-3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010-406B-AF1D-FF7225F724B3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'0.001M'!$M$5:$M$35</c:f>
              <c:numCache>
                <c:formatCode>0.000E+00</c:formatCode>
                <c:ptCount val="31"/>
                <c:pt idx="0">
                  <c:v>5.5258718924492125E-3</c:v>
                </c:pt>
                <c:pt idx="1">
                  <c:v>6.8565738359925854E-3</c:v>
                </c:pt>
                <c:pt idx="2">
                  <c:v>8.1797757795359603E-3</c:v>
                </c:pt>
                <c:pt idx="3">
                  <c:v>9.495477723079333E-3</c:v>
                </c:pt>
                <c:pt idx="4">
                  <c:v>1.0803679666622705E-2</c:v>
                </c:pt>
                <c:pt idx="5">
                  <c:v>1.2104381610166078E-2</c:v>
                </c:pt>
                <c:pt idx="6">
                  <c:v>1.3397583553709453E-2</c:v>
                </c:pt>
                <c:pt idx="7">
                  <c:v>1.4683285497252825E-2</c:v>
                </c:pt>
                <c:pt idx="8">
                  <c:v>1.5961487440796198E-2</c:v>
                </c:pt>
                <c:pt idx="9">
                  <c:v>1.7232189384339569E-2</c:v>
                </c:pt>
                <c:pt idx="10">
                  <c:v>1.8495391327882946E-2</c:v>
                </c:pt>
                <c:pt idx="11">
                  <c:v>1.975109327142632E-2</c:v>
                </c:pt>
                <c:pt idx="12">
                  <c:v>2.0999295214969693E-2</c:v>
                </c:pt>
                <c:pt idx="13">
                  <c:v>2.2239997158513065E-2</c:v>
                </c:pt>
                <c:pt idx="14">
                  <c:v>2.3473199102056436E-2</c:v>
                </c:pt>
                <c:pt idx="15">
                  <c:v>2.4698901045599807E-2</c:v>
                </c:pt>
                <c:pt idx="16">
                  <c:v>2.5917102989143185E-2</c:v>
                </c:pt>
                <c:pt idx="17">
                  <c:v>2.7127804932686562E-2</c:v>
                </c:pt>
                <c:pt idx="18">
                  <c:v>2.8331006876229928E-2</c:v>
                </c:pt>
                <c:pt idx="19">
                  <c:v>2.9526708819773304E-2</c:v>
                </c:pt>
                <c:pt idx="20">
                  <c:v>3.0714910763316675E-2</c:v>
                </c:pt>
                <c:pt idx="21">
                  <c:v>3.1895612706860046E-2</c:v>
                </c:pt>
                <c:pt idx="22">
                  <c:v>3.3068814650403427E-2</c:v>
                </c:pt>
                <c:pt idx="23">
                  <c:v>3.4234516593946787E-2</c:v>
                </c:pt>
                <c:pt idx="24">
                  <c:v>3.5392718537490174E-2</c:v>
                </c:pt>
                <c:pt idx="25">
                  <c:v>3.6543420481033546E-2</c:v>
                </c:pt>
                <c:pt idx="26">
                  <c:v>3.7686622424576918E-2</c:v>
                </c:pt>
                <c:pt idx="27">
                  <c:v>3.882232436812029E-2</c:v>
                </c:pt>
                <c:pt idx="28">
                  <c:v>3.9950526311663667E-2</c:v>
                </c:pt>
                <c:pt idx="29">
                  <c:v>4.1071228255207037E-2</c:v>
                </c:pt>
                <c:pt idx="30">
                  <c:v>4.21844301987504E-2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10-406B-AF1D-FF7225F724B3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'0.01M'!$M$5:$M$35</c:f>
              <c:numCache>
                <c:formatCode>0.000E+00</c:formatCode>
                <c:ptCount val="31"/>
                <c:pt idx="0">
                  <c:v>5.3689445858625409E-2</c:v>
                </c:pt>
                <c:pt idx="1">
                  <c:v>6.6667316917955743E-2</c:v>
                </c:pt>
                <c:pt idx="2">
                  <c:v>7.9570187977286086E-2</c:v>
                </c:pt>
                <c:pt idx="3">
                  <c:v>9.2398059036616423E-2</c:v>
                </c:pt>
                <c:pt idx="4">
                  <c:v>0.10515093009594674</c:v>
                </c:pt>
                <c:pt idx="5">
                  <c:v>0.11782880115527708</c:v>
                </c:pt>
                <c:pt idx="6">
                  <c:v>0.13043167221460741</c:v>
                </c:pt>
                <c:pt idx="7">
                  <c:v>0.14295954327393773</c:v>
                </c:pt>
                <c:pt idx="8">
                  <c:v>0.15541241433326805</c:v>
                </c:pt>
                <c:pt idx="9">
                  <c:v>0.16779028539259838</c:v>
                </c:pt>
                <c:pt idx="10">
                  <c:v>0.18009315645192875</c:v>
                </c:pt>
                <c:pt idx="11">
                  <c:v>0.1923210275112591</c:v>
                </c:pt>
                <c:pt idx="12">
                  <c:v>0.20447389857058945</c:v>
                </c:pt>
                <c:pt idx="13">
                  <c:v>0.2165517696299197</c:v>
                </c:pt>
                <c:pt idx="14">
                  <c:v>0.22855464068925005</c:v>
                </c:pt>
                <c:pt idx="15">
                  <c:v>0.2404825117485804</c:v>
                </c:pt>
                <c:pt idx="16">
                  <c:v>0.25233538280791074</c:v>
                </c:pt>
                <c:pt idx="17">
                  <c:v>0.2641132538672411</c:v>
                </c:pt>
                <c:pt idx="18">
                  <c:v>0.27581612492657137</c:v>
                </c:pt>
                <c:pt idx="19">
                  <c:v>0.2874439959859017</c:v>
                </c:pt>
                <c:pt idx="20">
                  <c:v>0.29899686704523204</c:v>
                </c:pt>
                <c:pt idx="21">
                  <c:v>0.31047473810456233</c:v>
                </c:pt>
                <c:pt idx="22">
                  <c:v>0.3218776091638928</c:v>
                </c:pt>
                <c:pt idx="23">
                  <c:v>0.33320548022322299</c:v>
                </c:pt>
                <c:pt idx="24">
                  <c:v>0.34445835128255348</c:v>
                </c:pt>
                <c:pt idx="25">
                  <c:v>0.35563622234188369</c:v>
                </c:pt>
                <c:pt idx="26">
                  <c:v>0.36673909340121408</c:v>
                </c:pt>
                <c:pt idx="27">
                  <c:v>0.37776696446054436</c:v>
                </c:pt>
                <c:pt idx="28">
                  <c:v>0.38871983551987477</c:v>
                </c:pt>
                <c:pt idx="29">
                  <c:v>0.39959770657920507</c:v>
                </c:pt>
                <c:pt idx="30">
                  <c:v>0.41040057763853538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010-406B-AF1D-FF7225F724B3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'0.1M'!$M$5:$M$35</c:f>
              <c:numCache>
                <c:formatCode>0.000E+00</c:formatCode>
                <c:ptCount val="31"/>
                <c:pt idx="0">
                  <c:v>0.49010053563301115</c:v>
                </c:pt>
                <c:pt idx="1">
                  <c:v>0.61006441916620624</c:v>
                </c:pt>
                <c:pt idx="2">
                  <c:v>0.72927830269940142</c:v>
                </c:pt>
                <c:pt idx="3">
                  <c:v>0.84774218623259678</c:v>
                </c:pt>
                <c:pt idx="4">
                  <c:v>0.96545606976579179</c:v>
                </c:pt>
                <c:pt idx="5">
                  <c:v>1.0824199532989869</c:v>
                </c:pt>
                <c:pt idx="6">
                  <c:v>1.1986338368321823</c:v>
                </c:pt>
                <c:pt idx="7">
                  <c:v>1.3140977203653772</c:v>
                </c:pt>
                <c:pt idx="8">
                  <c:v>1.4288116038985723</c:v>
                </c:pt>
                <c:pt idx="9">
                  <c:v>1.5427754874317676</c:v>
                </c:pt>
                <c:pt idx="10">
                  <c:v>1.6559893709649629</c:v>
                </c:pt>
                <c:pt idx="11">
                  <c:v>1.7684532544981582</c:v>
                </c:pt>
                <c:pt idx="12">
                  <c:v>1.8801671380313536</c:v>
                </c:pt>
                <c:pt idx="13">
                  <c:v>1.9911310215645481</c:v>
                </c:pt>
                <c:pt idx="14">
                  <c:v>2.1013449050977431</c:v>
                </c:pt>
                <c:pt idx="15">
                  <c:v>2.2108087886309384</c:v>
                </c:pt>
                <c:pt idx="16">
                  <c:v>2.3195226721641342</c:v>
                </c:pt>
                <c:pt idx="17">
                  <c:v>2.4274865556973291</c:v>
                </c:pt>
                <c:pt idx="18">
                  <c:v>2.5347004392305239</c:v>
                </c:pt>
                <c:pt idx="19">
                  <c:v>2.6411643227637192</c:v>
                </c:pt>
                <c:pt idx="20">
                  <c:v>2.7468782062969144</c:v>
                </c:pt>
                <c:pt idx="21">
                  <c:v>2.8518420898301096</c:v>
                </c:pt>
                <c:pt idx="22">
                  <c:v>2.9560559733633052</c:v>
                </c:pt>
                <c:pt idx="23">
                  <c:v>3.0595198568964994</c:v>
                </c:pt>
                <c:pt idx="24">
                  <c:v>3.1622337404296958</c:v>
                </c:pt>
                <c:pt idx="25">
                  <c:v>3.26419762396289</c:v>
                </c:pt>
                <c:pt idx="26">
                  <c:v>3.3654115074960855</c:v>
                </c:pt>
                <c:pt idx="27">
                  <c:v>3.4658753910292806</c:v>
                </c:pt>
                <c:pt idx="28">
                  <c:v>3.565589274562476</c:v>
                </c:pt>
                <c:pt idx="29">
                  <c:v>3.6645531580956714</c:v>
                </c:pt>
                <c:pt idx="30">
                  <c:v>3.7627670416288654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010-406B-AF1D-FF7225F724B3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'0.5M'!$M$5:$M$35</c:f>
              <c:numCache>
                <c:formatCode>0.000E+00</c:formatCode>
                <c:ptCount val="31"/>
                <c:pt idx="0">
                  <c:v>2.0752793446332869</c:v>
                </c:pt>
                <c:pt idx="1">
                  <c:v>2.5963972580203531</c:v>
                </c:pt>
                <c:pt idx="2">
                  <c:v>3.1137651714074202</c:v>
                </c:pt>
                <c:pt idx="3">
                  <c:v>3.627383084794487</c:v>
                </c:pt>
                <c:pt idx="4">
                  <c:v>4.1372509981815533</c:v>
                </c:pt>
                <c:pt idx="5">
                  <c:v>4.6433689115686194</c:v>
                </c:pt>
                <c:pt idx="6">
                  <c:v>5.1457368249556872</c:v>
                </c:pt>
                <c:pt idx="7">
                  <c:v>5.644354738342753</c:v>
                </c:pt>
                <c:pt idx="8">
                  <c:v>6.1392226517298187</c:v>
                </c:pt>
                <c:pt idx="9">
                  <c:v>6.6303405651168852</c:v>
                </c:pt>
                <c:pt idx="10">
                  <c:v>7.1177084785039533</c:v>
                </c:pt>
                <c:pt idx="11">
                  <c:v>7.6013263918910212</c:v>
                </c:pt>
                <c:pt idx="12">
                  <c:v>8.0811943052780872</c:v>
                </c:pt>
                <c:pt idx="13">
                  <c:v>8.5573122186651513</c:v>
                </c:pt>
                <c:pt idx="14">
                  <c:v>9.0296801320522189</c:v>
                </c:pt>
                <c:pt idx="15">
                  <c:v>9.4982980454392862</c:v>
                </c:pt>
                <c:pt idx="16">
                  <c:v>9.9631659588263517</c:v>
                </c:pt>
                <c:pt idx="17">
                  <c:v>10.424283872213421</c:v>
                </c:pt>
                <c:pt idx="18">
                  <c:v>10.881651785600484</c:v>
                </c:pt>
                <c:pt idx="19">
                  <c:v>11.335269698987553</c:v>
                </c:pt>
                <c:pt idx="20">
                  <c:v>11.785137612374619</c:v>
                </c:pt>
                <c:pt idx="21">
                  <c:v>12.231255525761684</c:v>
                </c:pt>
                <c:pt idx="22">
                  <c:v>12.673623439148754</c:v>
                </c:pt>
                <c:pt idx="23">
                  <c:v>13.112241352535817</c:v>
                </c:pt>
                <c:pt idx="24">
                  <c:v>13.547109265922888</c:v>
                </c:pt>
                <c:pt idx="25">
                  <c:v>13.97822717930995</c:v>
                </c:pt>
                <c:pt idx="26">
                  <c:v>14.40559509269702</c:v>
                </c:pt>
                <c:pt idx="27">
                  <c:v>14.829213006084085</c:v>
                </c:pt>
                <c:pt idx="28">
                  <c:v>15.249080919471155</c:v>
                </c:pt>
                <c:pt idx="29">
                  <c:v>15.66519883285822</c:v>
                </c:pt>
                <c:pt idx="30">
                  <c:v>16.077566746245282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010-406B-AF1D-FF7225F724B3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'1M'!$M$5:$M$35</c:f>
              <c:numCache>
                <c:formatCode>0.000E+00</c:formatCode>
                <c:ptCount val="31"/>
                <c:pt idx="0">
                  <c:v>3.6560131795716639</c:v>
                </c:pt>
                <c:pt idx="1">
                  <c:v>4.5945201812191101</c:v>
                </c:pt>
                <c:pt idx="2">
                  <c:v>5.5255271828665578</c:v>
                </c:pt>
                <c:pt idx="3">
                  <c:v>6.4490341845140042</c:v>
                </c:pt>
                <c:pt idx="4">
                  <c:v>7.3650411861614486</c:v>
                </c:pt>
                <c:pt idx="5">
                  <c:v>8.2735481878088954</c:v>
                </c:pt>
                <c:pt idx="6">
                  <c:v>9.1745551894563437</c:v>
                </c:pt>
                <c:pt idx="7">
                  <c:v>10.06806219110379</c:v>
                </c:pt>
                <c:pt idx="8">
                  <c:v>10.954069192751234</c:v>
                </c:pt>
                <c:pt idx="9">
                  <c:v>11.832576194398682</c:v>
                </c:pt>
                <c:pt idx="10">
                  <c:v>12.703583196046129</c:v>
                </c:pt>
                <c:pt idx="11">
                  <c:v>13.567090197693577</c:v>
                </c:pt>
                <c:pt idx="12">
                  <c:v>14.423097199341026</c:v>
                </c:pt>
                <c:pt idx="13">
                  <c:v>15.271604200988467</c:v>
                </c:pt>
                <c:pt idx="14">
                  <c:v>16.112611202635915</c:v>
                </c:pt>
                <c:pt idx="15">
                  <c:v>16.946118204283362</c:v>
                </c:pt>
                <c:pt idx="16">
                  <c:v>17.772125205930809</c:v>
                </c:pt>
                <c:pt idx="17">
                  <c:v>18.59063220757826</c:v>
                </c:pt>
                <c:pt idx="18">
                  <c:v>19.401639209225699</c:v>
                </c:pt>
                <c:pt idx="19">
                  <c:v>20.205146210873146</c:v>
                </c:pt>
                <c:pt idx="20">
                  <c:v>21.001153212520592</c:v>
                </c:pt>
                <c:pt idx="21">
                  <c:v>21.789660214168038</c:v>
                </c:pt>
                <c:pt idx="22">
                  <c:v>22.57066721581549</c:v>
                </c:pt>
                <c:pt idx="23">
                  <c:v>23.344174217462928</c:v>
                </c:pt>
                <c:pt idx="24">
                  <c:v>24.110181219110387</c:v>
                </c:pt>
                <c:pt idx="25">
                  <c:v>24.868688220757825</c:v>
                </c:pt>
                <c:pt idx="26">
                  <c:v>25.619695222405277</c:v>
                </c:pt>
                <c:pt idx="27">
                  <c:v>26.363202224052721</c:v>
                </c:pt>
                <c:pt idx="28">
                  <c:v>27.099209225700172</c:v>
                </c:pt>
                <c:pt idx="29">
                  <c:v>27.827716227347615</c:v>
                </c:pt>
                <c:pt idx="30">
                  <c:v>28.548723228995058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010-406B-AF1D-FF7225F72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130768"/>
        <c:axId val="238131160"/>
      </c:scatterChart>
      <c:valAx>
        <c:axId val="238130768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31160"/>
        <c:crossesAt val="0"/>
        <c:crossBetween val="midCat"/>
        <c:majorUnit val="20"/>
        <c:minorUnit val="10"/>
      </c:valAx>
      <c:valAx>
        <c:axId val="238131160"/>
        <c:scaling>
          <c:logBase val="10"/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fluid conductivity (S/m)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39579285496E-2"/>
              <c:y val="0.175407333653397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30768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7344722797023602"/>
          <c:y val="2.9962804113133047E-2"/>
          <c:w val="0.11477200269488273"/>
          <c:h val="0.24206232322766322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'1e-5M'!$R$5:$R$35</c:f>
              <c:numCache>
                <c:formatCode>0.000E+00</c:formatCode>
                <c:ptCount val="31"/>
                <c:pt idx="0">
                  <c:v>1.0016383765028736E-5</c:v>
                </c:pt>
                <c:pt idx="1">
                  <c:v>1.0195421170903817E-5</c:v>
                </c:pt>
                <c:pt idx="2">
                  <c:v>1.0405296821700043E-5</c:v>
                </c:pt>
                <c:pt idx="3">
                  <c:v>1.0649091339355637E-5</c:v>
                </c:pt>
                <c:pt idx="4">
                  <c:v>1.1056330120243903E-5</c:v>
                </c:pt>
                <c:pt idx="5">
                  <c:v>1.1890909689028741E-5</c:v>
                </c:pt>
                <c:pt idx="6">
                  <c:v>1.3660078833915036E-5</c:v>
                </c:pt>
                <c:pt idx="7">
                  <c:v>1.7295022390960972E-5</c:v>
                </c:pt>
                <c:pt idx="8">
                  <c:v>2.438224234790044E-5</c:v>
                </c:pt>
                <c:pt idx="9">
                  <c:v>3.7433450719135373E-5</c:v>
                </c:pt>
                <c:pt idx="10">
                  <c:v>6.0188007402402937E-5</c:v>
                </c:pt>
                <c:pt idx="11">
                  <c:v>9.7944748283901865E-5</c:v>
                </c:pt>
                <c:pt idx="12">
                  <c:v>1.5792106198876164E-4</c:v>
                </c:pt>
                <c:pt idx="13">
                  <c:v>2.4963751466305619E-4</c:v>
                </c:pt>
                <c:pt idx="14">
                  <c:v>3.8532659853192402E-4</c:v>
                </c:pt>
                <c:pt idx="15">
                  <c:v>5.8036438899233703E-4</c:v>
                </c:pt>
                <c:pt idx="16">
                  <c:v>8.5372406105641561E-4</c:v>
                </c:pt>
                <c:pt idx="17">
                  <c:v>1.2284503496291796E-3</c:v>
                </c:pt>
                <c:pt idx="18">
                  <c:v>1.7321541467061642E-3</c:v>
                </c:pt>
                <c:pt idx="19">
                  <c:v>2.3975265177457045E-3</c:v>
                </c:pt>
                <c:pt idx="20">
                  <c:v>3.2628714935136211E-3</c:v>
                </c:pt>
                <c:pt idx="21">
                  <c:v>4.3726570558713981E-3</c:v>
                </c:pt>
                <c:pt idx="22">
                  <c:v>5.7780837887352159E-3</c:v>
                </c:pt>
                <c:pt idx="23">
                  <c:v>7.5376707106361747E-3</c:v>
                </c:pt>
                <c:pt idx="24">
                  <c:v>9.7178578443850947E-3</c:v>
                </c:pt>
                <c:pt idx="25">
                  <c:v>1.23936251133871E-2</c:v>
                </c:pt>
                <c:pt idx="26">
                  <c:v>1.5649127184030429E-2</c:v>
                </c:pt>
                <c:pt idx="27">
                  <c:v>1.9578343899964608E-2</c:v>
                </c:pt>
                <c:pt idx="28">
                  <c:v>2.4285745977532386E-2</c:v>
                </c:pt>
                <c:pt idx="29">
                  <c:v>2.9886975652576385E-2</c:v>
                </c:pt>
                <c:pt idx="30">
                  <c:v>3.6509541987647026E-2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A29-45EA-A19C-ED142F185D6E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'0.0001M'!$R$5:$R$35</c:f>
              <c:numCache>
                <c:formatCode>0.000E+00</c:formatCode>
                <c:ptCount val="31"/>
                <c:pt idx="0">
                  <c:v>1.0001868662923034E-4</c:v>
                </c:pt>
                <c:pt idx="1">
                  <c:v>1.0013576170667068E-4</c:v>
                </c:pt>
                <c:pt idx="2">
                  <c:v>1.0024334283223745E-4</c:v>
                </c:pt>
                <c:pt idx="3">
                  <c:v>1.0035468649414836E-4</c:v>
                </c:pt>
                <c:pt idx="4">
                  <c:v>1.0052364833956246E-4</c:v>
                </c:pt>
                <c:pt idx="5">
                  <c:v>1.0083432763694025E-4</c:v>
                </c:pt>
                <c:pt idx="6">
                  <c:v>1.0141511701148277E-4</c:v>
                </c:pt>
                <c:pt idx="7">
                  <c:v>1.0245709135203574E-4</c:v>
                </c:pt>
                <c:pt idx="8">
                  <c:v>1.0422922978415809E-4</c:v>
                </c:pt>
                <c:pt idx="9">
                  <c:v>1.0708964274333833E-4</c:v>
                </c:pt>
                <c:pt idx="10">
                  <c:v>1.11494232105846E-4</c:v>
                </c:pt>
                <c:pt idx="11">
                  <c:v>1.1800395538931175E-4</c:v>
                </c:pt>
                <c:pt idx="12">
                  <c:v>1.272912867704404E-4</c:v>
                </c:pt>
                <c:pt idx="13">
                  <c:v>1.4014614468246112E-4</c:v>
                </c:pt>
                <c:pt idx="14">
                  <c:v>1.5748141816238095E-4</c:v>
                </c:pt>
                <c:pt idx="15">
                  <c:v>1.8033816759237666E-4</c:v>
                </c:pt>
                <c:pt idx="16">
                  <c:v>2.0989055011653833E-4</c:v>
                </c:pt>
                <c:pt idx="17">
                  <c:v>2.4745050677608304E-4</c:v>
                </c:pt>
                <c:pt idx="18">
                  <c:v>2.9447224035430698E-4</c:v>
                </c:pt>
                <c:pt idx="19">
                  <c:v>3.5255650742594861E-4</c:v>
                </c:pt>
                <c:pt idx="20">
                  <c:v>4.2345474406705469E-4</c:v>
                </c:pt>
                <c:pt idx="21">
                  <c:v>5.0907304158007139E-4</c:v>
                </c:pt>
                <c:pt idx="22">
                  <c:v>6.1147598614066684E-4</c:v>
                </c:pt>
                <c:pt idx="23">
                  <c:v>7.3289037430414609E-4</c:v>
                </c:pt>
                <c:pt idx="24">
                  <c:v>8.7570881470416557E-4</c:v>
                </c:pt>
                <c:pt idx="25">
                  <c:v>1.0424932249528365E-3</c:v>
                </c:pt>
                <c:pt idx="26">
                  <c:v>1.2359782316496847E-3</c:v>
                </c:pt>
                <c:pt idx="27">
                  <c:v>1.459074480481874E-3</c:v>
                </c:pt>
                <c:pt idx="28">
                  <c:v>1.7148718626153817E-3</c:v>
                </c:pt>
                <c:pt idx="29">
                  <c:v>2.00664266291024E-3</c:v>
                </c:pt>
                <c:pt idx="30">
                  <c:v>2.3378446349208064E-3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A29-45EA-A19C-ED142F185D6E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'0.001M'!$R$5:$R$35</c:f>
              <c:numCache>
                <c:formatCode>0.000E+00</c:formatCode>
                <c:ptCount val="31"/>
                <c:pt idx="0">
                  <c:v>1.0000213131787096E-3</c:v>
                </c:pt>
                <c:pt idx="1">
                  <c:v>1.0000943154772478E-3</c:v>
                </c:pt>
                <c:pt idx="2">
                  <c:v>1.0001461046098338E-3</c:v>
                </c:pt>
                <c:pt idx="3">
                  <c:v>1.0001938132609444E-3</c:v>
                </c:pt>
                <c:pt idx="4">
                  <c:v>1.0002595851223699E-3</c:v>
                </c:pt>
                <c:pt idx="5">
                  <c:v>1.0003681310692949E-3</c:v>
                </c:pt>
                <c:pt idx="6">
                  <c:v>1.0005471347058516E-3</c:v>
                </c:pt>
                <c:pt idx="7">
                  <c:v>1.000827591416269E-3</c:v>
                </c:pt>
                <c:pt idx="8">
                  <c:v>1.0012436436638006E-3</c:v>
                </c:pt>
                <c:pt idx="9">
                  <c:v>1.0018321805281721E-3</c:v>
                </c:pt>
                <c:pt idx="10">
                  <c:v>1.0026324490359571E-3</c:v>
                </c:pt>
                <c:pt idx="11">
                  <c:v>1.0036857506103029E-3</c:v>
                </c:pt>
                <c:pt idx="12">
                  <c:v>1.00503521488808E-3</c:v>
                </c:pt>
                <c:pt idx="13">
                  <c:v>1.0067256286442933E-3</c:v>
                </c:pt>
                <c:pt idx="14">
                  <c:v>1.008803302102442E-3</c:v>
                </c:pt>
                <c:pt idx="15">
                  <c:v>1.0113159609832995E-3</c:v>
                </c:pt>
                <c:pt idx="16">
                  <c:v>1.0143126569008775E-3</c:v>
                </c:pt>
                <c:pt idx="17">
                  <c:v>1.0178436913372306E-3</c:v>
                </c:pt>
                <c:pt idx="18">
                  <c:v>1.0219605500127605E-3</c:v>
                </c:pt>
                <c:pt idx="19">
                  <c:v>1.0267158454446903E-3</c:v>
                </c:pt>
                <c:pt idx="20">
                  <c:v>1.0321632661075323E-3</c:v>
                </c:pt>
                <c:pt idx="21">
                  <c:v>1.0383575310193955E-3</c:v>
                </c:pt>
                <c:pt idx="22">
                  <c:v>1.0453543488583635E-3</c:v>
                </c:pt>
                <c:pt idx="23">
                  <c:v>1.0532103809111745E-3</c:v>
                </c:pt>
                <c:pt idx="24">
                  <c:v>1.0619832073002361E-3</c:v>
                </c:pt>
                <c:pt idx="25">
                  <c:v>1.0717312960420392E-3</c:v>
                </c:pt>
                <c:pt idx="26">
                  <c:v>1.0825139745713982E-3</c:v>
                </c:pt>
                <c:pt idx="27">
                  <c:v>1.0943914034289035E-3</c:v>
                </c:pt>
                <c:pt idx="28">
                  <c:v>1.1074245518584869E-3</c:v>
                </c:pt>
                <c:pt idx="29">
                  <c:v>1.1216751751014656E-3</c:v>
                </c:pt>
                <c:pt idx="30">
                  <c:v>1.1372057932052611E-3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A29-45EA-A19C-ED142F185D6E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'0.01M'!$R$5:$R$35</c:f>
              <c:numCache>
                <c:formatCode>0.000E+00</c:formatCode>
                <c:ptCount val="31"/>
                <c:pt idx="0">
                  <c:v>1.0000024308909922E-2</c:v>
                </c:pt>
                <c:pt idx="1">
                  <c:v>1.0000065522226161E-2</c:v>
                </c:pt>
                <c:pt idx="2">
                  <c:v>1.0000087722152398E-2</c:v>
                </c:pt>
                <c:pt idx="3">
                  <c:v>1.0000105906429305E-2</c:v>
                </c:pt>
                <c:pt idx="4">
                  <c:v>1.0000128682611334E-2</c:v>
                </c:pt>
                <c:pt idx="5">
                  <c:v>1.0000162430774411E-2</c:v>
                </c:pt>
                <c:pt idx="6">
                  <c:v>1.0000211541790481E-2</c:v>
                </c:pt>
                <c:pt idx="7">
                  <c:v>1.0000278747288625E-2</c:v>
                </c:pt>
                <c:pt idx="8">
                  <c:v>1.0000365704783482E-2</c:v>
                </c:pt>
                <c:pt idx="9">
                  <c:v>1.000047349148742E-2</c:v>
                </c:pt>
                <c:pt idx="10">
                  <c:v>1.0000602892638943E-2</c:v>
                </c:pt>
                <c:pt idx="11">
                  <c:v>1.0000754542947236E-2</c:v>
                </c:pt>
                <c:pt idx="12">
                  <c:v>1.0000928992069242E-2</c:v>
                </c:pt>
                <c:pt idx="13">
                  <c:v>1.0001126735357E-2</c:v>
                </c:pt>
                <c:pt idx="14">
                  <c:v>1.0001348229225798E-2</c:v>
                </c:pt>
                <c:pt idx="15">
                  <c:v>1.0001593899597329E-2</c:v>
                </c:pt>
                <c:pt idx="16">
                  <c:v>1.0001864147074931E-2</c:v>
                </c:pt>
                <c:pt idx="17">
                  <c:v>1.0002159350466132E-2</c:v>
                </c:pt>
                <c:pt idx="18">
                  <c:v>1.0002479869394133E-2</c:v>
                </c:pt>
                <c:pt idx="19">
                  <c:v>1.0002826046357305E-2</c:v>
                </c:pt>
                <c:pt idx="20">
                  <c:v>1.0003198208422288E-2</c:v>
                </c:pt>
                <c:pt idx="21">
                  <c:v>1.0003596668654137E-2</c:v>
                </c:pt>
                <c:pt idx="22">
                  <c:v>1.0004021727346161E-2</c:v>
                </c:pt>
                <c:pt idx="23">
                  <c:v>1.0004473673090424E-2</c:v>
                </c:pt>
                <c:pt idx="24">
                  <c:v>1.0004952783717805E-2</c:v>
                </c:pt>
                <c:pt idx="25">
                  <c:v>1.0005459327128987E-2</c:v>
                </c:pt>
                <c:pt idx="26">
                  <c:v>1.0005993562033034E-2</c:v>
                </c:pt>
                <c:pt idx="27">
                  <c:v>1.000655573860685E-2</c:v>
                </c:pt>
                <c:pt idx="28">
                  <c:v>1.0007146099086343E-2</c:v>
                </c:pt>
                <c:pt idx="29">
                  <c:v>1.0007764878298367E-2</c:v>
                </c:pt>
                <c:pt idx="30">
                  <c:v>1.0008412304140922E-2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A29-45EA-A19C-ED142F185D6E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'0.1M'!$R$5:$R$35</c:f>
              <c:numCache>
                <c:formatCode>0.000E+00</c:formatCode>
                <c:ptCount val="31"/>
                <c:pt idx="0">
                  <c:v>0.1000000277257142</c:v>
                </c:pt>
                <c:pt idx="1">
                  <c:v>0.10000004551916872</c:v>
                </c:pt>
                <c:pt idx="2">
                  <c:v>0.10000005266894749</c:v>
                </c:pt>
                <c:pt idx="3">
                  <c:v>0.10000005787102345</c:v>
                </c:pt>
                <c:pt idx="4">
                  <c:v>0.10000006379107673</c:v>
                </c:pt>
                <c:pt idx="5">
                  <c:v>0.10000007166946416</c:v>
                </c:pt>
                <c:pt idx="6">
                  <c:v>0.10000008178960071</c:v>
                </c:pt>
                <c:pt idx="7">
                  <c:v>0.10000009388697054</c:v>
                </c:pt>
                <c:pt idx="8">
                  <c:v>0.10000010753883332</c:v>
                </c:pt>
                <c:pt idx="9">
                  <c:v>0.10000012236468253</c:v>
                </c:pt>
                <c:pt idx="10">
                  <c:v>0.1000001380765702</c:v>
                </c:pt>
                <c:pt idx="11">
                  <c:v>0.10000015446923013</c:v>
                </c:pt>
                <c:pt idx="12">
                  <c:v>0.10000017139809997</c:v>
                </c:pt>
                <c:pt idx="13">
                  <c:v>0.10000018876043146</c:v>
                </c:pt>
                <c:pt idx="14">
                  <c:v>0.10000020648184331</c:v>
                </c:pt>
                <c:pt idx="15">
                  <c:v>0.100000224507307</c:v>
                </c:pt>
                <c:pt idx="16">
                  <c:v>0.10000024279519457</c:v>
                </c:pt>
                <c:pt idx="17">
                  <c:v>0.10000026131333184</c:v>
                </c:pt>
                <c:pt idx="18">
                  <c:v>0.10000028003634738</c:v>
                </c:pt>
                <c:pt idx="19">
                  <c:v>0.100000298943862</c:v>
                </c:pt>
                <c:pt idx="20">
                  <c:v>0.10000031801922972</c:v>
                </c:pt>
                <c:pt idx="21">
                  <c:v>0.1000003372486462</c:v>
                </c:pt>
                <c:pt idx="22">
                  <c:v>0.10000035662050617</c:v>
                </c:pt>
                <c:pt idx="23">
                  <c:v>0.10000037612493234</c:v>
                </c:pt>
                <c:pt idx="24">
                  <c:v>0.10000039575342458</c:v>
                </c:pt>
                <c:pt idx="25">
                  <c:v>0.1000004154985947</c:v>
                </c:pt>
                <c:pt idx="26">
                  <c:v>0.10000043535396315</c:v>
                </c:pt>
                <c:pt idx="27">
                  <c:v>0.10000045531380106</c:v>
                </c:pt>
                <c:pt idx="28">
                  <c:v>0.10000047537300616</c:v>
                </c:pt>
                <c:pt idx="29">
                  <c:v>0.10000049552700409</c:v>
                </c:pt>
                <c:pt idx="30">
                  <c:v>0.10000051577166902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A29-45EA-A19C-ED142F185D6E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'0.5M'!$R$5:$R$35</c:f>
              <c:numCache>
                <c:formatCode>0.000E+00</c:formatCode>
                <c:ptCount val="31"/>
                <c:pt idx="0">
                  <c:v>0.50000003039526908</c:v>
                </c:pt>
                <c:pt idx="1">
                  <c:v>0.50000003528752801</c:v>
                </c:pt>
                <c:pt idx="2">
                  <c:v>0.50000003687182148</c:v>
                </c:pt>
                <c:pt idx="3">
                  <c:v>0.50000003793225689</c:v>
                </c:pt>
                <c:pt idx="4">
                  <c:v>0.50000003906086721</c:v>
                </c:pt>
                <c:pt idx="5">
                  <c:v>0.50000004045444435</c:v>
                </c:pt>
                <c:pt idx="6">
                  <c:v>0.50000004209538673</c:v>
                </c:pt>
                <c:pt idx="7">
                  <c:v>0.50000004388017782</c:v>
                </c:pt>
                <c:pt idx="8">
                  <c:v>0.5000000457106194</c:v>
                </c:pt>
                <c:pt idx="9">
                  <c:v>0.50000004752280969</c:v>
                </c:pt>
                <c:pt idx="10">
                  <c:v>0.50000004928279362</c:v>
                </c:pt>
                <c:pt idx="11">
                  <c:v>0.50000005097557099</c:v>
                </c:pt>
                <c:pt idx="12">
                  <c:v>0.5000000525966185</c:v>
                </c:pt>
                <c:pt idx="13">
                  <c:v>0.50000005414675985</c:v>
                </c:pt>
                <c:pt idx="14">
                  <c:v>0.50000005562933714</c:v>
                </c:pt>
                <c:pt idx="15">
                  <c:v>0.50000005704872041</c:v>
                </c:pt>
                <c:pt idx="16">
                  <c:v>0.50000005840954453</c:v>
                </c:pt>
                <c:pt idx="17">
                  <c:v>0.50000005971633454</c:v>
                </c:pt>
                <c:pt idx="18">
                  <c:v>0.50000006097333471</c:v>
                </c:pt>
                <c:pt idx="19">
                  <c:v>0.50000006218444248</c:v>
                </c:pt>
                <c:pt idx="20">
                  <c:v>0.50000006335319724</c:v>
                </c:pt>
                <c:pt idx="21">
                  <c:v>0.50000006448279433</c:v>
                </c:pt>
                <c:pt idx="22">
                  <c:v>0.50000006557611165</c:v>
                </c:pt>
                <c:pt idx="23">
                  <c:v>0.50000006663573993</c:v>
                </c:pt>
                <c:pt idx="24">
                  <c:v>0.50000006766401239</c:v>
                </c:pt>
                <c:pt idx="25">
                  <c:v>0.50000006866303404</c:v>
                </c:pt>
                <c:pt idx="26">
                  <c:v>0.50000006963470711</c:v>
                </c:pt>
                <c:pt idx="27">
                  <c:v>0.50000007058075491</c:v>
                </c:pt>
                <c:pt idx="28">
                  <c:v>0.50000007150274184</c:v>
                </c:pt>
                <c:pt idx="29">
                  <c:v>0.50000007240209154</c:v>
                </c:pt>
                <c:pt idx="30">
                  <c:v>0.50000007328010299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A29-45EA-A19C-ED142F185D6E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'1M'!$R$5:$R$35</c:f>
              <c:numCache>
                <c:formatCode>0.000E+00</c:formatCode>
                <c:ptCount val="31"/>
                <c:pt idx="0">
                  <c:v>1.0000000316227766</c:v>
                </c:pt>
                <c:pt idx="1">
                  <c:v>1.0000000316227766</c:v>
                </c:pt>
                <c:pt idx="2">
                  <c:v>1.0000000316227766</c:v>
                </c:pt>
                <c:pt idx="3">
                  <c:v>1.0000000316227766</c:v>
                </c:pt>
                <c:pt idx="4">
                  <c:v>1.0000000316227766</c:v>
                </c:pt>
                <c:pt idx="5">
                  <c:v>1.0000000316227766</c:v>
                </c:pt>
                <c:pt idx="6">
                  <c:v>1.0000000316227766</c:v>
                </c:pt>
                <c:pt idx="7">
                  <c:v>1.0000000316227766</c:v>
                </c:pt>
                <c:pt idx="8">
                  <c:v>1.0000000316227766</c:v>
                </c:pt>
                <c:pt idx="9">
                  <c:v>1.0000000316227766</c:v>
                </c:pt>
                <c:pt idx="10">
                  <c:v>1.0000000316227766</c:v>
                </c:pt>
                <c:pt idx="11">
                  <c:v>1.0000000316227766</c:v>
                </c:pt>
                <c:pt idx="12">
                  <c:v>1.0000000316227766</c:v>
                </c:pt>
                <c:pt idx="13">
                  <c:v>1.0000000316227766</c:v>
                </c:pt>
                <c:pt idx="14">
                  <c:v>1.0000000316227766</c:v>
                </c:pt>
                <c:pt idx="15">
                  <c:v>1.0000000316227766</c:v>
                </c:pt>
                <c:pt idx="16">
                  <c:v>1.0000000316227766</c:v>
                </c:pt>
                <c:pt idx="17">
                  <c:v>1.0000000316227766</c:v>
                </c:pt>
                <c:pt idx="18">
                  <c:v>1.0000000316227766</c:v>
                </c:pt>
                <c:pt idx="19">
                  <c:v>1.0000000316227766</c:v>
                </c:pt>
                <c:pt idx="20">
                  <c:v>1.0000000316227766</c:v>
                </c:pt>
                <c:pt idx="21">
                  <c:v>1.0000000316227766</c:v>
                </c:pt>
                <c:pt idx="22">
                  <c:v>1.0000000316227766</c:v>
                </c:pt>
                <c:pt idx="23">
                  <c:v>1.0000000316227766</c:v>
                </c:pt>
                <c:pt idx="24">
                  <c:v>1.0000000316227766</c:v>
                </c:pt>
                <c:pt idx="25">
                  <c:v>1.0000000316227766</c:v>
                </c:pt>
                <c:pt idx="26">
                  <c:v>1.0000000316227766</c:v>
                </c:pt>
                <c:pt idx="27">
                  <c:v>1.0000000316227766</c:v>
                </c:pt>
                <c:pt idx="28">
                  <c:v>1.0000000316227766</c:v>
                </c:pt>
                <c:pt idx="29">
                  <c:v>1.0000000316227766</c:v>
                </c:pt>
                <c:pt idx="30">
                  <c:v>1.0000000316227766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A29-45EA-A19C-ED142F185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131944"/>
        <c:axId val="238644616"/>
      </c:scatterChart>
      <c:valAx>
        <c:axId val="238131944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4616"/>
        <c:crossesAt val="0"/>
        <c:crossBetween val="midCat"/>
        <c:majorUnit val="20"/>
        <c:minorUnit val="10"/>
      </c:valAx>
      <c:valAx>
        <c:axId val="238644616"/>
        <c:scaling>
          <c:logBase val="10"/>
          <c:orientation val="minMax"/>
          <c:max val="10"/>
          <c:min val="1.0000000000000005E-7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Ionic concentration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(mol/dm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9987616145407448E-2"/>
              <c:y val="0.117854623267095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13194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18281222917261"/>
          <c:y val="3.1819341989585248E-2"/>
          <c:w val="0.16999677004478453"/>
          <c:h val="0.39801163100404319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'1e-5M'!$S$5:$S$35</c:f>
              <c:numCache>
                <c:formatCode>General</c:formatCode>
                <c:ptCount val="31"/>
                <c:pt idx="0">
                  <c:v>9.7227545089137452E-8</c:v>
                </c:pt>
                <c:pt idx="1">
                  <c:v>9.6145642756041906E-8</c:v>
                </c:pt>
                <c:pt idx="2">
                  <c:v>9.4934829342391494E-8</c:v>
                </c:pt>
                <c:pt idx="3">
                  <c:v>9.3595060230690129E-8</c:v>
                </c:pt>
                <c:pt idx="4">
                  <c:v>9.1600582528469249E-8</c:v>
                </c:pt>
                <c:pt idx="5">
                  <c:v>8.807061602283113E-8</c:v>
                </c:pt>
                <c:pt idx="6">
                  <c:v>8.1919842530287826E-8</c:v>
                </c:pt>
                <c:pt idx="7">
                  <c:v>7.257321834632924E-8</c:v>
                </c:pt>
                <c:pt idx="8">
                  <c:v>6.0921007061736875E-8</c:v>
                </c:pt>
                <c:pt idx="9">
                  <c:v>4.8999094355282846E-8</c:v>
                </c:pt>
                <c:pt idx="10">
                  <c:v>3.8505739581845083E-8</c:v>
                </c:pt>
                <c:pt idx="11">
                  <c:v>3.0074731980015975E-8</c:v>
                </c:pt>
                <c:pt idx="12">
                  <c:v>2.3595787568162245E-8</c:v>
                </c:pt>
                <c:pt idx="13">
                  <c:v>1.8694448698131463E-8</c:v>
                </c:pt>
                <c:pt idx="14">
                  <c:v>1.4987097569941866E-8</c:v>
                </c:pt>
                <c:pt idx="15">
                  <c:v>1.2161795036938277E-8</c:v>
                </c:pt>
                <c:pt idx="16">
                  <c:v>9.9852035172870525E-9</c:v>
                </c:pt>
                <c:pt idx="17">
                  <c:v>8.2881170292129293E-9</c:v>
                </c:pt>
                <c:pt idx="18">
                  <c:v>6.9488241525972314E-9</c:v>
                </c:pt>
                <c:pt idx="19">
                  <c:v>5.8795352780552014E-9</c:v>
                </c:pt>
                <c:pt idx="20">
                  <c:v>5.016422281530396E-9</c:v>
                </c:pt>
                <c:pt idx="21">
                  <c:v>4.3125955858739732E-9</c:v>
                </c:pt>
                <c:pt idx="22">
                  <c:v>3.7332182551065089E-9</c:v>
                </c:pt>
                <c:pt idx="23">
                  <c:v>3.2521100960560569E-9</c:v>
                </c:pt>
                <c:pt idx="24">
                  <c:v>2.8493749421156316E-9</c:v>
                </c:pt>
                <c:pt idx="25">
                  <c:v>2.5097288614315685E-9</c:v>
                </c:pt>
                <c:pt idx="26">
                  <c:v>2.2213104976155404E-9</c:v>
                </c:pt>
                <c:pt idx="27">
                  <c:v>1.9748255351547783E-9</c:v>
                </c:pt>
                <c:pt idx="28">
                  <c:v>1.762924858567966E-9</c:v>
                </c:pt>
                <c:pt idx="29">
                  <c:v>1.5797478046591913E-9</c:v>
                </c:pt>
                <c:pt idx="30">
                  <c:v>1.4205832485160639E-9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8AA-4D81-B844-D35930CD1C98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'0.0001M'!$S$5:$S$35</c:f>
              <c:numCache>
                <c:formatCode>General</c:formatCode>
                <c:ptCount val="31"/>
                <c:pt idx="0">
                  <c:v>3.07681459136287E-8</c:v>
                </c:pt>
                <c:pt idx="1">
                  <c:v>3.067853558163856E-8</c:v>
                </c:pt>
                <c:pt idx="2">
                  <c:v>3.058595232479993E-8</c:v>
                </c:pt>
                <c:pt idx="3">
                  <c:v>3.0488585211063868E-8</c:v>
                </c:pt>
                <c:pt idx="4">
                  <c:v>3.037850789361235E-8</c:v>
                </c:pt>
                <c:pt idx="5">
                  <c:v>3.02434355248331E-8</c:v>
                </c:pt>
                <c:pt idx="6">
                  <c:v>3.0064988466555046E-8</c:v>
                </c:pt>
                <c:pt idx="7">
                  <c:v>2.981690334357817E-8</c:v>
                </c:pt>
                <c:pt idx="8">
                  <c:v>2.9464946378045825E-8</c:v>
                </c:pt>
                <c:pt idx="9">
                  <c:v>2.8969479605504543E-8</c:v>
                </c:pt>
                <c:pt idx="10">
                  <c:v>2.8291150832588594E-8</c:v>
                </c:pt>
                <c:pt idx="11">
                  <c:v>2.739935500772277E-8</c:v>
                </c:pt>
                <c:pt idx="12">
                  <c:v>2.6281573350680553E-8</c:v>
                </c:pt>
                <c:pt idx="13">
                  <c:v>2.4950147427504962E-8</c:v>
                </c:pt>
                <c:pt idx="14">
                  <c:v>2.3443010799164091E-8</c:v>
                </c:pt>
                <c:pt idx="15">
                  <c:v>2.1817257507521646E-8</c:v>
                </c:pt>
                <c:pt idx="16">
                  <c:v>2.0137941323234541E-8</c:v>
                </c:pt>
                <c:pt idx="17">
                  <c:v>1.8466570206057412E-8</c:v>
                </c:pt>
                <c:pt idx="18">
                  <c:v>1.6853032119356451E-8</c:v>
                </c:pt>
                <c:pt idx="19">
                  <c:v>1.5332249586960932E-8</c:v>
                </c:pt>
                <c:pt idx="20">
                  <c:v>1.3924705096761696E-8</c:v>
                </c:pt>
                <c:pt idx="21">
                  <c:v>1.2639116645885213E-8</c:v>
                </c:pt>
                <c:pt idx="22">
                  <c:v>1.1475743055376022E-8</c:v>
                </c:pt>
                <c:pt idx="23">
                  <c:v>1.0429402300017266E-8</c:v>
                </c:pt>
                <c:pt idx="24">
                  <c:v>9.4918311776441691E-9</c:v>
                </c:pt>
                <c:pt idx="25">
                  <c:v>8.6533493735187676E-9</c:v>
                </c:pt>
                <c:pt idx="26">
                  <c:v>7.9039406991626568E-9</c:v>
                </c:pt>
                <c:pt idx="27">
                  <c:v>7.2339018142871055E-9</c:v>
                </c:pt>
                <c:pt idx="28">
                  <c:v>6.6341943423878365E-9</c:v>
                </c:pt>
                <c:pt idx="29">
                  <c:v>6.0966054884902962E-9</c:v>
                </c:pt>
                <c:pt idx="30">
                  <c:v>5.613791634627082E-9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AA-4D81-B844-D35930CD1C98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'0.001M'!$S$5:$S$35</c:f>
              <c:numCache>
                <c:formatCode>General</c:formatCode>
                <c:ptCount val="31"/>
                <c:pt idx="0">
                  <c:v>9.7298981181998271E-9</c:v>
                </c:pt>
                <c:pt idx="1">
                  <c:v>9.7068674827307167E-9</c:v>
                </c:pt>
                <c:pt idx="2">
                  <c:v>9.6825048347366283E-9</c:v>
                </c:pt>
                <c:pt idx="3">
                  <c:v>9.6567944956330016E-9</c:v>
                </c:pt>
                <c:pt idx="4">
                  <c:v>9.6296932901383352E-9</c:v>
                </c:pt>
                <c:pt idx="5">
                  <c:v>9.6011427942996836E-9</c:v>
                </c:pt>
                <c:pt idx="6">
                  <c:v>9.5710677986735731E-9</c:v>
                </c:pt>
                <c:pt idx="7">
                  <c:v>9.5393751884620041E-9</c:v>
                </c:pt>
                <c:pt idx="8">
                  <c:v>9.505955336020966E-9</c:v>
                </c:pt>
                <c:pt idx="9">
                  <c:v>9.4706846991259923E-9</c:v>
                </c:pt>
                <c:pt idx="10">
                  <c:v>9.4334284402935989E-9</c:v>
                </c:pt>
                <c:pt idx="11">
                  <c:v>9.3940427302051138E-9</c:v>
                </c:pt>
                <c:pt idx="12">
                  <c:v>9.3523767861515715E-9</c:v>
                </c:pt>
                <c:pt idx="13">
                  <c:v>9.3082747611537088E-9</c:v>
                </c:pt>
                <c:pt idx="14">
                  <c:v>9.2615775725425815E-9</c:v>
                </c:pt>
                <c:pt idx="15">
                  <c:v>9.2121247247477551E-9</c:v>
                </c:pt>
                <c:pt idx="16">
                  <c:v>9.1597561557313473E-9</c:v>
                </c:pt>
                <c:pt idx="17">
                  <c:v>9.104314118918222E-9</c:v>
                </c:pt>
                <c:pt idx="18">
                  <c:v>9.0456450997442719E-9</c:v>
                </c:pt>
                <c:pt idx="19">
                  <c:v>8.9836017561065492E-9</c:v>
                </c:pt>
                <c:pt idx="20">
                  <c:v>8.9180448639839178E-9</c:v>
                </c:pt>
                <c:pt idx="21">
                  <c:v>8.8488452428146111E-9</c:v>
                </c:pt>
                <c:pt idx="22">
                  <c:v>8.775885629706971E-9</c:v>
                </c:pt>
                <c:pt idx="23">
                  <c:v>8.6990624672413936E-9</c:v>
                </c:pt>
                <c:pt idx="24">
                  <c:v>8.6182875666060359E-9</c:v>
                </c:pt>
                <c:pt idx="25">
                  <c:v>8.5334896062379526E-9</c:v>
                </c:pt>
                <c:pt idx="26">
                  <c:v>8.4446154261481456E-9</c:v>
                </c:pt>
                <c:pt idx="27">
                  <c:v>8.3516310797846298E-9</c:v>
                </c:pt>
                <c:pt idx="28">
                  <c:v>8.2545226086578895E-9</c:v>
                </c:pt>
                <c:pt idx="29">
                  <c:v>8.1532965099604098E-9</c:v>
                </c:pt>
                <c:pt idx="30">
                  <c:v>8.0479798739064806E-9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8AA-4D81-B844-D35930CD1C98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'0.01M'!$S$5:$S$35</c:f>
              <c:numCache>
                <c:formatCode>General</c:formatCode>
                <c:ptCount val="31"/>
                <c:pt idx="0">
                  <c:v>3.0748407067480707E-9</c:v>
                </c:pt>
                <c:pt idx="1">
                  <c:v>3.0676209649963214E-9</c:v>
                </c:pt>
                <c:pt idx="2">
                  <c:v>3.0599493836857573E-9</c:v>
                </c:pt>
                <c:pt idx="3">
                  <c:v>3.0518450595575765E-9</c:v>
                </c:pt>
                <c:pt idx="4">
                  <c:v>3.0433267473653258E-9</c:v>
                </c:pt>
                <c:pt idx="5">
                  <c:v>3.034412227403147E-9</c:v>
                </c:pt>
                <c:pt idx="6">
                  <c:v>3.0251182723506892E-9</c:v>
                </c:pt>
                <c:pt idx="7">
                  <c:v>3.0154605966689234E-9</c:v>
                </c:pt>
                <c:pt idx="8">
                  <c:v>3.0054537646633085E-9</c:v>
                </c:pt>
                <c:pt idx="9">
                  <c:v>2.9951111103760828E-9</c:v>
                </c:pt>
                <c:pt idx="10">
                  <c:v>2.9844446863948099E-9</c:v>
                </c:pt>
                <c:pt idx="11">
                  <c:v>2.9734652323866652E-9</c:v>
                </c:pt>
                <c:pt idx="12">
                  <c:v>2.9621821524782555E-9</c:v>
                </c:pt>
                <c:pt idx="13">
                  <c:v>2.9506034952128597E-9</c:v>
                </c:pt>
                <c:pt idx="14">
                  <c:v>2.9387359331690427E-9</c:v>
                </c:pt>
                <c:pt idx="15">
                  <c:v>2.9265847409717181E-9</c:v>
                </c:pt>
                <c:pt idx="16">
                  <c:v>2.9141537711338495E-9</c:v>
                </c:pt>
                <c:pt idx="17">
                  <c:v>2.901445427449912E-9</c:v>
                </c:pt>
                <c:pt idx="18">
                  <c:v>2.8884606357642138E-9</c:v>
                </c:pt>
                <c:pt idx="19">
                  <c:v>2.8751988119615662E-9</c:v>
                </c:pt>
                <c:pt idx="20">
                  <c:v>2.8616578270168995E-9</c:v>
                </c:pt>
                <c:pt idx="21">
                  <c:v>2.8478339689117432E-9</c:v>
                </c:pt>
                <c:pt idx="22">
                  <c:v>2.8337219011857773E-9</c:v>
                </c:pt>
                <c:pt idx="23">
                  <c:v>2.819314617843379E-9</c:v>
                </c:pt>
                <c:pt idx="24">
                  <c:v>2.8046033942788577E-9</c:v>
                </c:pt>
                <c:pt idx="25">
                  <c:v>2.7895777338192255E-9</c:v>
                </c:pt>
                <c:pt idx="26">
                  <c:v>2.774225309408976E-9</c:v>
                </c:pt>
                <c:pt idx="27">
                  <c:v>2.7585318998757647E-9</c:v>
                </c:pt>
                <c:pt idx="28">
                  <c:v>2.7424813201172739E-9</c:v>
                </c:pt>
                <c:pt idx="29">
                  <c:v>2.7260553444353692E-9</c:v>
                </c:pt>
                <c:pt idx="30">
                  <c:v>2.7092336221109903E-9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8AA-4D81-B844-D35930CD1C98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'0.1M'!$S$5:$S$35</c:f>
              <c:numCache>
                <c:formatCode>General</c:formatCode>
                <c:ptCount val="31"/>
                <c:pt idx="0">
                  <c:v>9.6589004818342253E-10</c:v>
                </c:pt>
                <c:pt idx="1">
                  <c:v>9.6347462719336205E-10</c:v>
                </c:pt>
                <c:pt idx="2">
                  <c:v>9.609137802255269E-10</c:v>
                </c:pt>
                <c:pt idx="3">
                  <c:v>9.5821420830319312E-10</c:v>
                </c:pt>
                <c:pt idx="4">
                  <c:v>9.5538221780566543E-10</c:v>
                </c:pt>
                <c:pt idx="5">
                  <c:v>9.5242370115295499E-10</c:v>
                </c:pt>
                <c:pt idx="6">
                  <c:v>9.493441362685078E-10</c:v>
                </c:pt>
                <c:pt idx="7">
                  <c:v>9.4614858520239382E-10</c:v>
                </c:pt>
                <c:pt idx="8">
                  <c:v>9.4284169178775248E-10</c:v>
                </c:pt>
                <c:pt idx="9">
                  <c:v>9.3942767918462732E-10</c:v>
                </c:pt>
                <c:pt idx="10">
                  <c:v>9.3591034715377267E-10</c:v>
                </c:pt>
                <c:pt idx="11">
                  <c:v>9.3229306866045702E-10</c:v>
                </c:pt>
                <c:pt idx="12">
                  <c:v>9.2857878560557342E-10</c:v>
                </c:pt>
                <c:pt idx="13">
                  <c:v>9.2477000363188703E-10</c:v>
                </c:pt>
                <c:pt idx="14">
                  <c:v>9.2086878600631248E-10</c:v>
                </c:pt>
                <c:pt idx="15">
                  <c:v>9.1687674658633505E-10</c:v>
                </c:pt>
                <c:pt idx="16">
                  <c:v>9.1279504187117811E-10</c:v>
                </c:pt>
                <c:pt idx="17">
                  <c:v>9.0862436212699568E-10</c:v>
                </c:pt>
                <c:pt idx="18">
                  <c:v>9.0436492156314126E-10</c:v>
                </c:pt>
                <c:pt idx="19">
                  <c:v>9.0001644752380326E-10</c:v>
                </c:pt>
                <c:pt idx="20">
                  <c:v>8.9557816864576248E-10</c:v>
                </c:pt>
                <c:pt idx="21">
                  <c:v>8.9104880191836188E-10</c:v>
                </c:pt>
                <c:pt idx="22">
                  <c:v>8.8642653856560657E-10</c:v>
                </c:pt>
                <c:pt idx="23">
                  <c:v>8.8170902865219674E-10</c:v>
                </c:pt>
                <c:pt idx="24">
                  <c:v>8.768933642949141E-10</c:v>
                </c:pt>
                <c:pt idx="25">
                  <c:v>8.7197606133756475E-10</c:v>
                </c:pt>
                <c:pt idx="26">
                  <c:v>8.6695303932118311E-10</c:v>
                </c:pt>
                <c:pt idx="27">
                  <c:v>8.6181959955070455E-10</c:v>
                </c:pt>
                <c:pt idx="28">
                  <c:v>8.5657040102412021E-10</c:v>
                </c:pt>
                <c:pt idx="29">
                  <c:v>8.5119943394924165E-10</c:v>
                </c:pt>
                <c:pt idx="30">
                  <c:v>8.4569999052555576E-10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8AA-4D81-B844-D35930CD1C98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'0.5M'!$S$5:$S$35</c:f>
              <c:numCache>
                <c:formatCode>General</c:formatCode>
                <c:ptCount val="31"/>
                <c:pt idx="0">
                  <c:v>4.194047500381159E-10</c:v>
                </c:pt>
                <c:pt idx="1">
                  <c:v>4.1805822430606573E-10</c:v>
                </c:pt>
                <c:pt idx="2">
                  <c:v>4.1664304549825585E-10</c:v>
                </c:pt>
                <c:pt idx="3">
                  <c:v>4.1516216144450928E-10</c:v>
                </c:pt>
                <c:pt idx="4">
                  <c:v>4.1361832867339159E-10</c:v>
                </c:pt>
                <c:pt idx="5">
                  <c:v>4.1201411251211238E-10</c:v>
                </c:pt>
                <c:pt idx="6">
                  <c:v>4.1035188727072116E-10</c:v>
                </c:pt>
                <c:pt idx="7">
                  <c:v>4.086338358816932E-10</c:v>
                </c:pt>
                <c:pt idx="8">
                  <c:v>4.0686194901084096E-10</c:v>
                </c:pt>
                <c:pt idx="9">
                  <c:v>4.0503802366741066E-10</c:v>
                </c:pt>
                <c:pt idx="10">
                  <c:v>4.0316366131469409E-10</c:v>
                </c:pt>
                <c:pt idx="11">
                  <c:v>4.0124026547942555E-10</c:v>
                </c:pt>
                <c:pt idx="12">
                  <c:v>3.9926903886126343E-10</c:v>
                </c:pt>
                <c:pt idx="13">
                  <c:v>3.9725097994259705E-10</c:v>
                </c:pt>
                <c:pt idx="14">
                  <c:v>3.9518687909497152E-10</c:v>
                </c:pt>
                <c:pt idx="15">
                  <c:v>3.9307731417334468E-10</c:v>
                </c:pt>
                <c:pt idx="16">
                  <c:v>3.9092264558378078E-10</c:v>
                </c:pt>
                <c:pt idx="17">
                  <c:v>3.8872301080409027E-10</c:v>
                </c:pt>
                <c:pt idx="18">
                  <c:v>3.8647831833021972E-10</c:v>
                </c:pt>
                <c:pt idx="19">
                  <c:v>3.8418824101372412E-10</c:v>
                </c:pt>
                <c:pt idx="20">
                  <c:v>3.8185220874723238E-10</c:v>
                </c:pt>
                <c:pt idx="21">
                  <c:v>3.794694004452569E-10</c:v>
                </c:pt>
                <c:pt idx="22">
                  <c:v>3.7703873525676759E-10</c:v>
                </c:pt>
                <c:pt idx="23">
                  <c:v>3.7455886293336059E-10</c:v>
                </c:pt>
                <c:pt idx="24">
                  <c:v>3.7202815326231507E-10</c:v>
                </c:pt>
                <c:pt idx="25">
                  <c:v>3.6944468445691183E-10</c:v>
                </c:pt>
                <c:pt idx="26">
                  <c:v>3.6680623037665251E-10</c:v>
                </c:pt>
                <c:pt idx="27">
                  <c:v>3.6411024642684587E-10</c:v>
                </c:pt>
                <c:pt idx="28">
                  <c:v>3.6135385395972707E-10</c:v>
                </c:pt>
                <c:pt idx="29">
                  <c:v>3.5853382296692652E-10</c:v>
                </c:pt>
                <c:pt idx="30">
                  <c:v>3.55646552814612E-10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8AA-4D81-B844-D35930CD1C98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'1M'!$S$5:$S$35</c:f>
              <c:numCache>
                <c:formatCode>General</c:formatCode>
                <c:ptCount val="31"/>
                <c:pt idx="0">
                  <c:v>2.8594431784052017E-10</c:v>
                </c:pt>
                <c:pt idx="1">
                  <c:v>2.8475794305917838E-10</c:v>
                </c:pt>
                <c:pt idx="2">
                  <c:v>2.8351935688254442E-10</c:v>
                </c:pt>
                <c:pt idx="3">
                  <c:v>2.8223055728297078E-10</c:v>
                </c:pt>
                <c:pt idx="4">
                  <c:v>2.8089340238319099E-10</c:v>
                </c:pt>
                <c:pt idx="5">
                  <c:v>2.7950961051310775E-10</c:v>
                </c:pt>
                <c:pt idx="6">
                  <c:v>2.780807597880373E-10</c:v>
                </c:pt>
                <c:pt idx="7">
                  <c:v>2.7660828722117402E-10</c:v>
                </c:pt>
                <c:pt idx="8">
                  <c:v>2.7509348737903316E-10</c:v>
                </c:pt>
                <c:pt idx="9">
                  <c:v>2.7353751058466671E-10</c:v>
                </c:pt>
                <c:pt idx="10">
                  <c:v>2.719413606694367E-10</c:v>
                </c:pt>
                <c:pt idx="11">
                  <c:v>2.7030589226998591E-10</c:v>
                </c:pt>
                <c:pt idx="12">
                  <c:v>2.6863180766269492E-10</c:v>
                </c:pt>
                <c:pt idx="13">
                  <c:v>2.6691965312322817E-10</c:v>
                </c:pt>
                <c:pt idx="14">
                  <c:v>2.6516981479368402E-10</c:v>
                </c:pt>
                <c:pt idx="15">
                  <c:v>2.6338251403422529E-10</c:v>
                </c:pt>
                <c:pt idx="16">
                  <c:v>2.6155780222975452E-10</c:v>
                </c:pt>
                <c:pt idx="17">
                  <c:v>2.5969555501506021E-10</c:v>
                </c:pt>
                <c:pt idx="18">
                  <c:v>2.5779546587369664E-10</c:v>
                </c:pt>
                <c:pt idx="19">
                  <c:v>2.5585703905647486E-10</c:v>
                </c:pt>
                <c:pt idx="20">
                  <c:v>2.5387958175454587E-10</c:v>
                </c:pt>
                <c:pt idx="21">
                  <c:v>2.5186219544936003E-10</c:v>
                </c:pt>
                <c:pt idx="22">
                  <c:v>2.4980376634688912E-10</c:v>
                </c:pt>
                <c:pt idx="23">
                  <c:v>2.4770295478591709E-10</c:v>
                </c:pt>
                <c:pt idx="24">
                  <c:v>2.4555818348938489E-10</c:v>
                </c:pt>
                <c:pt idx="25">
                  <c:v>2.4336762450294699E-10</c:v>
                </c:pt>
                <c:pt idx="26">
                  <c:v>2.4112918463518648E-10</c:v>
                </c:pt>
                <c:pt idx="27">
                  <c:v>2.3884048917815412E-10</c:v>
                </c:pt>
                <c:pt idx="28">
                  <c:v>2.3649886364360719E-10</c:v>
                </c:pt>
                <c:pt idx="29">
                  <c:v>2.3410131319763152E-10</c:v>
                </c:pt>
                <c:pt idx="30">
                  <c:v>2.3164449941183682E-10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8AA-4D81-B844-D35930CD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645400"/>
        <c:axId val="238645792"/>
      </c:scatterChart>
      <c:valAx>
        <c:axId val="238645400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5792"/>
        <c:crossesAt val="0"/>
        <c:crossBetween val="midCat"/>
        <c:majorUnit val="20"/>
        <c:minorUnit val="10"/>
      </c:valAx>
      <c:valAx>
        <c:axId val="238645792"/>
        <c:scaling>
          <c:logBase val="10"/>
          <c:orientation val="minMax"/>
          <c:max val="1.0000000000000004E-6"/>
          <c:min val="1.0000000000000006E-11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Debye length (m)</a:t>
                </a:r>
              </a:p>
            </c:rich>
          </c:tx>
          <c:layout>
            <c:manualLayout>
              <c:xMode val="edge"/>
              <c:yMode val="edge"/>
              <c:x val="2.6225335186226034E-2"/>
              <c:y val="0.2612291086223725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540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032992263276344"/>
          <c:y val="2.9962804113133047E-2"/>
          <c:w val="0.17513395617333027"/>
          <c:h val="0.41472055194504759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'1e-5M'!$V$5:$V$35</c:f>
              <c:numCache>
                <c:formatCode>0.000E+00</c:formatCode>
                <c:ptCount val="31"/>
                <c:pt idx="0">
                  <c:v>-0.1451054808312616</c:v>
                </c:pt>
                <c:pt idx="1">
                  <c:v>-0.1080787994763665</c:v>
                </c:pt>
                <c:pt idx="2">
                  <c:v>-9.8032578330378276E-2</c:v>
                </c:pt>
                <c:pt idx="3">
                  <c:v>-9.1819898239019884E-2</c:v>
                </c:pt>
                <c:pt idx="4">
                  <c:v>-8.4942348009639221E-2</c:v>
                </c:pt>
                <c:pt idx="5">
                  <c:v>-7.5843668412544016E-2</c:v>
                </c:pt>
                <c:pt idx="6">
                  <c:v>-6.4457002252624074E-2</c:v>
                </c:pt>
                <c:pt idx="7">
                  <c:v>-5.1274888328918827E-2</c:v>
                </c:pt>
                <c:pt idx="8">
                  <c:v>-3.6861027374032858E-2</c:v>
                </c:pt>
                <c:pt idx="9">
                  <c:v>-2.1786359056022896E-2</c:v>
                </c:pt>
                <c:pt idx="10">
                  <c:v>-6.5676712376401816E-3</c:v>
                </c:pt>
                <c:pt idx="11">
                  <c:v>8.4314860994763371E-3</c:v>
                </c:pt>
                <c:pt idx="12">
                  <c:v>2.3016012149227705E-2</c:v>
                </c:pt>
                <c:pt idx="13">
                  <c:v>3.7110970355047762E-2</c:v>
                </c:pt>
                <c:pt idx="14">
                  <c:v>5.0709187988497065E-2</c:v>
                </c:pt>
                <c:pt idx="15">
                  <c:v>6.3836154971326067E-2</c:v>
                </c:pt>
                <c:pt idx="16">
                  <c:v>7.65305397912176E-2</c:v>
                </c:pt>
                <c:pt idx="17">
                  <c:v>8.883436661910514E-2</c:v>
                </c:pt>
                <c:pt idx="18">
                  <c:v>0.10078841741440787</c:v>
                </c:pt>
                <c:pt idx="19">
                  <c:v>0.11243029521638873</c:v>
                </c:pt>
                <c:pt idx="20">
                  <c:v>0.12379379406706291</c:v>
                </c:pt>
                <c:pt idx="21">
                  <c:v>0.13490888518537061</c:v>
                </c:pt>
                <c:pt idx="22">
                  <c:v>0.14580197354411711</c:v>
                </c:pt>
                <c:pt idx="23">
                  <c:v>0.15649625422183169</c:v>
                </c:pt>
                <c:pt idx="24">
                  <c:v>0.16701208649232963</c:v>
                </c:pt>
                <c:pt idx="25">
                  <c:v>0.17736734826868061</c:v>
                </c:pt>
                <c:pt idx="26">
                  <c:v>0.18757775585960723</c:v>
                </c:pt>
                <c:pt idx="27">
                  <c:v>0.19765714496302772</c:v>
                </c:pt>
                <c:pt idx="28">
                  <c:v>0.20761771397929893</c:v>
                </c:pt>
                <c:pt idx="29">
                  <c:v>0.21747023293036957</c:v>
                </c:pt>
                <c:pt idx="30">
                  <c:v>0.22722422199451159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B0-4866-9B73-2E569E9CD0DF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'0.0001M'!$V$5:$V$35</c:f>
              <c:numCache>
                <c:formatCode>0.000E+00</c:formatCode>
                <c:ptCount val="31"/>
                <c:pt idx="0">
                  <c:v>-0.1250381344745275</c:v>
                </c:pt>
                <c:pt idx="1">
                  <c:v>-9.5659829916499156E-2</c:v>
                </c:pt>
                <c:pt idx="2">
                  <c:v>-8.7915640327248884E-2</c:v>
                </c:pt>
                <c:pt idx="3">
                  <c:v>-8.3263724659037988E-2</c:v>
                </c:pt>
                <c:pt idx="4">
                  <c:v>-7.817799173258469E-2</c:v>
                </c:pt>
                <c:pt idx="5">
                  <c:v>-7.1553823634812191E-2</c:v>
                </c:pt>
                <c:pt idx="6">
                  <c:v>-6.3552410589740871E-2</c:v>
                </c:pt>
                <c:pt idx="7">
                  <c:v>-5.4795214062308355E-2</c:v>
                </c:pt>
                <c:pt idx="8">
                  <c:v>-4.5816697068128805E-2</c:v>
                </c:pt>
                <c:pt idx="9">
                  <c:v>-3.6917700023941576E-2</c:v>
                </c:pt>
                <c:pt idx="10">
                  <c:v>-2.8215663083805426E-2</c:v>
                </c:pt>
                <c:pt idx="11">
                  <c:v>-1.9723497591456769E-2</c:v>
                </c:pt>
                <c:pt idx="12">
                  <c:v>-1.1406799409727662E-2</c:v>
                </c:pt>
                <c:pt idx="13">
                  <c:v>-3.2182679524502128E-3</c:v>
                </c:pt>
                <c:pt idx="14">
                  <c:v>4.8836555349453595E-3</c:v>
                </c:pt>
                <c:pt idx="15">
                  <c:v>1.2926738372836071E-2</c:v>
                </c:pt>
                <c:pt idx="16">
                  <c:v>2.0923985557043639E-2</c:v>
                </c:pt>
                <c:pt idx="17">
                  <c:v>2.8876753923113414E-2</c:v>
                </c:pt>
                <c:pt idx="18">
                  <c:v>3.6779326906355471E-2</c:v>
                </c:pt>
                <c:pt idx="19">
                  <c:v>4.4623106599518375E-2</c:v>
                </c:pt>
                <c:pt idx="20">
                  <c:v>5.2399563628834966E-2</c:v>
                </c:pt>
                <c:pt idx="21">
                  <c:v>6.0101860835428692E-2</c:v>
                </c:pt>
                <c:pt idx="22">
                  <c:v>6.772545875953899E-2</c:v>
                </c:pt>
                <c:pt idx="23">
                  <c:v>7.5268093547415343E-2</c:v>
                </c:pt>
                <c:pt idx="24">
                  <c:v>8.2729445160594661E-2</c:v>
                </c:pt>
                <c:pt idx="25">
                  <c:v>9.0110702590338002E-2</c:v>
                </c:pt>
                <c:pt idx="26">
                  <c:v>9.7414138788484095E-2</c:v>
                </c:pt>
                <c:pt idx="27">
                  <c:v>0.10464274524440766</c:v>
                </c:pt>
                <c:pt idx="28">
                  <c:v>0.11179994026944935</c:v>
                </c:pt>
                <c:pt idx="29">
                  <c:v>0.11888934736151298</c:v>
                </c:pt>
                <c:pt idx="30">
                  <c:v>0.12591463296098876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B0-4866-9B73-2E569E9CD0DF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'0.001M'!$V$5:$V$35</c:f>
              <c:numCache>
                <c:formatCode>0.000E+00</c:formatCode>
                <c:ptCount val="31"/>
                <c:pt idx="0">
                  <c:v>-0.10488782377381374</c:v>
                </c:pt>
                <c:pt idx="1">
                  <c:v>-8.3087764750962745E-2</c:v>
                </c:pt>
                <c:pt idx="2">
                  <c:v>-7.7501201535191327E-2</c:v>
                </c:pt>
                <c:pt idx="3">
                  <c:v>-7.4234513199847016E-2</c:v>
                </c:pt>
                <c:pt idx="4">
                  <c:v>-7.0646984840426502E-2</c:v>
                </c:pt>
                <c:pt idx="5">
                  <c:v>-6.5915537737469942E-2</c:v>
                </c:pt>
                <c:pt idx="6">
                  <c:v>-6.0169430784281878E-2</c:v>
                </c:pt>
                <c:pt idx="7">
                  <c:v>-5.3887418165677062E-2</c:v>
                </c:pt>
                <c:pt idx="8">
                  <c:v>-4.7488005358546713E-2</c:v>
                </c:pt>
                <c:pt idx="9">
                  <c:v>-4.1219270608193824E-2</c:v>
                </c:pt>
                <c:pt idx="10">
                  <c:v>-3.5195138816916639E-2</c:v>
                </c:pt>
                <c:pt idx="11">
                  <c:v>-2.9451796040055274E-2</c:v>
                </c:pt>
                <c:pt idx="12">
                  <c:v>-2.3986760210307934E-2</c:v>
                </c:pt>
                <c:pt idx="13">
                  <c:v>-1.878062231586565E-2</c:v>
                </c:pt>
                <c:pt idx="14">
                  <c:v>-1.3808015093394688E-2</c:v>
                </c:pt>
                <c:pt idx="15">
                  <c:v>-9.0427983392198114E-3</c:v>
                </c:pt>
                <c:pt idx="16">
                  <c:v>-4.4603268006020453E-3</c:v>
                </c:pt>
                <c:pt idx="17">
                  <c:v>-3.8297797216419977E-5</c:v>
                </c:pt>
                <c:pt idx="18">
                  <c:v>4.2430686574426498E-3</c:v>
                </c:pt>
                <c:pt idx="19">
                  <c:v>8.4011456432130354E-3</c:v>
                </c:pt>
                <c:pt idx="20">
                  <c:v>1.2451130381610172E-2</c:v>
                </c:pt>
                <c:pt idx="21">
                  <c:v>1.6406304812967697E-2</c:v>
                </c:pt>
                <c:pt idx="22">
                  <c:v>2.0278286939944538E-2</c:v>
                </c:pt>
                <c:pt idx="23">
                  <c:v>2.4077257225647269E-2</c:v>
                </c:pt>
                <c:pt idx="24">
                  <c:v>2.7812155429307622E-2</c:v>
                </c:pt>
                <c:pt idx="25">
                  <c:v>3.1490848381249409E-2</c:v>
                </c:pt>
                <c:pt idx="26">
                  <c:v>3.5120271348693319E-2</c:v>
                </c:pt>
                <c:pt idx="27">
                  <c:v>3.8706546343750849E-2</c:v>
                </c:pt>
                <c:pt idx="28">
                  <c:v>4.2255080742738149E-2</c:v>
                </c:pt>
                <c:pt idx="29">
                  <c:v>4.5770649307645628E-2</c:v>
                </c:pt>
                <c:pt idx="30">
                  <c:v>4.9257462316900223E-2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B0-4866-9B73-2E569E9CD0DF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'0.01M'!$V$5:$V$35</c:f>
              <c:numCache>
                <c:formatCode>0.000E+00</c:formatCode>
                <c:ptCount val="31"/>
                <c:pt idx="0">
                  <c:v>-8.4581896890819658E-2</c:v>
                </c:pt>
                <c:pt idx="1">
                  <c:v>-7.044719892780392E-2</c:v>
                </c:pt>
                <c:pt idx="2">
                  <c:v>-6.7025949563923215E-2</c:v>
                </c:pt>
                <c:pt idx="3">
                  <c:v>-6.514403992828624E-2</c:v>
                </c:pt>
                <c:pt idx="4">
                  <c:v>-6.3048616331396551E-2</c:v>
                </c:pt>
                <c:pt idx="5">
                  <c:v>-6.0192203828079015E-2</c:v>
                </c:pt>
                <c:pt idx="6">
                  <c:v>-5.6660464615285094E-2</c:v>
                </c:pt>
                <c:pt idx="7">
                  <c:v>-5.2772161362354401E-2</c:v>
                </c:pt>
                <c:pt idx="8">
                  <c:v>-4.8806465097115968E-2</c:v>
                </c:pt>
                <c:pt idx="9">
                  <c:v>-4.4929261130024309E-2</c:v>
                </c:pt>
                <c:pt idx="10">
                  <c:v>-4.121708431533308E-2</c:v>
                </c:pt>
                <c:pt idx="11">
                  <c:v>-3.7694627821091647E-2</c:v>
                </c:pt>
                <c:pt idx="12">
                  <c:v>-3.4360772179867785E-2</c:v>
                </c:pt>
                <c:pt idx="13">
                  <c:v>-3.1203088312381545E-2</c:v>
                </c:pt>
                <c:pt idx="14">
                  <c:v>-2.8205162878771461E-2</c:v>
                </c:pt>
                <c:pt idx="15">
                  <c:v>-2.5350065489566455E-2</c:v>
                </c:pt>
                <c:pt idx="16">
                  <c:v>-2.2621867562066311E-2</c:v>
                </c:pt>
                <c:pt idx="17">
                  <c:v>-2.0006211525098704E-2</c:v>
                </c:pt>
                <c:pt idx="18">
                  <c:v>-1.7490432972794439E-2</c:v>
                </c:pt>
                <c:pt idx="19">
                  <c:v>-1.5063484092204416E-2</c:v>
                </c:pt>
                <c:pt idx="20">
                  <c:v>-1.2715779217214422E-2</c:v>
                </c:pt>
                <c:pt idx="21">
                  <c:v>-1.0439019952306193E-2</c:v>
                </c:pt>
                <c:pt idx="22">
                  <c:v>-8.2260259091061095E-3</c:v>
                </c:pt>
                <c:pt idx="23">
                  <c:v>-6.0705816775593413E-3</c:v>
                </c:pt>
                <c:pt idx="24">
                  <c:v>-3.967303225314662E-3</c:v>
                </c:pt>
                <c:pt idx="25">
                  <c:v>-1.9115234886264323E-3</c:v>
                </c:pt>
                <c:pt idx="26">
                  <c:v>1.0080452434696368E-4</c:v>
                </c:pt>
                <c:pt idx="27">
                  <c:v>2.0731892678153081E-3</c:v>
                </c:pt>
                <c:pt idx="28">
                  <c:v>4.0086689937988184E-3</c:v>
                </c:pt>
                <c:pt idx="29">
                  <c:v>5.9098688676085401E-3</c:v>
                </c:pt>
                <c:pt idx="30">
                  <c:v>7.7790485872415932E-3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9B0-4866-9B73-2E569E9CD0DF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'0.1M'!$V$5:$V$35</c:f>
              <c:numCache>
                <c:formatCode>0.000E+00</c:formatCode>
                <c:ptCount val="31"/>
                <c:pt idx="0">
                  <c:v>-6.3056618480535911E-2</c:v>
                </c:pt>
                <c:pt idx="1">
                  <c:v>-5.6978714010434389E-2</c:v>
                </c:pt>
                <c:pt idx="2">
                  <c:v>-5.5816344861700853E-2</c:v>
                </c:pt>
                <c:pt idx="3">
                  <c:v>-5.5373298957316998E-2</c:v>
                </c:pt>
                <c:pt idx="4">
                  <c:v>-5.4824339531395469E-2</c:v>
                </c:pt>
                <c:pt idx="5">
                  <c:v>-5.3906408656447413E-2</c:v>
                </c:pt>
                <c:pt idx="6">
                  <c:v>-5.2656986847766374E-2</c:v>
                </c:pt>
                <c:pt idx="7">
                  <c:v>-5.1227478911175926E-2</c:v>
                </c:pt>
                <c:pt idx="8">
                  <c:v>-4.9753049196286349E-2</c:v>
                </c:pt>
                <c:pt idx="9">
                  <c:v>-4.8315698936268678E-2</c:v>
                </c:pt>
                <c:pt idx="10">
                  <c:v>-4.6954512132524606E-2</c:v>
                </c:pt>
                <c:pt idx="11">
                  <c:v>-4.568320321921053E-2</c:v>
                </c:pt>
                <c:pt idx="12">
                  <c:v>-4.4502582333211881E-2</c:v>
                </c:pt>
                <c:pt idx="13">
                  <c:v>-4.3407622665620628E-2</c:v>
                </c:pt>
                <c:pt idx="14">
                  <c:v>-4.2391093525181417E-2</c:v>
                </c:pt>
                <c:pt idx="15">
                  <c:v>-4.1445317770318034E-2</c:v>
                </c:pt>
                <c:pt idx="16">
                  <c:v>-4.0562967571511593E-2</c:v>
                </c:pt>
                <c:pt idx="17">
                  <c:v>-3.9737383442798438E-2</c:v>
                </c:pt>
                <c:pt idx="18">
                  <c:v>-3.8962663907742272E-2</c:v>
                </c:pt>
                <c:pt idx="19">
                  <c:v>-3.8233649778434721E-2</c:v>
                </c:pt>
                <c:pt idx="20">
                  <c:v>-3.7545864413901224E-2</c:v>
                </c:pt>
                <c:pt idx="21">
                  <c:v>-3.6895439788923581E-2</c:v>
                </c:pt>
                <c:pt idx="22">
                  <c:v>-3.6279042368814088E-2</c:v>
                </c:pt>
                <c:pt idx="23">
                  <c:v>-3.5693804875721082E-2</c:v>
                </c:pt>
                <c:pt idx="24">
                  <c:v>-3.5137266134407631E-2</c:v>
                </c:pt>
                <c:pt idx="25">
                  <c:v>-3.460731932298651E-2</c:v>
                </c:pt>
                <c:pt idx="26">
                  <c:v>-3.4102168121382226E-2</c:v>
                </c:pt>
                <c:pt idx="27">
                  <c:v>-3.362028993296514E-2</c:v>
                </c:pt>
                <c:pt idx="28">
                  <c:v>-3.3160405288888598E-2</c:v>
                </c:pt>
                <c:pt idx="29">
                  <c:v>-3.2721452594996467E-2</c:v>
                </c:pt>
                <c:pt idx="30">
                  <c:v>-3.2302567479302935E-2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9B0-4866-9B73-2E569E9CD0DF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'0.5M'!$V$5:$V$35</c:f>
              <c:numCache>
                <c:formatCode>0.000E+00</c:formatCode>
                <c:ptCount val="31"/>
                <c:pt idx="0">
                  <c:v>-4.456482020487218E-2</c:v>
                </c:pt>
                <c:pt idx="1">
                  <c:v>-4.3823235481201553E-2</c:v>
                </c:pt>
                <c:pt idx="2">
                  <c:v>-4.4169316048569003E-2</c:v>
                </c:pt>
                <c:pt idx="3">
                  <c:v>-4.4678225820079236E-2</c:v>
                </c:pt>
                <c:pt idx="4">
                  <c:v>-4.5166122568054773E-2</c:v>
                </c:pt>
                <c:pt idx="5">
                  <c:v>-4.5573335058043146E-2</c:v>
                </c:pt>
                <c:pt idx="6">
                  <c:v>-4.5907201566531074E-2</c:v>
                </c:pt>
                <c:pt idx="7">
                  <c:v>-4.6201076946139556E-2</c:v>
                </c:pt>
                <c:pt idx="8">
                  <c:v>-4.6485353086252845E-2</c:v>
                </c:pt>
                <c:pt idx="9">
                  <c:v>-4.6778922653144817E-2</c:v>
                </c:pt>
                <c:pt idx="10">
                  <c:v>-4.7091187267051193E-2</c:v>
                </c:pt>
                <c:pt idx="11">
                  <c:v>-4.742583350908193E-2</c:v>
                </c:pt>
                <c:pt idx="12">
                  <c:v>-4.7783573342340166E-2</c:v>
                </c:pt>
                <c:pt idx="13">
                  <c:v>-4.8163724734689675E-2</c:v>
                </c:pt>
                <c:pt idx="14">
                  <c:v>-4.856504020970849E-2</c:v>
                </c:pt>
                <c:pt idx="15">
                  <c:v>-4.8986118393557598E-2</c:v>
                </c:pt>
                <c:pt idx="16">
                  <c:v>-4.9425598363582082E-2</c:v>
                </c:pt>
                <c:pt idx="17">
                  <c:v>-4.9882244287137383E-2</c:v>
                </c:pt>
                <c:pt idx="18">
                  <c:v>-5.0354975955866417E-2</c:v>
                </c:pt>
                <c:pt idx="19">
                  <c:v>-5.0842873536576315E-2</c:v>
                </c:pt>
                <c:pt idx="20">
                  <c:v>-5.1345170842332026E-2</c:v>
                </c:pt>
                <c:pt idx="21">
                  <c:v>-5.1861244271565229E-2</c:v>
                </c:pt>
                <c:pt idx="22">
                  <c:v>-5.2390600913103838E-2</c:v>
                </c:pt>
                <c:pt idx="23">
                  <c:v>-5.293286745665738E-2</c:v>
                </c:pt>
                <c:pt idx="24">
                  <c:v>-5.3487780609641898E-2</c:v>
                </c:pt>
                <c:pt idx="25">
                  <c:v>-5.4055179257127418E-2</c:v>
                </c:pt>
                <c:pt idx="26">
                  <c:v>-5.4634998383120685E-2</c:v>
                </c:pt>
                <c:pt idx="27">
                  <c:v>-5.5227264679693522E-2</c:v>
                </c:pt>
                <c:pt idx="28">
                  <c:v>-5.5832093743849273E-2</c:v>
                </c:pt>
                <c:pt idx="29">
                  <c:v>-5.6449688768360852E-2</c:v>
                </c:pt>
                <c:pt idx="30">
                  <c:v>-5.7080340655615312E-2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9B0-4866-9B73-2E569E9CD0DF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'1M'!$V$5:$V$35</c:f>
              <c:numCache>
                <c:formatCode>0.000E+00</c:formatCode>
                <c:ptCount val="31"/>
                <c:pt idx="0">
                  <c:v>-3.4769203832929342E-2</c:v>
                </c:pt>
                <c:pt idx="1">
                  <c:v>-3.5472111976006686E-2</c:v>
                </c:pt>
                <c:pt idx="2">
                  <c:v>-3.6180688652909583E-2</c:v>
                </c:pt>
                <c:pt idx="3">
                  <c:v>-3.6895032612293613E-2</c:v>
                </c:pt>
                <c:pt idx="4">
                  <c:v>-3.7615246007265721E-2</c:v>
                </c:pt>
                <c:pt idx="5">
                  <c:v>-3.8341435164852694E-2</c:v>
                </c:pt>
                <c:pt idx="6">
                  <c:v>-3.9073711417988502E-2</c:v>
                </c:pt>
                <c:pt idx="7">
                  <c:v>-3.9812192006565772E-2</c:v>
                </c:pt>
                <c:pt idx="8">
                  <c:v>-4.0557001054704535E-2</c:v>
                </c:pt>
                <c:pt idx="9">
                  <c:v>-4.1308270632102982E-2</c:v>
                </c:pt>
                <c:pt idx="10">
                  <c:v>-4.2066141908166793E-2</c:v>
                </c:pt>
                <c:pt idx="11">
                  <c:v>-4.2830766408588808E-2</c:v>
                </c:pt>
                <c:pt idx="12">
                  <c:v>-4.3602307385193308E-2</c:v>
                </c:pt>
                <c:pt idx="13">
                  <c:v>-4.4380941311202723E-2</c:v>
                </c:pt>
                <c:pt idx="14">
                  <c:v>-4.5166859515664563E-2</c:v>
                </c:pt>
                <c:pt idx="15">
                  <c:v>-4.5960269972641181E-2</c:v>
                </c:pt>
                <c:pt idx="16">
                  <c:v>-4.6761399262969496E-2</c:v>
                </c:pt>
                <c:pt idx="17">
                  <c:v>-4.7570494729009906E-2</c:v>
                </c:pt>
                <c:pt idx="18">
                  <c:v>-4.8387826845908942E-2</c:v>
                </c:pt>
                <c:pt idx="19">
                  <c:v>-4.9213691836598412E-2</c:v>
                </c:pt>
                <c:pt idx="20">
                  <c:v>-5.0048414562175035E-2</c:v>
                </c:pt>
                <c:pt idx="21">
                  <c:v>-5.0892351724602478E-2</c:v>
                </c:pt>
                <c:pt idx="22">
                  <c:v>-5.17458954250496E-2</c:v>
                </c:pt>
                <c:pt idx="23">
                  <c:v>-5.2609477128868896E-2</c:v>
                </c:pt>
                <c:pt idx="24">
                  <c:v>-5.3483572097532579E-2</c:v>
                </c:pt>
                <c:pt idx="25">
                  <c:v>-5.4368704359172911E-2</c:v>
                </c:pt>
                <c:pt idx="26">
                  <c:v>-5.5265452303207986E-2</c:v>
                </c:pt>
                <c:pt idx="27">
                  <c:v>-5.6174455001511678E-2</c:v>
                </c:pt>
                <c:pt idx="28">
                  <c:v>-5.7096419379519189E-2</c:v>
                </c:pt>
                <c:pt idx="29">
                  <c:v>-5.8032128386607811E-2</c:v>
                </c:pt>
                <c:pt idx="30">
                  <c:v>-5.8982450347438702E-2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9B0-4866-9B73-2E569E9CD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646576"/>
        <c:axId val="238646968"/>
      </c:scatterChart>
      <c:valAx>
        <c:axId val="238646576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6968"/>
        <c:crossesAt val="-0.14000000000000001"/>
        <c:crossBetween val="midCat"/>
        <c:majorUnit val="20"/>
        <c:minorUnit val="10"/>
      </c:valAx>
      <c:valAx>
        <c:axId val="238646968"/>
        <c:scaling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Stern potential (V)</a:t>
                </a:r>
              </a:p>
            </c:rich>
          </c:tx>
          <c:layout>
            <c:manualLayout>
              <c:xMode val="edge"/>
              <c:yMode val="edge"/>
              <c:x val="2.879392825049891E-2"/>
              <c:y val="0.2406421524632131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6576"/>
        <c:crossesAt val="-0.14000000000000001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18281222917261"/>
          <c:y val="2.9962786684104792E-2"/>
          <c:w val="0.17256536310905737"/>
          <c:h val="0.41329745855563327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'1e-5M'!$X$5:$X$35</c:f>
              <c:numCache>
                <c:formatCode>0.00</c:formatCode>
                <c:ptCount val="31"/>
                <c:pt idx="0">
                  <c:v>-147.33194815284907</c:v>
                </c:pt>
                <c:pt idx="1">
                  <c:v>-112.10186901411313</c:v>
                </c:pt>
                <c:pt idx="2">
                  <c:v>-102.50303676519935</c:v>
                </c:pt>
                <c:pt idx="3">
                  <c:v>-96.543449000932128</c:v>
                </c:pt>
                <c:pt idx="4">
                  <c:v>-89.930057992892102</c:v>
                </c:pt>
                <c:pt idx="5">
                  <c:v>-81.157770761279124</c:v>
                </c:pt>
                <c:pt idx="6">
                  <c:v>-70.140506640420881</c:v>
                </c:pt>
                <c:pt idx="7">
                  <c:v>-57.361201536748077</c:v>
                </c:pt>
                <c:pt idx="8">
                  <c:v>-43.456535143601883</c:v>
                </c:pt>
                <c:pt idx="9">
                  <c:v>-29.172885954746423</c:v>
                </c:pt>
                <c:pt idx="10">
                  <c:v>-15.267902775603602</c:v>
                </c:pt>
                <c:pt idx="11">
                  <c:v>-2.3599446900008516</c:v>
                </c:pt>
                <c:pt idx="12">
                  <c:v>9.1209617933186387</c:v>
                </c:pt>
                <c:pt idx="13">
                  <c:v>18.901829027636431</c:v>
                </c:pt>
                <c:pt idx="14">
                  <c:v>26.82429553921175</c:v>
                </c:pt>
                <c:pt idx="15">
                  <c:v>32.817309100937536</c:v>
                </c:pt>
                <c:pt idx="16">
                  <c:v>36.883739392631668</c:v>
                </c:pt>
                <c:pt idx="17">
                  <c:v>39.094009001589313</c:v>
                </c:pt>
                <c:pt idx="18">
                  <c:v>39.581257667927396</c:v>
                </c:pt>
                <c:pt idx="19">
                  <c:v>38.534816133633932</c:v>
                </c:pt>
                <c:pt idx="20">
                  <c:v>36.190524464276628</c:v>
                </c:pt>
                <c:pt idx="21">
                  <c:v>32.817682891609167</c:v>
                </c:pt>
                <c:pt idx="22">
                  <c:v>28.703317486823718</c:v>
                </c:pt>
                <c:pt idx="23">
                  <c:v>24.135052437259628</c:v>
                </c:pt>
                <c:pt idx="24">
                  <c:v>19.384218268555887</c:v>
                </c:pt>
                <c:pt idx="25">
                  <c:v>14.690885116705315</c:v>
                </c:pt>
                <c:pt idx="26">
                  <c:v>10.252300336733621</c:v>
                </c:pt>
                <c:pt idx="27">
                  <c:v>6.2157707138631286</c:v>
                </c:pt>
                <c:pt idx="28">
                  <c:v>2.6764373591794519</c:v>
                </c:pt>
                <c:pt idx="29">
                  <c:v>-0.32025138420702437</c:v>
                </c:pt>
                <c:pt idx="30">
                  <c:v>-2.7721461509409853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D5-4BA4-B978-1AE7E50A26B2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'0.0001M'!$X$5:$X$35</c:f>
              <c:numCache>
                <c:formatCode>0.00</c:formatCode>
                <c:ptCount val="31"/>
                <c:pt idx="0">
                  <c:v>-115.78381723007278</c:v>
                </c:pt>
                <c:pt idx="1">
                  <c:v>-90.773341525529332</c:v>
                </c:pt>
                <c:pt idx="2">
                  <c:v>-84.156977014574679</c:v>
                </c:pt>
                <c:pt idx="3">
                  <c:v>-80.169718649077836</c:v>
                </c:pt>
                <c:pt idx="4">
                  <c:v>-75.813807052445938</c:v>
                </c:pt>
                <c:pt idx="5">
                  <c:v>-70.150313939830923</c:v>
                </c:pt>
                <c:pt idx="6">
                  <c:v>-63.315338513867545</c:v>
                </c:pt>
                <c:pt idx="7">
                  <c:v>-55.8357007673224</c:v>
                </c:pt>
                <c:pt idx="8">
                  <c:v>-48.165797538828613</c:v>
                </c:pt>
                <c:pt idx="9">
                  <c:v>-40.565431517554657</c:v>
                </c:pt>
                <c:pt idx="10">
                  <c:v>-33.144807715228154</c:v>
                </c:pt>
                <c:pt idx="11">
                  <c:v>-25.933544604836051</c:v>
                </c:pt>
                <c:pt idx="12">
                  <c:v>-18.930623894106663</c:v>
                </c:pt>
                <c:pt idx="13">
                  <c:v>-12.133842204656364</c:v>
                </c:pt>
                <c:pt idx="14">
                  <c:v>-5.5543613097430589</c:v>
                </c:pt>
                <c:pt idx="15">
                  <c:v>0.77919071526911732</c:v>
                </c:pt>
                <c:pt idx="16">
                  <c:v>6.8235457637161376</c:v>
                </c:pt>
                <c:pt idx="17">
                  <c:v>12.527184989369983</c:v>
                </c:pt>
                <c:pt idx="18">
                  <c:v>17.837336379392152</c:v>
                </c:pt>
                <c:pt idx="19">
                  <c:v>22.705646823671717</c:v>
                </c:pt>
                <c:pt idx="20">
                  <c:v>27.091802205026472</c:v>
                </c:pt>
                <c:pt idx="21">
                  <c:v>30.965248197877042</c:v>
                </c:pt>
                <c:pt idx="22">
                  <c:v>34.305550270455804</c:v>
                </c:pt>
                <c:pt idx="23">
                  <c:v>37.101953548546099</c:v>
                </c:pt>
                <c:pt idx="24">
                  <c:v>39.352562873390632</c:v>
                </c:pt>
                <c:pt idx="25">
                  <c:v>41.063400070685475</c:v>
                </c:pt>
                <c:pt idx="26">
                  <c:v>42.247469011494509</c:v>
                </c:pt>
                <c:pt idx="27">
                  <c:v>42.923879583016983</c:v>
                </c:pt>
                <c:pt idx="28">
                  <c:v>43.117039334509712</c:v>
                </c:pt>
                <c:pt idx="29">
                  <c:v>42.855903060267472</c:v>
                </c:pt>
                <c:pt idx="30">
                  <c:v>42.173265396620721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2D5-4BA4-B978-1AE7E50A26B2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'0.001M'!$X$5:$X$35</c:f>
              <c:numCache>
                <c:formatCode>0.00</c:formatCode>
                <c:ptCount val="31"/>
                <c:pt idx="0">
                  <c:v>-72.240767686273472</c:v>
                </c:pt>
                <c:pt idx="1">
                  <c:v>-59.140062642834117</c:v>
                </c:pt>
                <c:pt idx="2">
                  <c:v>-55.742446826913813</c:v>
                </c:pt>
                <c:pt idx="3">
                  <c:v>-53.732465043478754</c:v>
                </c:pt>
                <c:pt idx="4">
                  <c:v>-51.533549377987235</c:v>
                </c:pt>
                <c:pt idx="5">
                  <c:v>-48.657925883033244</c:v>
                </c:pt>
                <c:pt idx="6">
                  <c:v>-45.18593660051588</c:v>
                </c:pt>
                <c:pt idx="7">
                  <c:v>-41.404710983025332</c:v>
                </c:pt>
                <c:pt idx="8">
                  <c:v>-37.564097762111373</c:v>
                </c:pt>
                <c:pt idx="9">
                  <c:v>-33.81177855479222</c:v>
                </c:pt>
                <c:pt idx="10">
                  <c:v>-30.215412311821712</c:v>
                </c:pt>
                <c:pt idx="11">
                  <c:v>-26.796474329335116</c:v>
                </c:pt>
                <c:pt idx="12">
                  <c:v>-23.553599626527891</c:v>
                </c:pt>
                <c:pt idx="13">
                  <c:v>-20.47553979419548</c:v>
                </c:pt>
                <c:pt idx="14">
                  <c:v>-17.547684397918704</c:v>
                </c:pt>
                <c:pt idx="15">
                  <c:v>-14.755135171039029</c:v>
                </c:pt>
                <c:pt idx="16">
                  <c:v>-12.084044939933712</c:v>
                </c:pt>
                <c:pt idx="17">
                  <c:v>-9.5221138075773553</c:v>
                </c:pt>
                <c:pt idx="18">
                  <c:v>-7.0586905070524084</c:v>
                </c:pt>
                <c:pt idx="19">
                  <c:v>-4.6846995496829749</c:v>
                </c:pt>
                <c:pt idx="20">
                  <c:v>-2.392501119361107</c:v>
                </c:pt>
                <c:pt idx="21">
                  <c:v>-0.17573425791767711</c:v>
                </c:pt>
                <c:pt idx="22">
                  <c:v>1.9708339675475872</c:v>
                </c:pt>
                <c:pt idx="23">
                  <c:v>4.0514442533007795</c:v>
                </c:pt>
                <c:pt idx="24">
                  <c:v>6.0694632705863443</c:v>
                </c:pt>
                <c:pt idx="25">
                  <c:v>8.0274847537842806</c:v>
                </c:pt>
                <c:pt idx="26">
                  <c:v>9.9274151488964328</c:v>
                </c:pt>
                <c:pt idx="27">
                  <c:v>11.770545880982363</c:v>
                </c:pt>
                <c:pt idx="28">
                  <c:v>13.557614273388326</c:v>
                </c:pt>
                <c:pt idx="29">
                  <c:v>15.288854953377855</c:v>
                </c:pt>
                <c:pt idx="30">
                  <c:v>16.964043320636684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2D5-4BA4-B978-1AE7E50A26B2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2D5-4BA4-B978-1AE7E50A26B2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'0.1M'!$X$5:$X$35</c:f>
              <c:numCache>
                <c:formatCode>0.00</c:formatCode>
                <c:ptCount val="31"/>
                <c:pt idx="0">
                  <c:v>-9.8561014507874223</c:v>
                </c:pt>
                <c:pt idx="1">
                  <c:v>-9.8176286016179528</c:v>
                </c:pt>
                <c:pt idx="2">
                  <c:v>-9.8068753230995203</c:v>
                </c:pt>
                <c:pt idx="3">
                  <c:v>-9.8000091153544826</c:v>
                </c:pt>
                <c:pt idx="4">
                  <c:v>-9.7924758293978815</c:v>
                </c:pt>
                <c:pt idx="5">
                  <c:v>-9.7829415363212338</c:v>
                </c:pt>
                <c:pt idx="6">
                  <c:v>-9.7717167635554585</c:v>
                </c:pt>
                <c:pt idx="7">
                  <c:v>-9.7596797483940758</c:v>
                </c:pt>
                <c:pt idx="8">
                  <c:v>-9.7475740732856107</c:v>
                </c:pt>
                <c:pt idx="9">
                  <c:v>-9.7358326240494026</c:v>
                </c:pt>
                <c:pt idx="10">
                  <c:v>-9.7246497523418682</c:v>
                </c:pt>
                <c:pt idx="11">
                  <c:v>-9.7140833742404897</c:v>
                </c:pt>
                <c:pt idx="12">
                  <c:v>-9.7041244329982721</c:v>
                </c:pt>
                <c:pt idx="13">
                  <c:v>-9.6947351785646436</c:v>
                </c:pt>
                <c:pt idx="14">
                  <c:v>-9.68586829892085</c:v>
                </c:pt>
                <c:pt idx="15">
                  <c:v>-9.6774758449096439</c:v>
                </c:pt>
                <c:pt idx="16">
                  <c:v>-9.6695130413258159</c:v>
                </c:pt>
                <c:pt idx="17">
                  <c:v>-9.6619396303455876</c:v>
                </c:pt>
                <c:pt idx="18">
                  <c:v>-9.6547200709745233</c:v>
                </c:pt>
                <c:pt idx="19">
                  <c:v>-9.6478232438350808</c:v>
                </c:pt>
                <c:pt idx="20">
                  <c:v>-9.641221974135961</c:v>
                </c:pt>
                <c:pt idx="21">
                  <c:v>-9.634892519190462</c:v>
                </c:pt>
                <c:pt idx="22">
                  <c:v>-9.6288140849915731</c:v>
                </c:pt>
                <c:pt idx="23">
                  <c:v>-9.6229683965548247</c:v>
                </c:pt>
                <c:pt idx="24">
                  <c:v>-9.6173393278702779</c:v>
                </c:pt>
                <c:pt idx="25">
                  <c:v>-9.6119125888277637</c:v>
                </c:pt>
                <c:pt idx="26">
                  <c:v>-9.6066754631156357</c:v>
                </c:pt>
                <c:pt idx="27">
                  <c:v>-9.6016165901891295</c:v>
                </c:pt>
                <c:pt idx="28">
                  <c:v>-9.5967257846261056</c:v>
                </c:pt>
                <c:pt idx="29">
                  <c:v>-9.5919938868718564</c:v>
                </c:pt>
                <c:pt idx="30">
                  <c:v>-9.5874126401971971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2D5-4BA4-B978-1AE7E50A26B2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2D5-4BA4-B978-1AE7E50A26B2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'1M'!$X$5:$X$35</c:f>
              <c:numCache>
                <c:formatCode>0.00</c:formatCode>
                <c:ptCount val="31"/>
                <c:pt idx="0">
                  <c:v>-9.5000008854323159</c:v>
                </c:pt>
                <c:pt idx="1">
                  <c:v>-9.5000008398639668</c:v>
                </c:pt>
                <c:pt idx="2">
                  <c:v>-9.5000007933870343</c:v>
                </c:pt>
                <c:pt idx="3">
                  <c:v>-9.5000007464514269</c:v>
                </c:pt>
                <c:pt idx="4">
                  <c:v>-9.5000006994738424</c:v>
                </c:pt>
                <c:pt idx="5">
                  <c:v>-9.5000006528350127</c:v>
                </c:pt>
                <c:pt idx="6">
                  <c:v>-9.500000606877876</c:v>
                </c:pt>
                <c:pt idx="7">
                  <c:v>-9.5000005619065959</c:v>
                </c:pt>
                <c:pt idx="8">
                  <c:v>-9.5000005181863649</c:v>
                </c:pt>
                <c:pt idx="9">
                  <c:v>-9.500000475943855</c:v>
                </c:pt>
                <c:pt idx="10">
                  <c:v>-9.5000004353682623</c:v>
                </c:pt>
                <c:pt idx="11">
                  <c:v>-9.5000003966128155</c:v>
                </c:pt>
                <c:pt idx="12">
                  <c:v>-9.5000003597966778</c:v>
                </c:pt>
                <c:pt idx="13">
                  <c:v>-9.500000325007159</c:v>
                </c:pt>
                <c:pt idx="14">
                  <c:v>-9.5000002923021292</c:v>
                </c:pt>
                <c:pt idx="15">
                  <c:v>-9.5000002617125716</c:v>
                </c:pt>
                <c:pt idx="16">
                  <c:v>-9.5000002332452507</c:v>
                </c:pt>
                <c:pt idx="17">
                  <c:v>-9.5000002068853533</c:v>
                </c:pt>
                <c:pt idx="18">
                  <c:v>-9.5000001825991358</c:v>
                </c:pt>
                <c:pt idx="19">
                  <c:v>-9.500000160336473</c:v>
                </c:pt>
                <c:pt idx="20">
                  <c:v>-9.5000001400333254</c:v>
                </c:pt>
                <c:pt idx="21">
                  <c:v>-9.5000001216140664</c:v>
                </c:pt>
                <c:pt idx="22">
                  <c:v>-9.5000001049936564</c:v>
                </c:pt>
                <c:pt idx="23">
                  <c:v>-9.5000000900796593</c:v>
                </c:pt>
                <c:pt idx="24">
                  <c:v>-9.5000000767740982</c:v>
                </c:pt>
                <c:pt idx="25">
                  <c:v>-9.5000000649751311</c:v>
                </c:pt>
                <c:pt idx="26">
                  <c:v>-9.5000000545785515</c:v>
                </c:pt>
                <c:pt idx="27">
                  <c:v>-9.5000000454791511</c:v>
                </c:pt>
                <c:pt idx="28">
                  <c:v>-9.5000000375719065</c:v>
                </c:pt>
                <c:pt idx="29">
                  <c:v>-9.5000000307530321</c:v>
                </c:pt>
                <c:pt idx="30">
                  <c:v>-9.5000000249208956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2D5-4BA4-B978-1AE7E50A2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647752"/>
        <c:axId val="238648144"/>
      </c:scatterChart>
      <c:valAx>
        <c:axId val="238647752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8144"/>
        <c:crossesAt val="-140"/>
        <c:crossBetween val="midCat"/>
        <c:majorUnit val="20"/>
        <c:minorUnit val="10"/>
      </c:valAx>
      <c:valAx>
        <c:axId val="238648144"/>
        <c:scaling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potential (mV)</a:t>
                </a:r>
              </a:p>
            </c:rich>
          </c:tx>
          <c:layout>
            <c:manualLayout>
              <c:xMode val="edge"/>
              <c:yMode val="edge"/>
              <c:x val="2.8789463362959847E-2"/>
              <c:y val="0.2185286496287943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8647752"/>
        <c:crossesAt val="-0.14000000000000001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3889227373344279"/>
          <c:y val="2.9962804113133047E-2"/>
          <c:w val="0.1851617573880027"/>
          <c:h val="0.38501585075874012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'1e-5M'!$X$5:$X$35</c:f>
              <c:numCache>
                <c:formatCode>0.00</c:formatCode>
                <c:ptCount val="31"/>
                <c:pt idx="0">
                  <c:v>-147.33194815284907</c:v>
                </c:pt>
                <c:pt idx="1">
                  <c:v>-112.10186901411313</c:v>
                </c:pt>
                <c:pt idx="2">
                  <c:v>-102.50303676519935</c:v>
                </c:pt>
                <c:pt idx="3">
                  <c:v>-96.543449000932128</c:v>
                </c:pt>
                <c:pt idx="4">
                  <c:v>-89.930057992892102</c:v>
                </c:pt>
                <c:pt idx="5">
                  <c:v>-81.157770761279124</c:v>
                </c:pt>
                <c:pt idx="6">
                  <c:v>-70.140506640420881</c:v>
                </c:pt>
                <c:pt idx="7">
                  <c:v>-57.361201536748077</c:v>
                </c:pt>
                <c:pt idx="8">
                  <c:v>-43.456535143601883</c:v>
                </c:pt>
                <c:pt idx="9">
                  <c:v>-29.172885954746423</c:v>
                </c:pt>
                <c:pt idx="10">
                  <c:v>-15.267902775603602</c:v>
                </c:pt>
                <c:pt idx="11">
                  <c:v>-2.3599446900008516</c:v>
                </c:pt>
                <c:pt idx="12">
                  <c:v>9.1209617933186387</c:v>
                </c:pt>
                <c:pt idx="13">
                  <c:v>18.901829027636431</c:v>
                </c:pt>
                <c:pt idx="14">
                  <c:v>26.82429553921175</c:v>
                </c:pt>
                <c:pt idx="15">
                  <c:v>32.817309100937536</c:v>
                </c:pt>
                <c:pt idx="16">
                  <c:v>36.883739392631668</c:v>
                </c:pt>
                <c:pt idx="17">
                  <c:v>39.094009001589313</c:v>
                </c:pt>
                <c:pt idx="18">
                  <c:v>39.581257667927396</c:v>
                </c:pt>
                <c:pt idx="19">
                  <c:v>38.534816133633932</c:v>
                </c:pt>
                <c:pt idx="20">
                  <c:v>36.190524464276628</c:v>
                </c:pt>
                <c:pt idx="21">
                  <c:v>32.817682891609167</c:v>
                </c:pt>
                <c:pt idx="22">
                  <c:v>28.703317486823718</c:v>
                </c:pt>
                <c:pt idx="23">
                  <c:v>24.135052437259628</c:v>
                </c:pt>
                <c:pt idx="24">
                  <c:v>19.384218268555887</c:v>
                </c:pt>
                <c:pt idx="25">
                  <c:v>14.690885116705315</c:v>
                </c:pt>
                <c:pt idx="26">
                  <c:v>10.252300336733621</c:v>
                </c:pt>
                <c:pt idx="27">
                  <c:v>6.2157707138631286</c:v>
                </c:pt>
                <c:pt idx="28">
                  <c:v>2.6764373591794519</c:v>
                </c:pt>
                <c:pt idx="29">
                  <c:v>-0.32025138420702437</c:v>
                </c:pt>
                <c:pt idx="30">
                  <c:v>-2.7721461509409853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96-4D28-B036-4EE4647E18A9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'0.0001M'!$X$5:$X$35</c:f>
              <c:numCache>
                <c:formatCode>0.00</c:formatCode>
                <c:ptCount val="31"/>
                <c:pt idx="0">
                  <c:v>-115.78381723007278</c:v>
                </c:pt>
                <c:pt idx="1">
                  <c:v>-90.773341525529332</c:v>
                </c:pt>
                <c:pt idx="2">
                  <c:v>-84.156977014574679</c:v>
                </c:pt>
                <c:pt idx="3">
                  <c:v>-80.169718649077836</c:v>
                </c:pt>
                <c:pt idx="4">
                  <c:v>-75.813807052445938</c:v>
                </c:pt>
                <c:pt idx="5">
                  <c:v>-70.150313939830923</c:v>
                </c:pt>
                <c:pt idx="6">
                  <c:v>-63.315338513867545</c:v>
                </c:pt>
                <c:pt idx="7">
                  <c:v>-55.8357007673224</c:v>
                </c:pt>
                <c:pt idx="8">
                  <c:v>-48.165797538828613</c:v>
                </c:pt>
                <c:pt idx="9">
                  <c:v>-40.565431517554657</c:v>
                </c:pt>
                <c:pt idx="10">
                  <c:v>-33.144807715228154</c:v>
                </c:pt>
                <c:pt idx="11">
                  <c:v>-25.933544604836051</c:v>
                </c:pt>
                <c:pt idx="12">
                  <c:v>-18.930623894106663</c:v>
                </c:pt>
                <c:pt idx="13">
                  <c:v>-12.133842204656364</c:v>
                </c:pt>
                <c:pt idx="14">
                  <c:v>-5.5543613097430589</c:v>
                </c:pt>
                <c:pt idx="15">
                  <c:v>0.77919071526911732</c:v>
                </c:pt>
                <c:pt idx="16">
                  <c:v>6.8235457637161376</c:v>
                </c:pt>
                <c:pt idx="17">
                  <c:v>12.527184989369983</c:v>
                </c:pt>
                <c:pt idx="18">
                  <c:v>17.837336379392152</c:v>
                </c:pt>
                <c:pt idx="19">
                  <c:v>22.705646823671717</c:v>
                </c:pt>
                <c:pt idx="20">
                  <c:v>27.091802205026472</c:v>
                </c:pt>
                <c:pt idx="21">
                  <c:v>30.965248197877042</c:v>
                </c:pt>
                <c:pt idx="22">
                  <c:v>34.305550270455804</c:v>
                </c:pt>
                <c:pt idx="23">
                  <c:v>37.101953548546099</c:v>
                </c:pt>
                <c:pt idx="24">
                  <c:v>39.352562873390632</c:v>
                </c:pt>
                <c:pt idx="25">
                  <c:v>41.063400070685475</c:v>
                </c:pt>
                <c:pt idx="26">
                  <c:v>42.247469011494509</c:v>
                </c:pt>
                <c:pt idx="27">
                  <c:v>42.923879583016983</c:v>
                </c:pt>
                <c:pt idx="28">
                  <c:v>43.117039334509712</c:v>
                </c:pt>
                <c:pt idx="29">
                  <c:v>42.855903060267472</c:v>
                </c:pt>
                <c:pt idx="30">
                  <c:v>42.173265396620721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96-4D28-B036-4EE4647E18A9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'0.001M'!$X$5:$X$35</c:f>
              <c:numCache>
                <c:formatCode>0.00</c:formatCode>
                <c:ptCount val="31"/>
                <c:pt idx="0">
                  <c:v>-72.240767686273472</c:v>
                </c:pt>
                <c:pt idx="1">
                  <c:v>-59.140062642834117</c:v>
                </c:pt>
                <c:pt idx="2">
                  <c:v>-55.742446826913813</c:v>
                </c:pt>
                <c:pt idx="3">
                  <c:v>-53.732465043478754</c:v>
                </c:pt>
                <c:pt idx="4">
                  <c:v>-51.533549377987235</c:v>
                </c:pt>
                <c:pt idx="5">
                  <c:v>-48.657925883033244</c:v>
                </c:pt>
                <c:pt idx="6">
                  <c:v>-45.18593660051588</c:v>
                </c:pt>
                <c:pt idx="7">
                  <c:v>-41.404710983025332</c:v>
                </c:pt>
                <c:pt idx="8">
                  <c:v>-37.564097762111373</c:v>
                </c:pt>
                <c:pt idx="9">
                  <c:v>-33.81177855479222</c:v>
                </c:pt>
                <c:pt idx="10">
                  <c:v>-30.215412311821712</c:v>
                </c:pt>
                <c:pt idx="11">
                  <c:v>-26.796474329335116</c:v>
                </c:pt>
                <c:pt idx="12">
                  <c:v>-23.553599626527891</c:v>
                </c:pt>
                <c:pt idx="13">
                  <c:v>-20.47553979419548</c:v>
                </c:pt>
                <c:pt idx="14">
                  <c:v>-17.547684397918704</c:v>
                </c:pt>
                <c:pt idx="15">
                  <c:v>-14.755135171039029</c:v>
                </c:pt>
                <c:pt idx="16">
                  <c:v>-12.084044939933712</c:v>
                </c:pt>
                <c:pt idx="17">
                  <c:v>-9.5221138075773553</c:v>
                </c:pt>
                <c:pt idx="18">
                  <c:v>-7.0586905070524084</c:v>
                </c:pt>
                <c:pt idx="19">
                  <c:v>-4.6846995496829749</c:v>
                </c:pt>
                <c:pt idx="20">
                  <c:v>-2.392501119361107</c:v>
                </c:pt>
                <c:pt idx="21">
                  <c:v>-0.17573425791767711</c:v>
                </c:pt>
                <c:pt idx="22">
                  <c:v>1.9708339675475872</c:v>
                </c:pt>
                <c:pt idx="23">
                  <c:v>4.0514442533007795</c:v>
                </c:pt>
                <c:pt idx="24">
                  <c:v>6.0694632705863443</c:v>
                </c:pt>
                <c:pt idx="25">
                  <c:v>8.0274847537842806</c:v>
                </c:pt>
                <c:pt idx="26">
                  <c:v>9.9274151488964328</c:v>
                </c:pt>
                <c:pt idx="27">
                  <c:v>11.770545880982363</c:v>
                </c:pt>
                <c:pt idx="28">
                  <c:v>13.557614273388326</c:v>
                </c:pt>
                <c:pt idx="29">
                  <c:v>15.288854953377855</c:v>
                </c:pt>
                <c:pt idx="30">
                  <c:v>16.964043320636684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096-4D28-B036-4EE4647E18A9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096-4D28-B036-4EE4647E18A9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'0.1M'!$X$5:$X$35</c:f>
              <c:numCache>
                <c:formatCode>0.00</c:formatCode>
                <c:ptCount val="31"/>
                <c:pt idx="0">
                  <c:v>-9.8561014507874223</c:v>
                </c:pt>
                <c:pt idx="1">
                  <c:v>-9.8176286016179528</c:v>
                </c:pt>
                <c:pt idx="2">
                  <c:v>-9.8068753230995203</c:v>
                </c:pt>
                <c:pt idx="3">
                  <c:v>-9.8000091153544826</c:v>
                </c:pt>
                <c:pt idx="4">
                  <c:v>-9.7924758293978815</c:v>
                </c:pt>
                <c:pt idx="5">
                  <c:v>-9.7829415363212338</c:v>
                </c:pt>
                <c:pt idx="6">
                  <c:v>-9.7717167635554585</c:v>
                </c:pt>
                <c:pt idx="7">
                  <c:v>-9.7596797483940758</c:v>
                </c:pt>
                <c:pt idx="8">
                  <c:v>-9.7475740732856107</c:v>
                </c:pt>
                <c:pt idx="9">
                  <c:v>-9.7358326240494026</c:v>
                </c:pt>
                <c:pt idx="10">
                  <c:v>-9.7246497523418682</c:v>
                </c:pt>
                <c:pt idx="11">
                  <c:v>-9.7140833742404897</c:v>
                </c:pt>
                <c:pt idx="12">
                  <c:v>-9.7041244329982721</c:v>
                </c:pt>
                <c:pt idx="13">
                  <c:v>-9.6947351785646436</c:v>
                </c:pt>
                <c:pt idx="14">
                  <c:v>-9.68586829892085</c:v>
                </c:pt>
                <c:pt idx="15">
                  <c:v>-9.6774758449096439</c:v>
                </c:pt>
                <c:pt idx="16">
                  <c:v>-9.6695130413258159</c:v>
                </c:pt>
                <c:pt idx="17">
                  <c:v>-9.6619396303455876</c:v>
                </c:pt>
                <c:pt idx="18">
                  <c:v>-9.6547200709745233</c:v>
                </c:pt>
                <c:pt idx="19">
                  <c:v>-9.6478232438350808</c:v>
                </c:pt>
                <c:pt idx="20">
                  <c:v>-9.641221974135961</c:v>
                </c:pt>
                <c:pt idx="21">
                  <c:v>-9.634892519190462</c:v>
                </c:pt>
                <c:pt idx="22">
                  <c:v>-9.6288140849915731</c:v>
                </c:pt>
                <c:pt idx="23">
                  <c:v>-9.6229683965548247</c:v>
                </c:pt>
                <c:pt idx="24">
                  <c:v>-9.6173393278702779</c:v>
                </c:pt>
                <c:pt idx="25">
                  <c:v>-9.6119125888277637</c:v>
                </c:pt>
                <c:pt idx="26">
                  <c:v>-9.6066754631156357</c:v>
                </c:pt>
                <c:pt idx="27">
                  <c:v>-9.6016165901891295</c:v>
                </c:pt>
                <c:pt idx="28">
                  <c:v>-9.5967257846261056</c:v>
                </c:pt>
                <c:pt idx="29">
                  <c:v>-9.5919938868718564</c:v>
                </c:pt>
                <c:pt idx="30">
                  <c:v>-9.5874126401971971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096-4D28-B036-4EE4647E18A9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096-4D28-B036-4EE4647E18A9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'1M'!$X$5:$X$35</c:f>
              <c:numCache>
                <c:formatCode>0.00</c:formatCode>
                <c:ptCount val="31"/>
                <c:pt idx="0">
                  <c:v>-9.5000008854323159</c:v>
                </c:pt>
                <c:pt idx="1">
                  <c:v>-9.5000008398639668</c:v>
                </c:pt>
                <c:pt idx="2">
                  <c:v>-9.5000007933870343</c:v>
                </c:pt>
                <c:pt idx="3">
                  <c:v>-9.5000007464514269</c:v>
                </c:pt>
                <c:pt idx="4">
                  <c:v>-9.5000006994738424</c:v>
                </c:pt>
                <c:pt idx="5">
                  <c:v>-9.5000006528350127</c:v>
                </c:pt>
                <c:pt idx="6">
                  <c:v>-9.500000606877876</c:v>
                </c:pt>
                <c:pt idx="7">
                  <c:v>-9.5000005619065959</c:v>
                </c:pt>
                <c:pt idx="8">
                  <c:v>-9.5000005181863649</c:v>
                </c:pt>
                <c:pt idx="9">
                  <c:v>-9.500000475943855</c:v>
                </c:pt>
                <c:pt idx="10">
                  <c:v>-9.5000004353682623</c:v>
                </c:pt>
                <c:pt idx="11">
                  <c:v>-9.5000003966128155</c:v>
                </c:pt>
                <c:pt idx="12">
                  <c:v>-9.5000003597966778</c:v>
                </c:pt>
                <c:pt idx="13">
                  <c:v>-9.500000325007159</c:v>
                </c:pt>
                <c:pt idx="14">
                  <c:v>-9.5000002923021292</c:v>
                </c:pt>
                <c:pt idx="15">
                  <c:v>-9.5000002617125716</c:v>
                </c:pt>
                <c:pt idx="16">
                  <c:v>-9.5000002332452507</c:v>
                </c:pt>
                <c:pt idx="17">
                  <c:v>-9.5000002068853533</c:v>
                </c:pt>
                <c:pt idx="18">
                  <c:v>-9.5000001825991358</c:v>
                </c:pt>
                <c:pt idx="19">
                  <c:v>-9.500000160336473</c:v>
                </c:pt>
                <c:pt idx="20">
                  <c:v>-9.5000001400333254</c:v>
                </c:pt>
                <c:pt idx="21">
                  <c:v>-9.5000001216140664</c:v>
                </c:pt>
                <c:pt idx="22">
                  <c:v>-9.5000001049936564</c:v>
                </c:pt>
                <c:pt idx="23">
                  <c:v>-9.5000000900796593</c:v>
                </c:pt>
                <c:pt idx="24">
                  <c:v>-9.5000000767740982</c:v>
                </c:pt>
                <c:pt idx="25">
                  <c:v>-9.5000000649751311</c:v>
                </c:pt>
                <c:pt idx="26">
                  <c:v>-9.5000000545785515</c:v>
                </c:pt>
                <c:pt idx="27">
                  <c:v>-9.5000000454791511</c:v>
                </c:pt>
                <c:pt idx="28">
                  <c:v>-9.5000000375719065</c:v>
                </c:pt>
                <c:pt idx="29">
                  <c:v>-9.5000000307530321</c:v>
                </c:pt>
                <c:pt idx="30">
                  <c:v>-9.5000000249208956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096-4D28-B036-4EE4647E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604728"/>
        <c:axId val="237605120"/>
      </c:scatterChart>
      <c:valAx>
        <c:axId val="237604728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5120"/>
        <c:crossesAt val="-140"/>
        <c:crossBetween val="midCat"/>
        <c:majorUnit val="20"/>
        <c:minorUnit val="10"/>
      </c:valAx>
      <c:valAx>
        <c:axId val="237605120"/>
        <c:scaling>
          <c:orientation val="minMax"/>
          <c:min val="-2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potential (mV)</a:t>
                </a:r>
              </a:p>
            </c:rich>
          </c:tx>
          <c:layout>
            <c:manualLayout>
              <c:xMode val="edge"/>
              <c:yMode val="edge"/>
              <c:x val="2.7509665936802593E-2"/>
              <c:y val="0.3057860415315816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4728"/>
        <c:crossesAt val="-0.14000000000000001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808687026346067"/>
          <c:y val="2.9962804113133047E-2"/>
          <c:w val="0.16725311033859325"/>
          <c:h val="0.41428448527267425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'1e-5M'!$Z$5:$Z$35</c:f>
              <c:numCache>
                <c:formatCode>0.000E+00</c:formatCode>
                <c:ptCount val="31"/>
                <c:pt idx="0">
                  <c:v>1.5420462920370199E-13</c:v>
                </c:pt>
                <c:pt idx="1">
                  <c:v>1.2947071272317533E-14</c:v>
                </c:pt>
                <c:pt idx="2">
                  <c:v>6.2441579131748879E-15</c:v>
                </c:pt>
                <c:pt idx="3">
                  <c:v>3.8993784910889532E-15</c:v>
                </c:pt>
                <c:pt idx="4">
                  <c:v>2.3963388899593902E-15</c:v>
                </c:pt>
                <c:pt idx="5">
                  <c:v>1.3388196672445363E-15</c:v>
                </c:pt>
                <c:pt idx="6">
                  <c:v>6.9173719270951139E-16</c:v>
                </c:pt>
                <c:pt idx="7">
                  <c:v>3.4708315050689553E-16</c:v>
                </c:pt>
                <c:pt idx="8">
                  <c:v>1.7605652975324276E-16</c:v>
                </c:pt>
                <c:pt idx="9">
                  <c:v>9.2301629042548629E-17</c:v>
                </c:pt>
                <c:pt idx="10">
                  <c:v>5.0454067964272493E-17</c:v>
                </c:pt>
                <c:pt idx="11">
                  <c:v>2.8793196377960104E-17</c:v>
                </c:pt>
                <c:pt idx="12">
                  <c:v>1.7118746466692312E-17</c:v>
                </c:pt>
                <c:pt idx="13">
                  <c:v>1.0566923606481872E-17</c:v>
                </c:pt>
                <c:pt idx="14">
                  <c:v>6.7467559392690125E-18</c:v>
                </c:pt>
                <c:pt idx="15">
                  <c:v>4.4396902437050033E-18</c:v>
                </c:pt>
                <c:pt idx="16">
                  <c:v>3.0012711486974617E-18</c:v>
                </c:pt>
                <c:pt idx="17">
                  <c:v>2.0782526770605513E-18</c:v>
                </c:pt>
                <c:pt idx="18">
                  <c:v>1.4703971001333805E-18</c:v>
                </c:pt>
                <c:pt idx="19">
                  <c:v>1.0606177831892551E-18</c:v>
                </c:pt>
                <c:pt idx="20">
                  <c:v>7.7846777310788139E-19</c:v>
                </c:pt>
                <c:pt idx="21">
                  <c:v>5.8043942250519731E-19</c:v>
                </c:pt>
                <c:pt idx="22">
                  <c:v>4.3901245998695911E-19</c:v>
                </c:pt>
                <c:pt idx="23">
                  <c:v>3.3639398933413062E-19</c:v>
                </c:pt>
                <c:pt idx="24">
                  <c:v>2.6084701461340051E-19</c:v>
                </c:pt>
                <c:pt idx="25">
                  <c:v>2.0448522212436713E-19</c:v>
                </c:pt>
                <c:pt idx="26">
                  <c:v>1.6191894494173924E-19</c:v>
                </c:pt>
                <c:pt idx="27">
                  <c:v>1.2940664169847134E-19</c:v>
                </c:pt>
                <c:pt idx="28">
                  <c:v>1.0431302184464666E-19</c:v>
                </c:pt>
                <c:pt idx="29">
                  <c:v>8.4756879896477753E-20</c:v>
                </c:pt>
                <c:pt idx="30">
                  <c:v>6.9378462984956304E-20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44E-43C2-ADAA-4B986F894319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'0.0001M'!$AA$5:$AA$35</c:f>
              <c:numCache>
                <c:formatCode>0.000E+00</c:formatCode>
                <c:ptCount val="31"/>
                <c:pt idx="0">
                  <c:v>1.3481656189265366E-12</c:v>
                </c:pt>
                <c:pt idx="1">
                  <c:v>1.8606529405620818E-13</c:v>
                </c:pt>
                <c:pt idx="2">
                  <c:v>1.0385757248742018E-13</c:v>
                </c:pt>
                <c:pt idx="3">
                  <c:v>7.1273719688087309E-14</c:v>
                </c:pt>
                <c:pt idx="4">
                  <c:v>4.8288148284252428E-14</c:v>
                </c:pt>
                <c:pt idx="5">
                  <c:v>3.0314677184449806E-14</c:v>
                </c:pt>
                <c:pt idx="6">
                  <c:v>1.7877280736315252E-14</c:v>
                </c:pt>
                <c:pt idx="7">
                  <c:v>1.0298231240342876E-14</c:v>
                </c:pt>
                <c:pt idx="8">
                  <c:v>5.984057121314554E-15</c:v>
                </c:pt>
                <c:pt idx="9">
                  <c:v>3.5701789719460979E-15</c:v>
                </c:pt>
                <c:pt idx="10">
                  <c:v>2.2023114117508427E-15</c:v>
                </c:pt>
                <c:pt idx="11">
                  <c:v>1.4061281726347475E-15</c:v>
                </c:pt>
                <c:pt idx="12">
                  <c:v>9.276733289102308E-16</c:v>
                </c:pt>
                <c:pt idx="13">
                  <c:v>6.3066016018178279E-16</c:v>
                </c:pt>
                <c:pt idx="14">
                  <c:v>4.4048106520809916E-16</c:v>
                </c:pt>
                <c:pt idx="15">
                  <c:v>3.1516986136828262E-16</c:v>
                </c:pt>
                <c:pt idx="16">
                  <c:v>2.3041746476541359E-16</c:v>
                </c:pt>
                <c:pt idx="17">
                  <c:v>1.7172618584901057E-16</c:v>
                </c:pt>
                <c:pt idx="18">
                  <c:v>1.3020589589988746E-16</c:v>
                </c:pt>
                <c:pt idx="19">
                  <c:v>1.0026145177292805E-16</c:v>
                </c:pt>
                <c:pt idx="20">
                  <c:v>7.8285695928578486E-17</c:v>
                </c:pt>
                <c:pt idx="21">
                  <c:v>6.1901019145069609E-17</c:v>
                </c:pt>
                <c:pt idx="22">
                  <c:v>4.950802732461502E-17</c:v>
                </c:pt>
                <c:pt idx="23">
                  <c:v>4.0010521212208152E-17</c:v>
                </c:pt>
                <c:pt idx="24">
                  <c:v>3.2644161140083075E-17</c:v>
                </c:pt>
                <c:pt idx="25">
                  <c:v>2.6867504073204684E-17</c:v>
                </c:pt>
                <c:pt idx="26">
                  <c:v>2.2291367167165358E-17</c:v>
                </c:pt>
                <c:pt idx="27">
                  <c:v>1.8632214875754896E-17</c:v>
                </c:pt>
                <c:pt idx="28">
                  <c:v>1.5680886273415324E-17</c:v>
                </c:pt>
                <c:pt idx="29">
                  <c:v>1.3281288899723018E-17</c:v>
                </c:pt>
                <c:pt idx="30">
                  <c:v>1.1315673327445531E-17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44E-43C2-ADAA-4B986F894319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'0.001M'!$Z$5:$Z$35</c:f>
              <c:numCache>
                <c:formatCode>0.000E+00</c:formatCode>
                <c:ptCount val="31"/>
                <c:pt idx="0">
                  <c:v>1.173939504855316E-11</c:v>
                </c:pt>
                <c:pt idx="1">
                  <c:v>2.6671146410891817E-12</c:v>
                </c:pt>
                <c:pt idx="2">
                  <c:v>1.7234700067848861E-12</c:v>
                </c:pt>
                <c:pt idx="3">
                  <c:v>1.2999680925889549E-12</c:v>
                </c:pt>
                <c:pt idx="4">
                  <c:v>9.7110440710402732E-13</c:v>
                </c:pt>
                <c:pt idx="5">
                  <c:v>6.8514956243281764E-13</c:v>
                </c:pt>
                <c:pt idx="6">
                  <c:v>4.6124547959372198E-13</c:v>
                </c:pt>
                <c:pt idx="7">
                  <c:v>3.0508796914434473E-13</c:v>
                </c:pt>
                <c:pt idx="8">
                  <c:v>2.0310817817208893E-13</c:v>
                </c:pt>
                <c:pt idx="9">
                  <c:v>1.3791319938972074E-13</c:v>
                </c:pt>
                <c:pt idx="10">
                  <c:v>9.6014717331545038E-14</c:v>
                </c:pt>
                <c:pt idx="11">
                  <c:v>6.8592021951496669E-14</c:v>
                </c:pt>
                <c:pt idx="12">
                  <c:v>5.021875195454609E-14</c:v>
                </c:pt>
                <c:pt idx="13">
                  <c:v>3.7602926954671802E-14</c:v>
                </c:pt>
                <c:pt idx="14">
                  <c:v>2.8732181644949035E-14</c:v>
                </c:pt>
                <c:pt idx="15">
                  <c:v>2.2354948930676519E-14</c:v>
                </c:pt>
                <c:pt idx="16">
                  <c:v>1.7676191292157351E-14</c:v>
                </c:pt>
                <c:pt idx="17">
                  <c:v>1.417954497261885E-14</c:v>
                </c:pt>
                <c:pt idx="18">
                  <c:v>1.1522243590285804E-14</c:v>
                </c:pt>
                <c:pt idx="19">
                  <c:v>9.4719770228773073E-15</c:v>
                </c:pt>
                <c:pt idx="20">
                  <c:v>7.8681995583305144E-15</c:v>
                </c:pt>
                <c:pt idx="21">
                  <c:v>6.5979343021202005E-15</c:v>
                </c:pt>
                <c:pt idx="22">
                  <c:v>5.5803366600483383E-15</c:v>
                </c:pt>
                <c:pt idx="23">
                  <c:v>4.7566543786795128E-15</c:v>
                </c:pt>
                <c:pt idx="24">
                  <c:v>4.0835769993205239E-15</c:v>
                </c:pt>
                <c:pt idx="25">
                  <c:v>3.5287539759954211E-15</c:v>
                </c:pt>
                <c:pt idx="26">
                  <c:v>3.0677251412932352E-15</c:v>
                </c:pt>
                <c:pt idx="27">
                  <c:v>2.681786487258917E-15</c:v>
                </c:pt>
                <c:pt idx="28">
                  <c:v>2.3564851903137744E-15</c:v>
                </c:pt>
                <c:pt idx="29">
                  <c:v>2.080544284208345E-15</c:v>
                </c:pt>
                <c:pt idx="30">
                  <c:v>1.8450848042226288E-15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44E-43C2-ADAA-4B986F894319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'0.01M'!$Z$5:$Z$35</c:f>
              <c:numCache>
                <c:formatCode>0.000E+00</c:formatCode>
                <c:ptCount val="31"/>
                <c:pt idx="0">
                  <c:v>1.0061644192668478E-10</c:v>
                </c:pt>
                <c:pt idx="1">
                  <c:v>3.7864872488590889E-11</c:v>
                </c:pt>
                <c:pt idx="2">
                  <c:v>2.8358832889483695E-11</c:v>
                </c:pt>
                <c:pt idx="3">
                  <c:v>2.3525102651969966E-11</c:v>
                </c:pt>
                <c:pt idx="4">
                  <c:v>1.9388297923055614E-11</c:v>
                </c:pt>
                <c:pt idx="5">
                  <c:v>1.538262576900836E-11</c:v>
                </c:pt>
                <c:pt idx="6">
                  <c:v>1.182861769584776E-11</c:v>
                </c:pt>
                <c:pt idx="7">
                  <c:v>8.988581951124161E-12</c:v>
                </c:pt>
                <c:pt idx="8">
                  <c:v>6.8590111628205811E-12</c:v>
                </c:pt>
                <c:pt idx="9">
                  <c:v>5.3026237460334376E-12</c:v>
                </c:pt>
                <c:pt idx="10">
                  <c:v>4.1677880632509169E-12</c:v>
                </c:pt>
                <c:pt idx="11">
                  <c:v>3.3323354579977562E-12</c:v>
                </c:pt>
                <c:pt idx="12">
                  <c:v>2.7080914188154768E-12</c:v>
                </c:pt>
                <c:pt idx="13">
                  <c:v>2.233883917346761E-12</c:v>
                </c:pt>
                <c:pt idx="14">
                  <c:v>1.8676587715037E-12</c:v>
                </c:pt>
                <c:pt idx="15">
                  <c:v>1.5803599527729111E-12</c:v>
                </c:pt>
                <c:pt idx="16">
                  <c:v>1.3516793178767214E-12</c:v>
                </c:pt>
                <c:pt idx="17">
                  <c:v>1.1672180721383507E-12</c:v>
                </c:pt>
                <c:pt idx="18">
                  <c:v>1.0166105911808499E-12</c:v>
                </c:pt>
                <c:pt idx="19">
                  <c:v>8.9228072255770635E-13</c:v>
                </c:pt>
                <c:pt idx="20">
                  <c:v>7.8860963564397261E-13</c:v>
                </c:pt>
                <c:pt idx="21">
                  <c:v>7.0137211005558918E-13</c:v>
                </c:pt>
                <c:pt idx="22">
                  <c:v>6.2734941994997453E-13</c:v>
                </c:pt>
                <c:pt idx="23">
                  <c:v>5.6405974560623225E-13</c:v>
                </c:pt>
                <c:pt idx="24">
                  <c:v>5.0956781940530372E-13</c:v>
                </c:pt>
                <c:pt idx="25">
                  <c:v>4.6234871026148519E-13</c:v>
                </c:pt>
                <c:pt idx="26">
                  <c:v>4.2118909617900676E-13</c:v>
                </c:pt>
                <c:pt idx="27">
                  <c:v>3.8511483542882697E-13</c:v>
                </c:pt>
                <c:pt idx="28">
                  <c:v>3.5333721925733066E-13</c:v>
                </c:pt>
                <c:pt idx="29">
                  <c:v>3.2521265497324834E-13</c:v>
                </c:pt>
                <c:pt idx="30">
                  <c:v>3.0021211473287657E-13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44E-43C2-ADAA-4B986F894319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'0.1M'!$Z$5:$Z$35</c:f>
              <c:numCache>
                <c:formatCode>0.000E+00</c:formatCode>
                <c:ptCount val="31"/>
                <c:pt idx="0">
                  <c:v>7.8520606807023942E-10</c:v>
                </c:pt>
                <c:pt idx="1">
                  <c:v>5.0123460576517451E-10</c:v>
                </c:pt>
                <c:pt idx="2">
                  <c:v>4.3779035399287097E-10</c:v>
                </c:pt>
                <c:pt idx="3">
                  <c:v>4.0091252916455292E-10</c:v>
                </c:pt>
                <c:pt idx="4">
                  <c:v>3.6586521622213152E-10</c:v>
                </c:pt>
                <c:pt idx="5">
                  <c:v>3.2776072615597005E-10</c:v>
                </c:pt>
                <c:pt idx="6">
                  <c:v>2.8911364783111431E-10</c:v>
                </c:pt>
                <c:pt idx="7">
                  <c:v>2.5342563066033445E-10</c:v>
                </c:pt>
                <c:pt idx="8">
                  <c:v>2.2246423389774233E-10</c:v>
                </c:pt>
                <c:pt idx="9">
                  <c:v>1.964254690293432E-10</c:v>
                </c:pt>
                <c:pt idx="10">
                  <c:v>1.7476461922232796E-10</c:v>
                </c:pt>
                <c:pt idx="11">
                  <c:v>1.5674390318618662E-10</c:v>
                </c:pt>
                <c:pt idx="12">
                  <c:v>1.41668126261659E-10</c:v>
                </c:pt>
                <c:pt idx="13">
                  <c:v>1.2895525664879696E-10</c:v>
                </c:pt>
                <c:pt idx="14">
                  <c:v>1.1814047709120031E-10</c:v>
                </c:pt>
                <c:pt idx="15">
                  <c:v>1.0885919435508604E-10</c:v>
                </c:pt>
                <c:pt idx="16">
                  <c:v>1.0082663184967867E-10</c:v>
                </c:pt>
                <c:pt idx="17">
                  <c:v>9.38197677538261E-11</c:v>
                </c:pt>
                <c:pt idx="18">
                  <c:v>8.7662876959643277E-11</c:v>
                </c:pt>
                <c:pt idx="19">
                  <c:v>8.2216424553286266E-11</c:v>
                </c:pt>
                <c:pt idx="20">
                  <c:v>7.7368674755792687E-11</c:v>
                </c:pt>
                <c:pt idx="21">
                  <c:v>7.3029381738508315E-11</c:v>
                </c:pt>
                <c:pt idx="22">
                  <c:v>6.9125039167569612E-11</c:v>
                </c:pt>
                <c:pt idx="23">
                  <c:v>6.5595286406284729E-11</c:v>
                </c:pt>
                <c:pt idx="24">
                  <c:v>6.2390171934959279E-11</c:v>
                </c:pt>
                <c:pt idx="25">
                  <c:v>5.9468053943181265E-11</c:v>
                </c:pt>
                <c:pt idx="26">
                  <c:v>5.6793977051559105E-11</c:v>
                </c:pt>
                <c:pt idx="27">
                  <c:v>5.4338407178409004E-11</c:v>
                </c:pt>
                <c:pt idx="28">
                  <c:v>5.2076237769315589E-11</c:v>
                </c:pt>
                <c:pt idx="29">
                  <c:v>4.9986003196652568E-11</c:v>
                </c:pt>
                <c:pt idx="30">
                  <c:v>4.804925153145498E-11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44E-43C2-ADAA-4B986F894319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'0.5M'!$Z$5:$Z$35</c:f>
              <c:numCache>
                <c:formatCode>0.000E+00</c:formatCode>
                <c:ptCount val="31"/>
                <c:pt idx="0">
                  <c:v>2.5734860935275999E-9</c:v>
                </c:pt>
                <c:pt idx="1">
                  <c:v>2.3320931304734923E-9</c:v>
                </c:pt>
                <c:pt idx="2">
                  <c:v>2.2636152435301736E-9</c:v>
                </c:pt>
                <c:pt idx="3">
                  <c:v>2.2201145656718498E-9</c:v>
                </c:pt>
                <c:pt idx="4">
                  <c:v>2.1756311560302912E-9</c:v>
                </c:pt>
                <c:pt idx="5">
                  <c:v>2.1230724922517857E-9</c:v>
                </c:pt>
                <c:pt idx="6">
                  <c:v>2.0643401695153764E-9</c:v>
                </c:pt>
                <c:pt idx="7">
                  <c:v>2.0040596781533578E-9</c:v>
                </c:pt>
                <c:pt idx="8">
                  <c:v>1.9458236704321574E-9</c:v>
                </c:pt>
                <c:pt idx="9">
                  <c:v>1.891452313484923E-9</c:v>
                </c:pt>
                <c:pt idx="10">
                  <c:v>1.8415237159726289E-9</c:v>
                </c:pt>
                <c:pt idx="11">
                  <c:v>1.7959706886480582E-9</c:v>
                </c:pt>
                <c:pt idx="12">
                  <c:v>1.7544530586796256E-9</c:v>
                </c:pt>
                <c:pt idx="13">
                  <c:v>1.7165471635407675E-9</c:v>
                </c:pt>
                <c:pt idx="14">
                  <c:v>1.6818314854592996E-9</c:v>
                </c:pt>
                <c:pt idx="15">
                  <c:v>1.649920621121061E-9</c:v>
                </c:pt>
                <c:pt idx="16">
                  <c:v>1.6204753378460195E-9</c:v>
                </c:pt>
                <c:pt idx="17">
                  <c:v>1.5932022786368273E-9</c:v>
                </c:pt>
                <c:pt idx="18">
                  <c:v>1.5678496628221215E-9</c:v>
                </c:pt>
                <c:pt idx="19">
                  <c:v>1.5442018458556937E-9</c:v>
                </c:pt>
                <c:pt idx="20">
                  <c:v>1.5220739618831858E-9</c:v>
                </c:pt>
                <c:pt idx="21">
                  <c:v>1.501307115269282E-9</c:v>
                </c:pt>
                <c:pt idx="22">
                  <c:v>1.481764247043879E-9</c:v>
                </c:pt>
                <c:pt idx="23">
                  <c:v>1.4633266575174297E-9</c:v>
                </c:pt>
                <c:pt idx="24">
                  <c:v>1.4458911120346499E-9</c:v>
                </c:pt>
                <c:pt idx="25">
                  <c:v>1.429367443233205E-9</c:v>
                </c:pt>
                <c:pt idx="26">
                  <c:v>1.4136765668095944E-9</c:v>
                </c:pt>
                <c:pt idx="27">
                  <c:v>1.3987488377716856E-9</c:v>
                </c:pt>
                <c:pt idx="28">
                  <c:v>1.3845226855635546E-9</c:v>
                </c:pt>
                <c:pt idx="29">
                  <c:v>1.3709434772128919E-9</c:v>
                </c:pt>
                <c:pt idx="30">
                  <c:v>1.3579625670320472E-9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44E-43C2-ADAA-4B986F894319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'1M'!$Z$5:$Z$35</c:f>
              <c:numCache>
                <c:formatCode>0.000E+00</c:formatCode>
                <c:ptCount val="31"/>
                <c:pt idx="0">
                  <c:v>3.7357999666442953E-9</c:v>
                </c:pt>
                <c:pt idx="1">
                  <c:v>3.7364951196268669E-9</c:v>
                </c:pt>
                <c:pt idx="2">
                  <c:v>3.7372221774066488E-9</c:v>
                </c:pt>
                <c:pt idx="3">
                  <c:v>3.7379801378881795E-9</c:v>
                </c:pt>
                <c:pt idx="4">
                  <c:v>3.7387680812797407E-9</c:v>
                </c:pt>
                <c:pt idx="5">
                  <c:v>3.7395851701494199E-9</c:v>
                </c:pt>
                <c:pt idx="6">
                  <c:v>3.7404306498798246E-9</c:v>
                </c:pt>
                <c:pt idx="7">
                  <c:v>3.7413038495141483E-9</c:v>
                </c:pt>
                <c:pt idx="8">
                  <c:v>3.7422041829899342E-9</c:v>
                </c:pt>
                <c:pt idx="9">
                  <c:v>3.7431311507604979E-9</c:v>
                </c:pt>
                <c:pt idx="10">
                  <c:v>3.7440843418077355E-9</c:v>
                </c:pt>
                <c:pt idx="11">
                  <c:v>3.745063436053874E-9</c:v>
                </c:pt>
                <c:pt idx="12">
                  <c:v>3.7460682071839208E-9</c:v>
                </c:pt>
                <c:pt idx="13">
                  <c:v>3.7470985258949788E-9</c:v>
                </c:pt>
                <c:pt idx="14">
                  <c:v>3.7481543635936052E-9</c:v>
                </c:pt>
                <c:pt idx="15">
                  <c:v>3.7492357965678772E-9</c:v>
                </c:pt>
                <c:pt idx="16">
                  <c:v>3.7503430106670894E-9</c:v>
                </c:pt>
                <c:pt idx="17">
                  <c:v>3.7514763065291372E-9</c:v>
                </c:pt>
                <c:pt idx="18">
                  <c:v>3.7526361054038919E-9</c:v>
                </c:pt>
                <c:pt idx="19">
                  <c:v>3.7538229556304008E-9</c:v>
                </c:pt>
                <c:pt idx="20">
                  <c:v>3.7550375398369504E-9</c:v>
                </c:pt>
                <c:pt idx="21">
                  <c:v>3.7562806829461331E-9</c:v>
                </c:pt>
                <c:pt idx="22">
                  <c:v>3.757553361082615E-9</c:v>
                </c:pt>
                <c:pt idx="23">
                  <c:v>3.7588567114997219E-9</c:v>
                </c:pt>
                <c:pt idx="24">
                  <c:v>3.7601920436630234E-9</c:v>
                </c:pt>
                <c:pt idx="25">
                  <c:v>3.7615608516554984E-9</c:v>
                </c:pt>
                <c:pt idx="26">
                  <c:v>3.7629648281007828E-9</c:v>
                </c:pt>
                <c:pt idx="27">
                  <c:v>3.76440587983963E-9</c:v>
                </c:pt>
                <c:pt idx="28">
                  <c:v>3.765886145641815E-9</c:v>
                </c:pt>
                <c:pt idx="29">
                  <c:v>3.7674080162934746E-9</c:v>
                </c:pt>
                <c:pt idx="30">
                  <c:v>3.7689741574710123E-9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44E-43C2-ADAA-4B986F894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605904"/>
        <c:axId val="237606296"/>
      </c:scatterChart>
      <c:valAx>
        <c:axId val="237605904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6296"/>
        <c:crossesAt val="0"/>
        <c:crossBetween val="midCat"/>
        <c:majorUnit val="20"/>
        <c:minorUnit val="10"/>
      </c:valAx>
      <c:valAx>
        <c:axId val="237606296"/>
        <c:scaling>
          <c:logBase val="10"/>
          <c:orientation val="minMax"/>
          <c:max val="1.0000000000000005E-7"/>
          <c:min val="1.000000000000001E-17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Stern surface conduction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(S)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1112457096E-2"/>
              <c:y val="0.1161480023330417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590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293438320209982"/>
          <c:y val="2.9962804113133047E-2"/>
          <c:w val="0.17118221280032303"/>
          <c:h val="0.42909930008748909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'1e-5M'!$AE$5:$AE$35</c:f>
              <c:numCache>
                <c:formatCode>0.000E+00</c:formatCode>
                <c:ptCount val="31"/>
                <c:pt idx="0">
                  <c:v>2.6746728831366321E-10</c:v>
                </c:pt>
                <c:pt idx="1">
                  <c:v>1.152325514760532E-10</c:v>
                </c:pt>
                <c:pt idx="2">
                  <c:v>9.6260661633781015E-11</c:v>
                </c:pt>
                <c:pt idx="3">
                  <c:v>8.9072570759292342E-11</c:v>
                </c:pt>
                <c:pt idx="4">
                  <c:v>8.4186576389484761E-11</c:v>
                </c:pt>
                <c:pt idx="5">
                  <c:v>8.1217168379639129E-11</c:v>
                </c:pt>
                <c:pt idx="6">
                  <c:v>8.0933881571585432E-11</c:v>
                </c:pt>
                <c:pt idx="7">
                  <c:v>8.0573774587764086E-11</c:v>
                </c:pt>
                <c:pt idx="8">
                  <c:v>7.36634064332745E-11</c:v>
                </c:pt>
                <c:pt idx="9">
                  <c:v>5.4293738876332266E-11</c:v>
                </c:pt>
                <c:pt idx="10">
                  <c:v>1.984097519438474E-11</c:v>
                </c:pt>
                <c:pt idx="11">
                  <c:v>-3.0151137542129854E-11</c:v>
                </c:pt>
                <c:pt idx="12">
                  <c:v>-9.5741300059151658E-11</c:v>
                </c:pt>
                <c:pt idx="13">
                  <c:v>-1.7730086319971284E-10</c:v>
                </c:pt>
                <c:pt idx="14">
                  <c:v>-2.7555425121737784E-10</c:v>
                </c:pt>
                <c:pt idx="15">
                  <c:v>-3.9145365289900671E-10</c:v>
                </c:pt>
                <c:pt idx="16">
                  <c:v>-5.2606517292128699E-10</c:v>
                </c:pt>
                <c:pt idx="17">
                  <c:v>-6.8049171708596389E-10</c:v>
                </c:pt>
                <c:pt idx="18">
                  <c:v>-8.5582271303280263E-10</c:v>
                </c:pt>
                <c:pt idx="19">
                  <c:v>-1.0530996594600615E-9</c:v>
                </c:pt>
                <c:pt idx="20">
                  <c:v>-1.273290676453376E-9</c:v>
                </c:pt>
                <c:pt idx="21">
                  <c:v>-1.5172704901468086E-9</c:v>
                </c:pt>
                <c:pt idx="22">
                  <c:v>-1.7858041602205753E-9</c:v>
                </c:pt>
                <c:pt idx="23">
                  <c:v>-2.0795338084362853E-9</c:v>
                </c:pt>
                <c:pt idx="24">
                  <c:v>-2.3989680303421692E-9</c:v>
                </c:pt>
                <c:pt idx="25">
                  <c:v>-2.7444738151263823E-9</c:v>
                </c:pt>
                <c:pt idx="26">
                  <c:v>-3.1162707992025014E-9</c:v>
                </c:pt>
                <c:pt idx="27">
                  <c:v>-3.5144276163420927E-9</c:v>
                </c:pt>
                <c:pt idx="28">
                  <c:v>-3.9388600267048939E-9</c:v>
                </c:pt>
                <c:pt idx="29">
                  <c:v>-4.3893304352971474E-9</c:v>
                </c:pt>
                <c:pt idx="30">
                  <c:v>-4.8654483612631558E-9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83-46C4-852B-0E86569AF714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'0.0001M'!$AF$5:$AF$35</c:f>
              <c:numCache>
                <c:formatCode>0.000E+00</c:formatCode>
                <c:ptCount val="31"/>
                <c:pt idx="0">
                  <c:v>5.1546940370109402E-10</c:v>
                </c:pt>
                <c:pt idx="1">
                  <c:v>2.3555194041019456E-10</c:v>
                </c:pt>
                <c:pt idx="2">
                  <c:v>1.8884248299711413E-10</c:v>
                </c:pt>
                <c:pt idx="3">
                  <c:v>1.6536091575463972E-10</c:v>
                </c:pt>
                <c:pt idx="4">
                  <c:v>1.4272989176572073E-10</c:v>
                </c:pt>
                <c:pt idx="5">
                  <c:v>1.1704765758097205E-10</c:v>
                </c:pt>
                <c:pt idx="6">
                  <c:v>9.1189904512729318E-11</c:v>
                </c:pt>
                <c:pt idx="7">
                  <c:v>6.8669811351165759E-11</c:v>
                </c:pt>
                <c:pt idx="8">
                  <c:v>5.1021884639568182E-11</c:v>
                </c:pt>
                <c:pt idx="9">
                  <c:v>3.8019181422280059E-11</c:v>
                </c:pt>
                <c:pt idx="10">
                  <c:v>2.8491619938789166E-11</c:v>
                </c:pt>
                <c:pt idx="11">
                  <c:v>2.0853978454625971E-11</c:v>
                </c:pt>
                <c:pt idx="12">
                  <c:v>1.3374901613832564E-11</c:v>
                </c:pt>
                <c:pt idx="13">
                  <c:v>4.3497300392716289E-12</c:v>
                </c:pt>
                <c:pt idx="14">
                  <c:v>-7.7501266290338047E-12</c:v>
                </c:pt>
                <c:pt idx="15">
                  <c:v>-2.415680821608379E-11</c:v>
                </c:pt>
                <c:pt idx="16">
                  <c:v>-4.5744408169795597E-11</c:v>
                </c:pt>
                <c:pt idx="17">
                  <c:v>-7.3037929169781872E-11</c:v>
                </c:pt>
                <c:pt idx="18">
                  <c:v>-1.0627532789233104E-10</c:v>
                </c:pt>
                <c:pt idx="19">
                  <c:v>-1.4549066222688992E-10</c:v>
                </c:pt>
                <c:pt idx="20">
                  <c:v>-1.9059115754706644E-10</c:v>
                </c:pt>
                <c:pt idx="21">
                  <c:v>-2.4141465925411689E-10</c:v>
                </c:pt>
                <c:pt idx="22">
                  <c:v>-2.9776577353021342E-10</c:v>
                </c:pt>
                <c:pt idx="23">
                  <c:v>-3.5943509153845414E-10</c:v>
                </c:pt>
                <c:pt idx="24">
                  <c:v>-4.2620729656192055E-10</c:v>
                </c:pt>
                <c:pt idx="25">
                  <c:v>-4.9786302143761332E-10</c:v>
                </c:pt>
                <c:pt idx="26">
                  <c:v>-5.7417777512912226E-10</c:v>
                </c:pt>
                <c:pt idx="27">
                  <c:v>-6.5491989697455363E-10</c:v>
                </c:pt>
                <c:pt idx="28">
                  <c:v>-7.3984854186139987E-10</c:v>
                </c:pt>
                <c:pt idx="29">
                  <c:v>-8.2871211115772417E-10</c:v>
                </c:pt>
                <c:pt idx="30">
                  <c:v>-9.2124721767541808E-10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83-46C4-852B-0E86569AF714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'0.001M'!$AE$5:$AE$35</c:f>
              <c:numCache>
                <c:formatCode>0.000E+00</c:formatCode>
                <c:ptCount val="31"/>
                <c:pt idx="0">
                  <c:v>9.6070668851676613E-10</c:v>
                </c:pt>
                <c:pt idx="1">
                  <c:v>5.0541584063644318E-10</c:v>
                </c:pt>
                <c:pt idx="2">
                  <c:v>4.2318121905209252E-10</c:v>
                </c:pt>
                <c:pt idx="3">
                  <c:v>3.8145889282263215E-10</c:v>
                </c:pt>
                <c:pt idx="4">
                  <c:v>3.3926573967818337E-10</c:v>
                </c:pt>
                <c:pt idx="5">
                  <c:v>2.8800594658743094E-10</c:v>
                </c:pt>
                <c:pt idx="6">
                  <c:v>2.3241200626277991E-10</c:v>
                </c:pt>
                <c:pt idx="7">
                  <c:v>1.7962174464854604E-10</c:v>
                </c:pt>
                <c:pt idx="8">
                  <c:v>1.3381554792834848E-10</c:v>
                </c:pt>
                <c:pt idx="9">
                  <c:v>9.6162161538297148E-11</c:v>
                </c:pt>
                <c:pt idx="10">
                  <c:v>6.6253859968530375E-11</c:v>
                </c:pt>
                <c:pt idx="11">
                  <c:v>4.314288135070458E-11</c:v>
                </c:pt>
                <c:pt idx="12">
                  <c:v>2.5825756692027287E-11</c:v>
                </c:pt>
                <c:pt idx="13">
                  <c:v>1.3414401984927714E-11</c:v>
                </c:pt>
                <c:pt idx="14">
                  <c:v>5.1715426430911463E-12</c:v>
                </c:pt>
                <c:pt idx="15">
                  <c:v>4.9715083299560184E-13</c:v>
                </c:pt>
                <c:pt idx="16">
                  <c:v>-1.0982593050678454E-12</c:v>
                </c:pt>
                <c:pt idx="17">
                  <c:v>-2.0311101797590716E-14</c:v>
                </c:pt>
                <c:pt idx="18">
                  <c:v>3.3866322434495391E-12</c:v>
                </c:pt>
                <c:pt idx="19">
                  <c:v>8.8216172870104611E-12</c:v>
                </c:pt>
                <c:pt idx="20">
                  <c:v>1.601356925977876E-11</c:v>
                </c:pt>
                <c:pt idx="21">
                  <c:v>2.4711382828630616E-11</c:v>
                </c:pt>
                <c:pt idx="22">
                  <c:v>3.4676955441200629E-11</c:v>
                </c:pt>
                <c:pt idx="23">
                  <c:v>4.5680575951426288E-11</c:v>
                </c:pt>
                <c:pt idx="24">
                  <c:v>5.7498175926942435E-11</c:v>
                </c:pt>
                <c:pt idx="25">
                  <c:v>6.9910029818742044E-11</c:v>
                </c:pt>
                <c:pt idx="26">
                  <c:v>8.2700552617358914E-11</c:v>
                </c:pt>
                <c:pt idx="27">
                  <c:v>9.5658894320649472E-11</c:v>
                </c:pt>
                <c:pt idx="28">
                  <c:v>1.0858007420814818E-10</c:v>
                </c:pt>
                <c:pt idx="29">
                  <c:v>1.2126643786686831E-10</c:v>
                </c:pt>
                <c:pt idx="30">
                  <c:v>1.3352925786901453E-10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83-46C4-852B-0E86569AF714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'0.01M'!$AE$5:$AE$35</c:f>
              <c:numCache>
                <c:formatCode>0.000E+00</c:formatCode>
                <c:ptCount val="31"/>
                <c:pt idx="0">
                  <c:v>1.670261542674533E-9</c:v>
                </c:pt>
                <c:pt idx="1">
                  <c:v>1.0372587966905846E-9</c:v>
                </c:pt>
                <c:pt idx="2">
                  <c:v>9.1989006879733555E-10</c:v>
                </c:pt>
                <c:pt idx="3">
                  <c:v>8.6369742597164557E-10</c:v>
                </c:pt>
                <c:pt idx="4">
                  <c:v>8.0370199729942595E-10</c:v>
                </c:pt>
                <c:pt idx="5">
                  <c:v>7.2380354598161606E-10</c:v>
                </c:pt>
                <c:pt idx="6">
                  <c:v>6.3034562286674468E-10</c:v>
                </c:pt>
                <c:pt idx="7">
                  <c:v>5.3542236464956234E-10</c:v>
                </c:pt>
                <c:pt idx="8">
                  <c:v>4.4735027981211049E-10</c:v>
                </c:pt>
                <c:pt idx="9">
                  <c:v>3.6955719598898782E-10</c:v>
                </c:pt>
                <c:pt idx="10">
                  <c:v>3.0249905445292825E-10</c:v>
                </c:pt>
                <c:pt idx="11">
                  <c:v>2.4534345128853183E-10</c:v>
                </c:pt>
                <c:pt idx="12">
                  <c:v>1.968765128703019E-10</c:v>
                </c:pt>
                <c:pt idx="13">
                  <c:v>1.5589403154940586E-10</c:v>
                </c:pt>
                <c:pt idx="14">
                  <c:v>1.2133822603801524E-10</c:v>
                </c:pt>
                <c:pt idx="15">
                  <c:v>9.2325579871894772E-11</c:v>
                </c:pt>
                <c:pt idx="16">
                  <c:v>6.8133449392984057E-11</c:v>
                </c:pt>
                <c:pt idx="17">
                  <c:v>4.8174260940904858E-11</c:v>
                </c:pt>
                <c:pt idx="18">
                  <c:v>3.1968679841861944E-11</c:v>
                </c:pt>
                <c:pt idx="19">
                  <c:v>1.9121742966457812E-11</c:v>
                </c:pt>
                <c:pt idx="20">
                  <c:v>9.3029638139444827E-12</c:v>
                </c:pt>
                <c:pt idx="21">
                  <c:v>2.2303004826282788E-12</c:v>
                </c:pt>
                <c:pt idx="22">
                  <c:v>-2.3424806642872609E-12</c:v>
                </c:pt>
                <c:pt idx="23">
                  <c:v>-4.6355766647101087E-12</c:v>
                </c:pt>
                <c:pt idx="24">
                  <c:v>-4.850548878385113E-12</c:v>
                </c:pt>
                <c:pt idx="25">
                  <c:v>-3.1757847492889918E-12</c:v>
                </c:pt>
                <c:pt idx="26">
                  <c:v>2.0960890253504993E-13</c:v>
                </c:pt>
                <c:pt idx="27">
                  <c:v>5.1331629087328094E-12</c:v>
                </c:pt>
                <c:pt idx="28">
                  <c:v>1.1427379391614452E-11</c:v>
                </c:pt>
                <c:pt idx="29">
                  <c:v>1.8928806860423594E-11</c:v>
                </c:pt>
                <c:pt idx="30">
                  <c:v>2.7477656368745659E-11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83-46C4-852B-0E86569AF714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'0.1M'!$AE$5:$AE$35</c:f>
              <c:numCache>
                <c:formatCode>0.000E+00</c:formatCode>
                <c:ptCount val="31"/>
                <c:pt idx="0">
                  <c:v>2.4202888280025661E-9</c:v>
                </c:pt>
                <c:pt idx="1">
                  <c:v>1.8798963919760972E-9</c:v>
                </c:pt>
                <c:pt idx="2">
                  <c:v>1.8008180517603146E-9</c:v>
                </c:pt>
                <c:pt idx="3">
                  <c:v>1.7838767055200383E-9</c:v>
                </c:pt>
                <c:pt idx="4">
                  <c:v>1.7594905180461168E-9</c:v>
                </c:pt>
                <c:pt idx="5">
                  <c:v>1.7062737903292444E-9</c:v>
                </c:pt>
                <c:pt idx="6">
                  <c:v>1.628189188455525E-9</c:v>
                </c:pt>
                <c:pt idx="7">
                  <c:v>1.5381935097180414E-9</c:v>
                </c:pt>
                <c:pt idx="8">
                  <c:v>1.4470411612695305E-9</c:v>
                </c:pt>
                <c:pt idx="9">
                  <c:v>1.3606000851216035E-9</c:v>
                </c:pt>
                <c:pt idx="10">
                  <c:v>1.2811476007392287E-9</c:v>
                </c:pt>
                <c:pt idx="11">
                  <c:v>1.2090331428486237E-9</c:v>
                </c:pt>
                <c:pt idx="12">
                  <c:v>1.1437468564075593E-9</c:v>
                </c:pt>
                <c:pt idx="13">
                  <c:v>1.0844732076929742E-9</c:v>
                </c:pt>
                <c:pt idx="14">
                  <c:v>1.0303476244142824E-9</c:v>
                </c:pt>
                <c:pt idx="15">
                  <c:v>9.805644651788924E-10</c:v>
                </c:pt>
                <c:pt idx="16">
                  <c:v>9.3441553727507283E-10</c:v>
                </c:pt>
                <c:pt idx="17">
                  <c:v>8.9129779130633128E-10</c:v>
                </c:pt>
                <c:pt idx="18">
                  <c:v>8.5070820558673743E-10</c:v>
                </c:pt>
                <c:pt idx="19">
                  <c:v>8.1223398973335108E-10</c:v>
                </c:pt>
                <c:pt idx="20">
                  <c:v>7.7554163150905931E-10</c:v>
                </c:pt>
                <c:pt idx="21">
                  <c:v>7.4036621302647547E-10</c:v>
                </c:pt>
                <c:pt idx="22">
                  <c:v>7.0650149724964675E-10</c:v>
                </c:pt>
                <c:pt idx="23">
                  <c:v>6.7379090208743606E-10</c:v>
                </c:pt>
                <c:pt idx="24">
                  <c:v>6.4211934006856201E-10</c:v>
                </c:pt>
                <c:pt idx="25">
                  <c:v>6.1140586688995482E-10</c:v>
                </c:pt>
                <c:pt idx="26">
                  <c:v>5.8159708683307275E-10</c:v>
                </c:pt>
                <c:pt idx="27">
                  <c:v>5.5266127757679068E-10</c:v>
                </c:pt>
                <c:pt idx="28">
                  <c:v>5.2458320896168773E-10</c:v>
                </c:pt>
                <c:pt idx="29">
                  <c:v>4.9735963580477472E-10</c:v>
                </c:pt>
                <c:pt idx="30">
                  <c:v>4.709954439166946E-10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583-46C4-852B-0E86569AF714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'0.5M'!$AE$5:$AE$35</c:f>
              <c:numCache>
                <c:formatCode>0.000E+00</c:formatCode>
                <c:ptCount val="31"/>
                <c:pt idx="0">
                  <c:v>2.790305703268552E-9</c:v>
                </c:pt>
                <c:pt idx="1">
                  <c:v>2.7704232903954122E-9</c:v>
                </c:pt>
                <c:pt idx="2">
                  <c:v>2.9254255114842366E-9</c:v>
                </c:pt>
                <c:pt idx="3">
                  <c:v>3.1118179493488756E-9</c:v>
                </c:pt>
                <c:pt idx="4">
                  <c:v>3.2980678864312482E-9</c:v>
                </c:pt>
                <c:pt idx="5">
                  <c:v>3.4710673525269984E-9</c:v>
                </c:pt>
                <c:pt idx="6">
                  <c:v>3.6293939702747262E-9</c:v>
                </c:pt>
                <c:pt idx="7">
                  <c:v>3.77732778921465E-9</c:v>
                </c:pt>
                <c:pt idx="8">
                  <c:v>3.9195926306089423E-9</c:v>
                </c:pt>
                <c:pt idx="9">
                  <c:v>4.0593409267740518E-9</c:v>
                </c:pt>
                <c:pt idx="10">
                  <c:v>4.1981578788914613E-9</c:v>
                </c:pt>
                <c:pt idx="11">
                  <c:v>4.3365607075596367E-9</c:v>
                </c:pt>
                <c:pt idx="12">
                  <c:v>4.4744167270319172E-9</c:v>
                </c:pt>
                <c:pt idx="13">
                  <c:v>4.6112044930788166E-9</c:v>
                </c:pt>
                <c:pt idx="14">
                  <c:v>4.7461650862815847E-9</c:v>
                </c:pt>
                <c:pt idx="15">
                  <c:v>4.8783918288595183E-9</c:v>
                </c:pt>
                <c:pt idx="16">
                  <c:v>5.0068885576191174E-9</c:v>
                </c:pt>
                <c:pt idx="17">
                  <c:v>5.1306125008800444E-9</c:v>
                </c:pt>
                <c:pt idx="18">
                  <c:v>5.2485095390547647E-9</c:v>
                </c:pt>
                <c:pt idx="19">
                  <c:v>5.35954520589373E-9</c:v>
                </c:pt>
                <c:pt idx="20">
                  <c:v>5.4627325325030172E-9</c:v>
                </c:pt>
                <c:pt idx="21">
                  <c:v>5.5571567504228349E-9</c:v>
                </c:pt>
                <c:pt idx="22">
                  <c:v>5.6419964169748395E-9</c:v>
                </c:pt>
                <c:pt idx="23">
                  <c:v>5.7165404234862995E-9</c:v>
                </c:pt>
                <c:pt idx="24">
                  <c:v>5.7802004410314023E-9</c:v>
                </c:pt>
                <c:pt idx="25">
                  <c:v>5.8325185578099825E-9</c:v>
                </c:pt>
                <c:pt idx="26">
                  <c:v>5.8731701071292351E-9</c:v>
                </c:pt>
                <c:pt idx="27">
                  <c:v>5.9019619323641032E-9</c:v>
                </c:pt>
                <c:pt idx="28">
                  <c:v>5.9188265544309105E-9</c:v>
                </c:pt>
                <c:pt idx="29">
                  <c:v>5.9238128776455719E-9</c:v>
                </c:pt>
                <c:pt idx="30">
                  <c:v>5.9170741802887871E-9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583-46C4-852B-0E86569AF714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'1M'!$AE$5:$AE$35</c:f>
              <c:numCache>
                <c:formatCode>0.000E+00</c:formatCode>
                <c:ptCount val="31"/>
                <c:pt idx="0">
                  <c:v>1.3708671317698115E-9</c:v>
                </c:pt>
                <c:pt idx="1">
                  <c:v>1.4562056196905418E-9</c:v>
                </c:pt>
                <c:pt idx="2">
                  <c:v>1.5464103164571811E-9</c:v>
                </c:pt>
                <c:pt idx="3">
                  <c:v>1.6406549727543095E-9</c:v>
                </c:pt>
                <c:pt idx="4">
                  <c:v>1.7382107868186372E-9</c:v>
                </c:pt>
                <c:pt idx="5">
                  <c:v>1.8384673267966956E-9</c:v>
                </c:pt>
                <c:pt idx="6">
                  <c:v>1.9409265117449547E-9</c:v>
                </c:pt>
                <c:pt idx="7">
                  <c:v>2.0451788571165068E-9</c:v>
                </c:pt>
                <c:pt idx="8">
                  <c:v>2.1508713087696767E-9</c:v>
                </c:pt>
                <c:pt idx="9">
                  <c:v>2.2576740312777361E-9</c:v>
                </c:pt>
                <c:pt idx="10">
                  <c:v>2.3652509508470435E-9</c:v>
                </c:pt>
                <c:pt idx="11">
                  <c:v>2.4732365833369005E-9</c:v>
                </c:pt>
                <c:pt idx="12">
                  <c:v>2.5812200467116207E-9</c:v>
                </c:pt>
                <c:pt idx="13">
                  <c:v>2.6887361540848478E-9</c:v>
                </c:pt>
                <c:pt idx="14">
                  <c:v>2.7952629491991786E-9</c:v>
                </c:pt>
                <c:pt idx="15">
                  <c:v>2.9002248031870107E-9</c:v>
                </c:pt>
                <c:pt idx="16">
                  <c:v>3.0030001015896919E-9</c:v>
                </c:pt>
                <c:pt idx="17">
                  <c:v>3.1029325275165247E-9</c:v>
                </c:pt>
                <c:pt idx="18">
                  <c:v>3.199344947760627E-9</c:v>
                </c:pt>
                <c:pt idx="19">
                  <c:v>3.2915549203985495E-9</c:v>
                </c:pt>
                <c:pt idx="20">
                  <c:v>3.3788908678899293E-9</c:v>
                </c:pt>
                <c:pt idx="21">
                  <c:v>3.4607080081182156E-9</c:v>
                </c:pt>
                <c:pt idx="22">
                  <c:v>3.5364032156876417E-9</c:v>
                </c:pt>
                <c:pt idx="23">
                  <c:v>3.6054281010771081E-9</c:v>
                </c:pt>
                <c:pt idx="24">
                  <c:v>3.6672997437849883E-9</c:v>
                </c:pt>
                <c:pt idx="25">
                  <c:v>3.7216086893261362E-9</c:v>
                </c:pt>
                <c:pt idx="26">
                  <c:v>3.7680240064341082E-9</c:v>
                </c:pt>
                <c:pt idx="27">
                  <c:v>3.8062953855000791E-9</c:v>
                </c:pt>
                <c:pt idx="28">
                  <c:v>3.8362524278300035E-9</c:v>
                </c:pt>
                <c:pt idx="29">
                  <c:v>3.8578014157701149E-9</c:v>
                </c:pt>
                <c:pt idx="30">
                  <c:v>3.870919958006208E-9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583-46C4-852B-0E86569AF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607080"/>
        <c:axId val="237607472"/>
      </c:scatterChart>
      <c:valAx>
        <c:axId val="237607080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7472"/>
        <c:crossesAt val="-1.0000000000000005E-9"/>
        <c:crossBetween val="midCat"/>
        <c:majorUnit val="20"/>
        <c:minorUnit val="10"/>
      </c:valAx>
      <c:valAx>
        <c:axId val="237607472"/>
        <c:scaling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EDL surface conduction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(S)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7423733427938465E-2"/>
              <c:y val="0.1363375206006225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760708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16935672304853"/>
          <c:y val="2.9962804113133047E-2"/>
          <c:w val="0.17363491171223164"/>
          <c:h val="0.41136465848745646"/>
        </c:manualLayout>
      </c:layout>
      <c:overlay val="0"/>
      <c:spPr>
        <a:solidFill>
          <a:sysClr val="window" lastClr="FFFFFF"/>
        </a:solidFill>
        <a:ln w="34925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'1e-5M'!$AG$5:$AG$35</c:f>
              <c:numCache>
                <c:formatCode>0.000E+00</c:formatCode>
                <c:ptCount val="31"/>
                <c:pt idx="0">
                  <c:v>2.6676214929428668E-9</c:v>
                </c:pt>
                <c:pt idx="1">
                  <c:v>2.5152454985473255E-9</c:v>
                </c:pt>
                <c:pt idx="2">
                  <c:v>2.496266905791694E-9</c:v>
                </c:pt>
                <c:pt idx="3">
                  <c:v>2.4890764701377835E-9</c:v>
                </c:pt>
                <c:pt idx="4">
                  <c:v>2.4841889727283746E-9</c:v>
                </c:pt>
                <c:pt idx="5">
                  <c:v>2.4812185071993063E-9</c:v>
                </c:pt>
                <c:pt idx="6">
                  <c:v>2.4809345733087782E-9</c:v>
                </c:pt>
                <c:pt idx="7">
                  <c:v>2.4805741216709148E-9</c:v>
                </c:pt>
                <c:pt idx="8">
                  <c:v>2.4736635824898043E-9</c:v>
                </c:pt>
                <c:pt idx="9">
                  <c:v>2.4542938311779611E-9</c:v>
                </c:pt>
                <c:pt idx="10">
                  <c:v>2.4198410256484526E-9</c:v>
                </c:pt>
                <c:pt idx="11">
                  <c:v>2.3698488912510667E-9</c:v>
                </c:pt>
                <c:pt idx="12">
                  <c:v>2.3042587170595948E-9</c:v>
                </c:pt>
                <c:pt idx="13">
                  <c:v>2.2226991473672106E-9</c:v>
                </c:pt>
                <c:pt idx="14">
                  <c:v>2.1244457555293781E-9</c:v>
                </c:pt>
                <c:pt idx="15">
                  <c:v>2.0085463515406836E-9</c:v>
                </c:pt>
                <c:pt idx="16">
                  <c:v>1.873934830079984E-9</c:v>
                </c:pt>
                <c:pt idx="17">
                  <c:v>1.7195082849922887E-9</c:v>
                </c:pt>
                <c:pt idx="18">
                  <c:v>1.5441772884375944E-9</c:v>
                </c:pt>
                <c:pt idx="19">
                  <c:v>1.3469003416005563E-9</c:v>
                </c:pt>
                <c:pt idx="20">
                  <c:v>1.1267093243250917E-9</c:v>
                </c:pt>
                <c:pt idx="21">
                  <c:v>8.8272951043363082E-10</c:v>
                </c:pt>
                <c:pt idx="22">
                  <c:v>6.1419584021843719E-10</c:v>
                </c:pt>
                <c:pt idx="23">
                  <c:v>3.2046619190010874E-10</c:v>
                </c:pt>
                <c:pt idx="24">
                  <c:v>1.0319699186776333E-12</c:v>
                </c:pt>
                <c:pt idx="25">
                  <c:v>-3.4447381492189708E-10</c:v>
                </c:pt>
                <c:pt idx="26">
                  <c:v>-7.1627079904058246E-10</c:v>
                </c:pt>
                <c:pt idx="27">
                  <c:v>-1.1144276162126861E-9</c:v>
                </c:pt>
                <c:pt idx="28">
                  <c:v>-1.5388600266005806E-9</c:v>
                </c:pt>
                <c:pt idx="29">
                  <c:v>-1.9893304352123904E-9</c:v>
                </c:pt>
                <c:pt idx="30">
                  <c:v>-2.4654483611937777E-9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3F-4F84-A11A-2291A7A9E287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'0.0001M'!$AH$5:$AH$35</c:f>
              <c:numCache>
                <c:formatCode>0.000E+00</c:formatCode>
                <c:ptCount val="31"/>
                <c:pt idx="0">
                  <c:v>2.9168175693200203E-9</c:v>
                </c:pt>
                <c:pt idx="1">
                  <c:v>2.6357380057042508E-9</c:v>
                </c:pt>
                <c:pt idx="2">
                  <c:v>2.5889463405696016E-9</c:v>
                </c:pt>
                <c:pt idx="3">
                  <c:v>2.5654321894743279E-9</c:v>
                </c:pt>
                <c:pt idx="4">
                  <c:v>2.542778179914005E-9</c:v>
                </c:pt>
                <c:pt idx="5">
                  <c:v>2.5170779722581563E-9</c:v>
                </c:pt>
                <c:pt idx="6">
                  <c:v>2.4912077817934655E-9</c:v>
                </c:pt>
                <c:pt idx="7">
                  <c:v>2.4686801095824062E-9</c:v>
                </c:pt>
                <c:pt idx="8">
                  <c:v>2.4510278686966895E-9</c:v>
                </c:pt>
                <c:pt idx="9">
                  <c:v>2.438022751601252E-9</c:v>
                </c:pt>
                <c:pt idx="10">
                  <c:v>2.4284938222502007E-9</c:v>
                </c:pt>
                <c:pt idx="11">
                  <c:v>2.4208553845827985E-9</c:v>
                </c:pt>
                <c:pt idx="12">
                  <c:v>2.4133758292871614E-9</c:v>
                </c:pt>
                <c:pt idx="13">
                  <c:v>2.4043503606994319E-9</c:v>
                </c:pt>
                <c:pt idx="14">
                  <c:v>2.3922503138520314E-9</c:v>
                </c:pt>
                <c:pt idx="15">
                  <c:v>2.3758435069537776E-9</c:v>
                </c:pt>
                <c:pt idx="16">
                  <c:v>2.354255822247669E-9</c:v>
                </c:pt>
                <c:pt idx="17">
                  <c:v>2.3269622425564038E-9</c:v>
                </c:pt>
                <c:pt idx="18">
                  <c:v>2.2937248023135647E-9</c:v>
                </c:pt>
                <c:pt idx="19">
                  <c:v>2.2545094380345617E-9</c:v>
                </c:pt>
                <c:pt idx="20">
                  <c:v>2.2094089207386296E-9</c:v>
                </c:pt>
                <c:pt idx="21">
                  <c:v>2.1585854026469021E-9</c:v>
                </c:pt>
                <c:pt idx="22">
                  <c:v>2.1022342759778137E-9</c:v>
                </c:pt>
                <c:pt idx="23">
                  <c:v>2.0405649484720669E-9</c:v>
                </c:pt>
                <c:pt idx="24">
                  <c:v>1.9737927360822405E-9</c:v>
                </c:pt>
                <c:pt idx="25">
                  <c:v>1.9021370054298907E-9</c:v>
                </c:pt>
                <c:pt idx="26">
                  <c:v>1.8258222471622449E-9</c:v>
                </c:pt>
                <c:pt idx="27">
                  <c:v>1.7450801216576613E-9</c:v>
                </c:pt>
                <c:pt idx="28">
                  <c:v>1.6601514738194862E-9</c:v>
                </c:pt>
                <c:pt idx="29">
                  <c:v>1.5712879021235648E-9</c:v>
                </c:pt>
                <c:pt idx="30">
                  <c:v>1.4787527936402551E-9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93F-4F84-A11A-2291A7A9E287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'0.001M'!$AG$5:$AG$35</c:f>
              <c:numCache>
                <c:formatCode>0.000E+00</c:formatCode>
                <c:ptCount val="31"/>
                <c:pt idx="0">
                  <c:v>3.3724460835653194E-9</c:v>
                </c:pt>
                <c:pt idx="1">
                  <c:v>2.9080829552775325E-9</c:v>
                </c:pt>
                <c:pt idx="2">
                  <c:v>2.8249046890588774E-9</c:v>
                </c:pt>
                <c:pt idx="3">
                  <c:v>2.7827588609152211E-9</c:v>
                </c:pt>
                <c:pt idx="4">
                  <c:v>2.7402368440852875E-9</c:v>
                </c:pt>
                <c:pt idx="5">
                  <c:v>2.6886910961498639E-9</c:v>
                </c:pt>
                <c:pt idx="6">
                  <c:v>2.6328732517423737E-9</c:v>
                </c:pt>
                <c:pt idx="7">
                  <c:v>2.5799268326176903E-9</c:v>
                </c:pt>
                <c:pt idx="8">
                  <c:v>2.5340186561065205E-9</c:v>
                </c:pt>
                <c:pt idx="9">
                  <c:v>2.4963000747376867E-9</c:v>
                </c:pt>
                <c:pt idx="10">
                  <c:v>2.4663498746858619E-9</c:v>
                </c:pt>
                <c:pt idx="11">
                  <c:v>2.4432114733726561E-9</c:v>
                </c:pt>
                <c:pt idx="12">
                  <c:v>2.425875975443982E-9</c:v>
                </c:pt>
                <c:pt idx="13">
                  <c:v>2.4134520049118824E-9</c:v>
                </c:pt>
                <c:pt idx="14">
                  <c:v>2.4052002748247362E-9</c:v>
                </c:pt>
                <c:pt idx="15">
                  <c:v>2.4005195057819265E-9</c:v>
                </c:pt>
                <c:pt idx="16">
                  <c:v>2.3989194168862243E-9</c:v>
                </c:pt>
                <c:pt idx="17">
                  <c:v>2.3999938684431751E-9</c:v>
                </c:pt>
                <c:pt idx="18">
                  <c:v>2.40339815448704E-9</c:v>
                </c:pt>
                <c:pt idx="19">
                  <c:v>2.4088310892640334E-9</c:v>
                </c:pt>
                <c:pt idx="20">
                  <c:v>2.416021437459337E-9</c:v>
                </c:pt>
                <c:pt idx="21">
                  <c:v>2.4247179807629326E-9</c:v>
                </c:pt>
                <c:pt idx="22">
                  <c:v>2.4346825357778607E-9</c:v>
                </c:pt>
                <c:pt idx="23">
                  <c:v>2.4456853326058048E-9</c:v>
                </c:pt>
                <c:pt idx="24">
                  <c:v>2.4575022595039418E-9</c:v>
                </c:pt>
                <c:pt idx="25">
                  <c:v>2.469913558572718E-9</c:v>
                </c:pt>
                <c:pt idx="26">
                  <c:v>2.4827036203425E-9</c:v>
                </c:pt>
                <c:pt idx="27">
                  <c:v>2.4956615761071367E-9</c:v>
                </c:pt>
                <c:pt idx="28">
                  <c:v>2.5085824306933386E-9</c:v>
                </c:pt>
                <c:pt idx="29">
                  <c:v>2.5212685184111527E-9</c:v>
                </c:pt>
                <c:pt idx="30">
                  <c:v>2.5335311029538189E-9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93F-4F84-A11A-2291A7A9E287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'0.01M'!$AG$5:$AG$35</c:f>
              <c:numCache>
                <c:formatCode>0.000E+00</c:formatCode>
                <c:ptCount val="31"/>
                <c:pt idx="0">
                  <c:v>4.1708779846012179E-9</c:v>
                </c:pt>
                <c:pt idx="1">
                  <c:v>3.4751236691791753E-9</c:v>
                </c:pt>
                <c:pt idx="2">
                  <c:v>3.3482489016868193E-9</c:v>
                </c:pt>
                <c:pt idx="3">
                  <c:v>3.2872225286236154E-9</c:v>
                </c:pt>
                <c:pt idx="4">
                  <c:v>3.2230902952224814E-9</c:v>
                </c:pt>
                <c:pt idx="5">
                  <c:v>3.1391861717506243E-9</c:v>
                </c:pt>
                <c:pt idx="6">
                  <c:v>3.0421742405625923E-9</c:v>
                </c:pt>
                <c:pt idx="7">
                  <c:v>2.9444109466006864E-9</c:v>
                </c:pt>
                <c:pt idx="8">
                  <c:v>2.8542092909749309E-9</c:v>
                </c:pt>
                <c:pt idx="9">
                  <c:v>2.7748598197350215E-9</c:v>
                </c:pt>
                <c:pt idx="10">
                  <c:v>2.7066668425161793E-9</c:v>
                </c:pt>
                <c:pt idx="11">
                  <c:v>2.6486757867465296E-9</c:v>
                </c:pt>
                <c:pt idx="12">
                  <c:v>2.5995846042891172E-9</c:v>
                </c:pt>
                <c:pt idx="13">
                  <c:v>2.5581279154667524E-9</c:v>
                </c:pt>
                <c:pt idx="14">
                  <c:v>2.5232058848095191E-9</c:v>
                </c:pt>
                <c:pt idx="15">
                  <c:v>2.4939059398246677E-9</c:v>
                </c:pt>
                <c:pt idx="16">
                  <c:v>2.4694851287108609E-9</c:v>
                </c:pt>
                <c:pt idx="17">
                  <c:v>2.4493414790130434E-9</c:v>
                </c:pt>
                <c:pt idx="18">
                  <c:v>2.4329852904330429E-9</c:v>
                </c:pt>
                <c:pt idx="19">
                  <c:v>2.4200140236890153E-9</c:v>
                </c:pt>
                <c:pt idx="20">
                  <c:v>2.4100915734495885E-9</c:v>
                </c:pt>
                <c:pt idx="21">
                  <c:v>2.4029316725926838E-9</c:v>
                </c:pt>
                <c:pt idx="22">
                  <c:v>2.3982848687556628E-9</c:v>
                </c:pt>
                <c:pt idx="23">
                  <c:v>2.3959284830808961E-9</c:v>
                </c:pt>
                <c:pt idx="24">
                  <c:v>2.3956590189410204E-9</c:v>
                </c:pt>
                <c:pt idx="25">
                  <c:v>2.3972865639609726E-9</c:v>
                </c:pt>
                <c:pt idx="26">
                  <c:v>2.4006307979987139E-9</c:v>
                </c:pt>
                <c:pt idx="27">
                  <c:v>2.4055182777441618E-9</c:v>
                </c:pt>
                <c:pt idx="28">
                  <c:v>2.4117807166108719E-9</c:v>
                </c:pt>
                <c:pt idx="29">
                  <c:v>2.4192540195153967E-9</c:v>
                </c:pt>
                <c:pt idx="30">
                  <c:v>2.4277778684834784E-9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93F-4F84-A11A-2291A7A9E287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'0.1M'!$AG$5:$AG$35</c:f>
              <c:numCache>
                <c:formatCode>0.000E+00</c:formatCode>
                <c:ptCount val="31"/>
                <c:pt idx="0">
                  <c:v>5.6054948960728055E-9</c:v>
                </c:pt>
                <c:pt idx="1">
                  <c:v>4.7811309977412712E-9</c:v>
                </c:pt>
                <c:pt idx="2">
                  <c:v>4.6386084057531854E-9</c:v>
                </c:pt>
                <c:pt idx="3">
                  <c:v>4.5847892346845913E-9</c:v>
                </c:pt>
                <c:pt idx="4">
                  <c:v>4.5253557342682482E-9</c:v>
                </c:pt>
                <c:pt idx="5">
                  <c:v>4.4340345164852146E-9</c:v>
                </c:pt>
                <c:pt idx="6">
                  <c:v>4.3173028362866388E-9</c:v>
                </c:pt>
                <c:pt idx="7">
                  <c:v>4.1916191403783763E-9</c:v>
                </c:pt>
                <c:pt idx="8">
                  <c:v>4.0695053951672731E-9</c:v>
                </c:pt>
                <c:pt idx="9">
                  <c:v>3.9570255541509472E-9</c:v>
                </c:pt>
                <c:pt idx="10">
                  <c:v>3.8559122199615565E-9</c:v>
                </c:pt>
                <c:pt idx="11">
                  <c:v>3.7657770460348101E-9</c:v>
                </c:pt>
                <c:pt idx="12">
                  <c:v>3.6854149826692182E-9</c:v>
                </c:pt>
                <c:pt idx="13">
                  <c:v>3.6134284643417711E-9</c:v>
                </c:pt>
                <c:pt idx="14">
                  <c:v>3.5484881015054826E-9</c:v>
                </c:pt>
                <c:pt idx="15">
                  <c:v>3.4894236595339783E-9</c:v>
                </c:pt>
                <c:pt idx="16">
                  <c:v>3.4352421691247517E-9</c:v>
                </c:pt>
                <c:pt idx="17">
                  <c:v>3.3851175590601573E-9</c:v>
                </c:pt>
                <c:pt idx="18">
                  <c:v>3.3383710825463806E-9</c:v>
                </c:pt>
                <c:pt idx="19">
                  <c:v>3.2944504142866372E-9</c:v>
                </c:pt>
                <c:pt idx="20">
                  <c:v>3.2529103062648519E-9</c:v>
                </c:pt>
                <c:pt idx="21">
                  <c:v>3.2133955947649839E-9</c:v>
                </c:pt>
                <c:pt idx="22">
                  <c:v>3.1756265364172161E-9</c:v>
                </c:pt>
                <c:pt idx="23">
                  <c:v>3.1393861884937207E-9</c:v>
                </c:pt>
                <c:pt idx="24">
                  <c:v>3.1045095120035214E-9</c:v>
                </c:pt>
                <c:pt idx="25">
                  <c:v>3.0708739208331362E-9</c:v>
                </c:pt>
                <c:pt idx="26">
                  <c:v>3.0383910638846317E-9</c:v>
                </c:pt>
                <c:pt idx="27">
                  <c:v>3.0069996847551994E-9</c:v>
                </c:pt>
                <c:pt idx="28">
                  <c:v>2.9766594467310035E-9</c:v>
                </c:pt>
                <c:pt idx="29">
                  <c:v>2.9473456390014273E-9</c:v>
                </c:pt>
                <c:pt idx="30">
                  <c:v>2.9190446954481497E-9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93F-4F84-A11A-2291A7A9E287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'0.5M'!$AG$5:$AG$35</c:f>
              <c:numCache>
                <c:formatCode>0.000E+00</c:formatCode>
                <c:ptCount val="31"/>
                <c:pt idx="0">
                  <c:v>7.7637917967961515E-9</c:v>
                </c:pt>
                <c:pt idx="1">
                  <c:v>7.5025164208689041E-9</c:v>
                </c:pt>
                <c:pt idx="2">
                  <c:v>7.5890407550144101E-9</c:v>
                </c:pt>
                <c:pt idx="3">
                  <c:v>7.7319325150207258E-9</c:v>
                </c:pt>
                <c:pt idx="4">
                  <c:v>7.8736990424615399E-9</c:v>
                </c:pt>
                <c:pt idx="5">
                  <c:v>7.9941398447787841E-9</c:v>
                </c:pt>
                <c:pt idx="6">
                  <c:v>8.0937341397901031E-9</c:v>
                </c:pt>
                <c:pt idx="7">
                  <c:v>8.1813874673680078E-9</c:v>
                </c:pt>
                <c:pt idx="8">
                  <c:v>8.2654163010410997E-9</c:v>
                </c:pt>
                <c:pt idx="9">
                  <c:v>8.3507932402589748E-9</c:v>
                </c:pt>
                <c:pt idx="10">
                  <c:v>8.4396815948640911E-9</c:v>
                </c:pt>
                <c:pt idx="11">
                  <c:v>8.5325313962076951E-9</c:v>
                </c:pt>
                <c:pt idx="12">
                  <c:v>8.6288697857115424E-9</c:v>
                </c:pt>
                <c:pt idx="13">
                  <c:v>8.7277516566195839E-9</c:v>
                </c:pt>
                <c:pt idx="14">
                  <c:v>8.8279965717408834E-9</c:v>
                </c:pt>
                <c:pt idx="15">
                  <c:v>8.9283124499805796E-9</c:v>
                </c:pt>
                <c:pt idx="16">
                  <c:v>9.0273638954651367E-9</c:v>
                </c:pt>
                <c:pt idx="17">
                  <c:v>9.1238147795168706E-9</c:v>
                </c:pt>
                <c:pt idx="18">
                  <c:v>9.216359201876886E-9</c:v>
                </c:pt>
                <c:pt idx="19">
                  <c:v>9.3037470517494239E-9</c:v>
                </c:pt>
                <c:pt idx="20">
                  <c:v>9.3848064943862036E-9</c:v>
                </c:pt>
                <c:pt idx="21">
                  <c:v>9.4584638656921167E-9</c:v>
                </c:pt>
                <c:pt idx="22">
                  <c:v>9.5237606640187183E-9</c:v>
                </c:pt>
                <c:pt idx="23">
                  <c:v>9.5798670810037288E-9</c:v>
                </c:pt>
                <c:pt idx="24">
                  <c:v>9.6260915530660523E-9</c:v>
                </c:pt>
                <c:pt idx="25">
                  <c:v>9.6618860010431881E-9</c:v>
                </c:pt>
                <c:pt idx="26">
                  <c:v>9.6868466739388295E-9</c:v>
                </c:pt>
                <c:pt idx="27">
                  <c:v>9.7007107701357879E-9</c:v>
                </c:pt>
                <c:pt idx="28">
                  <c:v>9.7033492399944653E-9</c:v>
                </c:pt>
                <c:pt idx="29">
                  <c:v>9.6947563548584646E-9</c:v>
                </c:pt>
                <c:pt idx="30">
                  <c:v>9.6750367473208347E-9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93F-4F84-A11A-2291A7A9E287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'1M'!$AG$5:$AG$35</c:f>
              <c:numCache>
                <c:formatCode>0.000E+00</c:formatCode>
                <c:ptCount val="31"/>
                <c:pt idx="0">
                  <c:v>7.5066670984141066E-9</c:v>
                </c:pt>
                <c:pt idx="1">
                  <c:v>7.5927007393174094E-9</c:v>
                </c:pt>
                <c:pt idx="2">
                  <c:v>7.6836324938638301E-9</c:v>
                </c:pt>
                <c:pt idx="3">
                  <c:v>7.7786351106424901E-9</c:v>
                </c:pt>
                <c:pt idx="4">
                  <c:v>7.8769788680983783E-9</c:v>
                </c:pt>
                <c:pt idx="5">
                  <c:v>7.9780524969461159E-9</c:v>
                </c:pt>
                <c:pt idx="6">
                  <c:v>8.0813571616247797E-9</c:v>
                </c:pt>
                <c:pt idx="7">
                  <c:v>8.1864827066306546E-9</c:v>
                </c:pt>
                <c:pt idx="8">
                  <c:v>8.2930754917596113E-9</c:v>
                </c:pt>
                <c:pt idx="9">
                  <c:v>8.4008051820382339E-9</c:v>
                </c:pt>
                <c:pt idx="10">
                  <c:v>8.5093352926547781E-9</c:v>
                </c:pt>
                <c:pt idx="11">
                  <c:v>8.618300019390774E-9</c:v>
                </c:pt>
                <c:pt idx="12">
                  <c:v>8.727288253895542E-9</c:v>
                </c:pt>
                <c:pt idx="13">
                  <c:v>8.8358346799798261E-9</c:v>
                </c:pt>
                <c:pt idx="14">
                  <c:v>8.9434173127927834E-9</c:v>
                </c:pt>
                <c:pt idx="15">
                  <c:v>9.0494605997548883E-9</c:v>
                </c:pt>
                <c:pt idx="16">
                  <c:v>9.1533431122567813E-9</c:v>
                </c:pt>
                <c:pt idx="17">
                  <c:v>9.2544088340456614E-9</c:v>
                </c:pt>
                <c:pt idx="18">
                  <c:v>9.3519810531645198E-9</c:v>
                </c:pt>
                <c:pt idx="19">
                  <c:v>9.4453778760289503E-9</c:v>
                </c:pt>
                <c:pt idx="20">
                  <c:v>9.5339284077268793E-9</c:v>
                </c:pt>
                <c:pt idx="21">
                  <c:v>9.6169886910643491E-9</c:v>
                </c:pt>
                <c:pt idx="22">
                  <c:v>9.6939565767702571E-9</c:v>
                </c:pt>
                <c:pt idx="23">
                  <c:v>9.76428481257683E-9</c:v>
                </c:pt>
                <c:pt idx="24">
                  <c:v>9.8274917874480112E-9</c:v>
                </c:pt>
                <c:pt idx="25">
                  <c:v>9.8831695409816354E-9</c:v>
                </c:pt>
                <c:pt idx="26">
                  <c:v>9.930988834534891E-9</c:v>
                </c:pt>
                <c:pt idx="27">
                  <c:v>9.9707012653397091E-9</c:v>
                </c:pt>
                <c:pt idx="28">
                  <c:v>1.0002138573471818E-8</c:v>
                </c:pt>
                <c:pt idx="29">
                  <c:v>1.002520943206359E-8</c:v>
                </c:pt>
                <c:pt idx="30">
                  <c:v>1.003989411547722E-8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93F-4F84-A11A-2291A7A9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566736"/>
        <c:axId val="239567128"/>
      </c:scatterChart>
      <c:valAx>
        <c:axId val="239566736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7128"/>
        <c:crossesAt val="0"/>
        <c:crossBetween val="midCat"/>
        <c:majorUnit val="20"/>
        <c:minorUnit val="10"/>
      </c:valAx>
      <c:valAx>
        <c:axId val="239567128"/>
        <c:scaling>
          <c:logBase val="10"/>
          <c:orientation val="minMax"/>
          <c:max val="1.0000000000000005E-7"/>
          <c:min val="1.0000000000000006E-1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Total surface conduction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(S)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7423200925121002E-2"/>
              <c:y val="0.1307372918603333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6736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296428623269629"/>
          <c:y val="2.9962804113133047E-2"/>
          <c:w val="0.17238039633757885"/>
          <c:h val="0.41143626683792139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'1e-5M'!$AI$5:$AI$35</c:f>
              <c:numCache>
                <c:formatCode>0.00E+00</c:formatCode>
                <c:ptCount val="31"/>
                <c:pt idx="0">
                  <c:v>21891.82408014821</c:v>
                </c:pt>
                <c:pt idx="1">
                  <c:v>19130.24672814666</c:v>
                </c:pt>
                <c:pt idx="2">
                  <c:v>19830.280284805656</c:v>
                </c:pt>
                <c:pt idx="3">
                  <c:v>20923.095893916685</c:v>
                </c:pt>
                <c:pt idx="4">
                  <c:v>21599.782783243383</c:v>
                </c:pt>
                <c:pt idx="5">
                  <c:v>21397.027059881362</c:v>
                </c:pt>
                <c:pt idx="6">
                  <c:v>20127.568233140482</c:v>
                </c:pt>
                <c:pt idx="7">
                  <c:v>17782.792695266307</c:v>
                </c:pt>
                <c:pt idx="8">
                  <c:v>14459.16581813801</c:v>
                </c:pt>
                <c:pt idx="9">
                  <c:v>10357.413534916133</c:v>
                </c:pt>
                <c:pt idx="10">
                  <c:v>5754.2334223676799</c:v>
                </c:pt>
                <c:pt idx="11">
                  <c:v>939.77242495212795</c:v>
                </c:pt>
                <c:pt idx="12">
                  <c:v>-3821.4701170451135</c:v>
                </c:pt>
                <c:pt idx="13">
                  <c:v>-8299.662716656132</c:v>
                </c:pt>
                <c:pt idx="14">
                  <c:v>-12298.722575316056</c:v>
                </c:pt>
                <c:pt idx="15">
                  <c:v>-15656.819279489333</c:v>
                </c:pt>
                <c:pt idx="16">
                  <c:v>-18250.06640933378</c:v>
                </c:pt>
                <c:pt idx="17">
                  <c:v>-19997.717259080066</c:v>
                </c:pt>
                <c:pt idx="18">
                  <c:v>-20866.692791768426</c:v>
                </c:pt>
                <c:pt idx="19">
                  <c:v>-20873.655801974488</c:v>
                </c:pt>
                <c:pt idx="20">
                  <c:v>-20083.461191498976</c:v>
                </c:pt>
                <c:pt idx="21">
                  <c:v>-18603.510509345553</c:v>
                </c:pt>
                <c:pt idx="22">
                  <c:v>-16574.256973836622</c:v>
                </c:pt>
                <c:pt idx="23">
                  <c:v>-14156.766085638728</c:v>
                </c:pt>
                <c:pt idx="24">
                  <c:v>-11518.741037690395</c:v>
                </c:pt>
                <c:pt idx="25">
                  <c:v>-8820.6854754977339</c:v>
                </c:pt>
                <c:pt idx="26">
                  <c:v>-6203.850066876621</c:v>
                </c:pt>
                <c:pt idx="27">
                  <c:v>-3781.3003911961523</c:v>
                </c:pt>
                <c:pt idx="28">
                  <c:v>-1632.9165813608572</c:v>
                </c:pt>
                <c:pt idx="29">
                  <c:v>195.5004998740115</c:v>
                </c:pt>
                <c:pt idx="30">
                  <c:v>1689.4573970040781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B5-41C0-826D-1BA3CBAA957E}"/>
            </c:ext>
          </c:extLst>
        </c:ser>
        <c:ser>
          <c:idx val="4"/>
          <c:order val="1"/>
          <c:tx>
            <c:v>0.0001 M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'0.0001M'!$AJ$5:$AJ$35</c:f>
              <c:numCache>
                <c:formatCode>0.00E+00</c:formatCode>
                <c:ptCount val="31"/>
                <c:pt idx="0">
                  <c:v>14697.008183117956</c:v>
                </c:pt>
                <c:pt idx="1">
                  <c:v>12795.166167605539</c:v>
                </c:pt>
                <c:pt idx="2">
                  <c:v>13023.411363821495</c:v>
                </c:pt>
                <c:pt idx="3">
                  <c:v>13478.61042136357</c:v>
                </c:pt>
                <c:pt idx="4">
                  <c:v>13718.084873369877</c:v>
                </c:pt>
                <c:pt idx="5">
                  <c:v>13547.555794507349</c:v>
                </c:pt>
                <c:pt idx="6">
                  <c:v>12955.303256102688</c:v>
                </c:pt>
                <c:pt idx="7">
                  <c:v>12027.777752439419</c:v>
                </c:pt>
                <c:pt idx="8">
                  <c:v>10862.525531556861</c:v>
                </c:pt>
                <c:pt idx="9">
                  <c:v>9531.3249866583119</c:v>
                </c:pt>
                <c:pt idx="10">
                  <c:v>8078.9362407718245</c:v>
                </c:pt>
                <c:pt idx="11">
                  <c:v>6532.5046115320092</c:v>
                </c:pt>
                <c:pt idx="12">
                  <c:v>4910.8671217262972</c:v>
                </c:pt>
                <c:pt idx="13">
                  <c:v>3231.3623364835585</c:v>
                </c:pt>
                <c:pt idx="14">
                  <c:v>1514.0036476713701</c:v>
                </c:pt>
                <c:pt idx="15">
                  <c:v>-216.7817417190779</c:v>
                </c:pt>
                <c:pt idx="16">
                  <c:v>-1932.44439652189</c:v>
                </c:pt>
                <c:pt idx="17">
                  <c:v>-3601.9526121278441</c:v>
                </c:pt>
                <c:pt idx="18">
                  <c:v>-5193.9788616010028</c:v>
                </c:pt>
                <c:pt idx="19">
                  <c:v>-6678.9789746037413</c:v>
                </c:pt>
                <c:pt idx="20">
                  <c:v>-8030.8073682264976</c:v>
                </c:pt>
                <c:pt idx="21">
                  <c:v>-9227.7810752800851</c:v>
                </c:pt>
                <c:pt idx="22">
                  <c:v>-10253.259313198616</c:v>
                </c:pt>
                <c:pt idx="23">
                  <c:v>-11095.853372424323</c:v>
                </c:pt>
                <c:pt idx="24">
                  <c:v>-11749.371291371996</c:v>
                </c:pt>
                <c:pt idx="25">
                  <c:v>-12212.573691319381</c:v>
                </c:pt>
                <c:pt idx="26">
                  <c:v>-12488.792140337315</c:v>
                </c:pt>
                <c:pt idx="27">
                  <c:v>-12585.445504963993</c:v>
                </c:pt>
                <c:pt idx="28">
                  <c:v>-12513.481811159148</c:v>
                </c:pt>
                <c:pt idx="29">
                  <c:v>-12286.770059309114</c:v>
                </c:pt>
                <c:pt idx="30">
                  <c:v>-11921.465425465536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B5-41C0-826D-1BA3CBAA957E}"/>
            </c:ext>
          </c:extLst>
        </c:ser>
        <c:ser>
          <c:idx val="2"/>
          <c:order val="2"/>
          <c:tx>
            <c:v>0.001 M</c:v>
          </c:tx>
          <c:spPr>
            <a:ln w="28575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'0.001M'!$AI$5:$AI$35</c:f>
              <c:numCache>
                <c:formatCode>0.00E+00</c:formatCode>
                <c:ptCount val="31"/>
                <c:pt idx="0">
                  <c:v>3752.9293674885284</c:v>
                </c:pt>
                <c:pt idx="1">
                  <c:v>3060.450801490927</c:v>
                </c:pt>
                <c:pt idx="2">
                  <c:v>2892.1496662149598</c:v>
                </c:pt>
                <c:pt idx="3">
                  <c:v>2803.6754876570089</c:v>
                </c:pt>
                <c:pt idx="4">
                  <c:v>2707.1886670017352</c:v>
                </c:pt>
                <c:pt idx="5">
                  <c:v>2573.5913799806567</c:v>
                </c:pt>
                <c:pt idx="6">
                  <c:v>2405.0855648693146</c:v>
                </c:pt>
                <c:pt idx="7">
                  <c:v>2216.1193398132527</c:v>
                </c:pt>
                <c:pt idx="8">
                  <c:v>2020.0679113307208</c:v>
                </c:pt>
                <c:pt idx="9">
                  <c:v>1825.2977605001142</c:v>
                </c:pt>
                <c:pt idx="10">
                  <c:v>1636.0237525346761</c:v>
                </c:pt>
                <c:pt idx="11">
                  <c:v>1453.9691313853355</c:v>
                </c:pt>
                <c:pt idx="12">
                  <c:v>1279.5711259002883</c:v>
                </c:pt>
                <c:pt idx="13">
                  <c:v>1112.678261636333</c:v>
                </c:pt>
                <c:pt idx="14">
                  <c:v>952.91858067481292</c:v>
                </c:pt>
                <c:pt idx="15">
                  <c:v>799.88424325579342</c:v>
                </c:pt>
                <c:pt idx="16">
                  <c:v>653.21860824234773</c:v>
                </c:pt>
                <c:pt idx="17">
                  <c:v>512.65209797193495</c:v>
                </c:pt>
                <c:pt idx="18">
                  <c:v>378.0110949304887</c:v>
                </c:pt>
                <c:pt idx="19">
                  <c:v>249.21263308821116</c:v>
                </c:pt>
                <c:pt idx="20">
                  <c:v>126.25177280119446</c:v>
                </c:pt>
                <c:pt idx="21">
                  <c:v>9.1855329094222284</c:v>
                </c:pt>
                <c:pt idx="22">
                  <c:v>-101.88432484312403</c:v>
                </c:pt>
                <c:pt idx="23">
                  <c:v>-206.82822408619793</c:v>
                </c:pt>
                <c:pt idx="24">
                  <c:v>-305.50448249797432</c:v>
                </c:pt>
                <c:pt idx="25">
                  <c:v>-397.77319393158939</c:v>
                </c:pt>
                <c:pt idx="26">
                  <c:v>-483.50791302233097</c:v>
                </c:pt>
                <c:pt idx="27">
                  <c:v>-562.60495842381556</c:v>
                </c:pt>
                <c:pt idx="28">
                  <c:v>-634.99030550067482</c:v>
                </c:pt>
                <c:pt idx="29">
                  <c:v>-700.62416639521814</c:v>
                </c:pt>
                <c:pt idx="30">
                  <c:v>-759.50345510045486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B5-41C0-826D-1BA3CBAA957E}"/>
            </c:ext>
          </c:extLst>
        </c:ser>
        <c:ser>
          <c:idx val="6"/>
          <c:order val="3"/>
          <c:tx>
            <c:v>0.01 M</c:v>
          </c:tx>
          <c:spPr>
            <a:ln w="28575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'0.01M'!$AI$5:$AI$35</c:f>
              <c:numCache>
                <c:formatCode>0.00E+00</c:formatCode>
                <c:ptCount val="31"/>
                <c:pt idx="0">
                  <c:v>201.45810719250153</c:v>
                </c:pt>
                <c:pt idx="1">
                  <c:v>168.54942952425438</c:v>
                </c:pt>
                <c:pt idx="2">
                  <c:v>156.86343091555725</c:v>
                </c:pt>
                <c:pt idx="3">
                  <c:v>149.87891001735341</c:v>
                </c:pt>
                <c:pt idx="4">
                  <c:v>144.05961337424054</c:v>
                </c:pt>
                <c:pt idx="5">
                  <c:v>138.14893331007102</c:v>
                </c:pt>
                <c:pt idx="6">
                  <c:v>131.96778080102749</c:v>
                </c:pt>
                <c:pt idx="7">
                  <c:v>125.7438777880466</c:v>
                </c:pt>
                <c:pt idx="8">
                  <c:v>119.71097080070059</c:v>
                </c:pt>
                <c:pt idx="9">
                  <c:v>113.99568403881466</c:v>
                </c:pt>
                <c:pt idx="10">
                  <c:v>108.63656530344271</c:v>
                </c:pt>
                <c:pt idx="11">
                  <c:v>103.62339030485494</c:v>
                </c:pt>
                <c:pt idx="12">
                  <c:v>98.924448302007491</c:v>
                </c:pt>
                <c:pt idx="13">
                  <c:v>94.501300316207121</c:v>
                </c:pt>
                <c:pt idx="14">
                  <c:v>90.315894144396566</c:v>
                </c:pt>
                <c:pt idx="15">
                  <c:v>86.333696457646425</c:v>
                </c:pt>
                <c:pt idx="16">
                  <c:v>82.524877408180757</c:v>
                </c:pt>
                <c:pt idx="17">
                  <c:v>78.864569692530864</c:v>
                </c:pt>
                <c:pt idx="18">
                  <c:v>75.332694169514753</c:v>
                </c:pt>
                <c:pt idx="19">
                  <c:v>71.913585156476003</c:v>
                </c:pt>
                <c:pt idx="20">
                  <c:v>68.595525875763812</c:v>
                </c:pt>
                <c:pt idx="21">
                  <c:v>65.370247660174755</c:v>
                </c:pt>
                <c:pt idx="22">
                  <c:v>62.232420767779423</c:v>
                </c:pt>
                <c:pt idx="23">
                  <c:v>59.179153307610285</c:v>
                </c:pt>
                <c:pt idx="24">
                  <c:v>56.209509837343305</c:v>
                </c:pt>
                <c:pt idx="25">
                  <c:v>53.324058842537113</c:v>
                </c:pt>
                <c:pt idx="26">
                  <c:v>50.524456761832298</c:v>
                </c:pt>
                <c:pt idx="27">
                  <c:v>47.813074717688735</c:v>
                </c:pt>
                <c:pt idx="28">
                  <c:v>45.19267239823423</c:v>
                </c:pt>
                <c:pt idx="29">
                  <c:v>42.666121622207172</c:v>
                </c:pt>
                <c:pt idx="30">
                  <c:v>40.236180132432338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5B5-41C0-826D-1BA3CBAA957E}"/>
            </c:ext>
          </c:extLst>
        </c:ser>
        <c:ser>
          <c:idx val="1"/>
          <c:order val="4"/>
          <c:tx>
            <c:v>0.1 M</c:v>
          </c:tx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'0.1M'!$AI$5:$AI$35</c:f>
              <c:numCache>
                <c:formatCode>0.00E+00</c:formatCode>
                <c:ptCount val="31"/>
                <c:pt idx="0">
                  <c:v>8.5382991898646416</c:v>
                </c:pt>
                <c:pt idx="1">
                  <c:v>7.8843090410294083</c:v>
                </c:pt>
                <c:pt idx="2">
                  <c:v>7.5015653695761788</c:v>
                </c:pt>
                <c:pt idx="3">
                  <c:v>7.254342125841899</c:v>
                </c:pt>
                <c:pt idx="4">
                  <c:v>7.0826416758916606</c:v>
                </c:pt>
                <c:pt idx="5">
                  <c:v>6.9552704250630351</c:v>
                </c:pt>
                <c:pt idx="6">
                  <c:v>6.855317648634661</c:v>
                </c:pt>
                <c:pt idx="7">
                  <c:v>6.7732430841137194</c:v>
                </c:pt>
                <c:pt idx="8">
                  <c:v>6.7032792490542477</c:v>
                </c:pt>
                <c:pt idx="9">
                  <c:v>6.6416384463838254</c:v>
                </c:pt>
                <c:pt idx="10">
                  <c:v>6.5856274417780831</c:v>
                </c:pt>
                <c:pt idx="11">
                  <c:v>6.5331859443535301</c:v>
                </c:pt>
                <c:pt idx="12">
                  <c:v>6.4826338598229061</c:v>
                </c:pt>
                <c:pt idx="13">
                  <c:v>6.4325325306211667</c:v>
                </c:pt>
                <c:pt idx="14">
                  <c:v>6.3816123058157439</c:v>
                </c:pt>
                <c:pt idx="15">
                  <c:v>6.328739148006238</c:v>
                </c:pt>
                <c:pt idx="16">
                  <c:v>6.2729035511267792</c:v>
                </c:pt>
                <c:pt idx="17">
                  <c:v>6.2132212703956329</c:v>
                </c:pt>
                <c:pt idx="18">
                  <c:v>6.1489392423579217</c:v>
                </c:pt>
                <c:pt idx="19">
                  <c:v>6.0794425398165481</c:v>
                </c:pt>
                <c:pt idx="20">
                  <c:v>6.0042598061009969</c:v>
                </c:pt>
                <c:pt idx="21">
                  <c:v>5.9230656811408835</c:v>
                </c:pt>
                <c:pt idx="22">
                  <c:v>5.8356794738756008</c:v>
                </c:pt>
                <c:pt idx="23">
                  <c:v>5.7420598720161644</c:v>
                </c:pt>
                <c:pt idx="24">
                  <c:v>5.6422958767823701</c:v>
                </c:pt>
                <c:pt idx="25">
                  <c:v>5.5365944399048583</c:v>
                </c:pt>
                <c:pt idx="26">
                  <c:v>5.4252654784586003</c:v>
                </c:pt>
                <c:pt idx="27">
                  <c:v>5.3087050584017135</c:v>
                </c:pt>
                <c:pt idx="28">
                  <c:v>5.1873775775279016</c:v>
                </c:pt>
                <c:pt idx="29">
                  <c:v>5.0617977525533639</c:v>
                </c:pt>
                <c:pt idx="30">
                  <c:v>4.9325131358531751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5B5-41C0-826D-1BA3CBAA957E}"/>
            </c:ext>
          </c:extLst>
        </c:ser>
        <c:ser>
          <c:idx val="5"/>
          <c:order val="5"/>
          <c:tx>
            <c:v>0.5 M</c:v>
          </c:tx>
          <c:spPr>
            <a:ln w="28575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'0.5M'!$AI$5:$AI$35</c:f>
              <c:numCache>
                <c:formatCode>0.00E+00</c:formatCode>
                <c:ptCount val="31"/>
                <c:pt idx="0">
                  <c:v>3.5570346053910376</c:v>
                </c:pt>
                <c:pt idx="1">
                  <c:v>3.2649896742148137</c:v>
                </c:pt>
                <c:pt idx="2">
                  <c:v>3.0866009186993995</c:v>
                </c:pt>
                <c:pt idx="3">
                  <c:v>2.9689742982728045</c:v>
                </c:pt>
                <c:pt idx="4">
                  <c:v>2.8863996082088046</c:v>
                </c:pt>
                <c:pt idx="5">
                  <c:v>2.8251694723180494</c:v>
                </c:pt>
                <c:pt idx="6">
                  <c:v>2.7775020727807096</c:v>
                </c:pt>
                <c:pt idx="7">
                  <c:v>2.7387572396408051</c:v>
                </c:pt>
                <c:pt idx="8">
                  <c:v>2.70603566387084</c:v>
                </c:pt>
                <c:pt idx="9">
                  <c:v>2.6774287589935346</c:v>
                </c:pt>
                <c:pt idx="10">
                  <c:v>2.651601683753523</c:v>
                </c:pt>
                <c:pt idx="11">
                  <c:v>2.6275574837049955</c:v>
                </c:pt>
                <c:pt idx="12">
                  <c:v>2.6045036017457681</c:v>
                </c:pt>
                <c:pt idx="13">
                  <c:v>2.5817775414717716</c:v>
                </c:pt>
                <c:pt idx="14">
                  <c:v>2.5588070006247468</c:v>
                </c:pt>
                <c:pt idx="15">
                  <c:v>2.5350899962289701</c:v>
                </c:pt>
                <c:pt idx="16">
                  <c:v>2.5101863321572746</c:v>
                </c:pt>
                <c:pt idx="17">
                  <c:v>2.4837151712037437</c:v>
                </c:pt>
                <c:pt idx="18">
                  <c:v>2.455355506067276</c:v>
                </c:pt>
                <c:pt idx="19">
                  <c:v>2.4248475569964349</c:v>
                </c:pt>
                <c:pt idx="20">
                  <c:v>2.391993891932545</c:v>
                </c:pt>
                <c:pt idx="21">
                  <c:v>2.3566595617096655</c:v>
                </c:pt>
                <c:pt idx="22">
                  <c:v>2.318770879809275</c:v>
                </c:pt>
                <c:pt idx="23">
                  <c:v>2.2783127156900549</c:v>
                </c:pt>
                <c:pt idx="24">
                  <c:v>2.2353243459936549</c:v>
                </c:pt>
                <c:pt idx="25">
                  <c:v>2.1898940354960779</c:v>
                </c:pt>
                <c:pt idx="26">
                  <c:v>2.1421526074034043</c:v>
                </c:pt>
                <c:pt idx="27">
                  <c:v>2.0922663146899034</c:v>
                </c:pt>
                <c:pt idx="28">
                  <c:v>2.0404293441212671</c:v>
                </c:pt>
                <c:pt idx="29">
                  <c:v>1.9868562765895699</c:v>
                </c:pt>
                <c:pt idx="30">
                  <c:v>1.9317747967441559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5B5-41C0-826D-1BA3CBAA957E}"/>
            </c:ext>
          </c:extLst>
        </c:ser>
        <c:ser>
          <c:idx val="0"/>
          <c:order val="6"/>
          <c:tx>
            <c:v>1 M</c:v>
          </c:tx>
          <c:spPr>
            <a:ln w="28575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'1M'!$AI$5:$AI$35</c:f>
              <c:numCache>
                <c:formatCode>0.00E+00</c:formatCode>
                <c:ptCount val="31"/>
                <c:pt idx="0">
                  <c:v>0.89788233336652279</c:v>
                </c:pt>
                <c:pt idx="1">
                  <c:v>0.8162664476782876</c:v>
                </c:pt>
                <c:pt idx="2">
                  <c:v>0.76579364500557856</c:v>
                </c:pt>
                <c:pt idx="3">
                  <c:v>0.73193134016882766</c:v>
                </c:pt>
                <c:pt idx="4">
                  <c:v>0.70769523508358767</c:v>
                </c:pt>
                <c:pt idx="5">
                  <c:v>0.6893798463117804</c:v>
                </c:pt>
                <c:pt idx="6">
                  <c:v>0.67487912454725418</c:v>
                </c:pt>
                <c:pt idx="7">
                  <c:v>0.66292879798203974</c:v>
                </c:pt>
                <c:pt idx="8">
                  <c:v>0.652730228107124</c:v>
                </c:pt>
                <c:pt idx="9">
                  <c:v>0.64375114218603258</c:v>
                </c:pt>
                <c:pt idx="10">
                  <c:v>0.63561561775166275</c:v>
                </c:pt>
                <c:pt idx="11">
                  <c:v>0.62804193070491965</c:v>
                </c:pt>
                <c:pt idx="12">
                  <c:v>0.62080715527339381</c:v>
                </c:pt>
                <c:pt idx="13">
                  <c:v>0.61372710820950471</c:v>
                </c:pt>
                <c:pt idx="14">
                  <c:v>0.60664521213801559</c:v>
                </c:pt>
                <c:pt idx="15">
                  <c:v>0.59942655060087624</c:v>
                </c:pt>
                <c:pt idx="16">
                  <c:v>0.59195490419956387</c:v>
                </c:pt>
                <c:pt idx="17">
                  <c:v>0.58413143333611883</c:v>
                </c:pt>
                <c:pt idx="18">
                  <c:v>0.57587419005188334</c:v>
                </c:pt>
                <c:pt idx="19">
                  <c:v>0.56711795348305061</c:v>
                </c:pt>
                <c:pt idx="20">
                  <c:v>0.55781407743276246</c:v>
                </c:pt>
                <c:pt idx="21">
                  <c:v>0.54793016415120332</c:v>
                </c:pt>
                <c:pt idx="22">
                  <c:v>0.53744946381139436</c:v>
                </c:pt>
                <c:pt idx="23">
                  <c:v>0.52636995998864966</c:v>
                </c:pt>
                <c:pt idx="24">
                  <c:v>0.51470314597712818</c:v>
                </c:pt>
                <c:pt idx="25">
                  <c:v>0.50247252915519303</c:v>
                </c:pt>
                <c:pt idx="26">
                  <c:v>0.48971192285692161</c:v>
                </c:pt>
                <c:pt idx="27">
                  <c:v>0.47646359843617153</c:v>
                </c:pt>
                <c:pt idx="28">
                  <c:v>0.46277637535525784</c:v>
                </c:pt>
                <c:pt idx="29">
                  <c:v>0.44870372529467811</c:v>
                </c:pt>
                <c:pt idx="30">
                  <c:v>0.43430195883436429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5B5-41C0-826D-1BA3CBAA9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567912"/>
        <c:axId val="239568304"/>
      </c:scatterChart>
      <c:valAx>
        <c:axId val="239567912"/>
        <c:scaling>
          <c:orientation val="minMax"/>
          <c:max val="20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8304"/>
        <c:crossesAt val="0"/>
        <c:crossBetween val="midCat"/>
        <c:majorUnit val="20"/>
        <c:minorUnit val="10"/>
      </c:valAx>
      <c:valAx>
        <c:axId val="239568304"/>
        <c:scaling>
          <c:logBase val="10"/>
          <c:orientation val="minMax"/>
          <c:max val="10000000"/>
          <c:min val="0.1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0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Streaming potential coefficient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(mV/MPa)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4.0568178098300553E-3"/>
              <c:y val="8.0528993028177023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0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7912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024437903049135"/>
          <c:y val="3.6159739464332201E-2"/>
          <c:w val="0.17540627856439595"/>
          <c:h val="0.4682893911665793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921775760192564"/>
          <c:y val="4.1209109752427461E-2"/>
          <c:w val="0.61622193876143638"/>
          <c:h val="0.82934880460881244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Vinogradov0.01M!$G$2:$G$6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Vinogradov0.01M!$I$2:$I$6</c:f>
              <c:numCache>
                <c:formatCode>General</c:formatCode>
                <c:ptCount val="5"/>
                <c:pt idx="0">
                  <c:v>-21.748319859999999</c:v>
                </c:pt>
                <c:pt idx="1">
                  <c:v>-15.60977027</c:v>
                </c:pt>
                <c:pt idx="2">
                  <c:v>-11.23004117</c:v>
                </c:pt>
                <c:pt idx="3">
                  <c:v>-10.66352348</c:v>
                </c:pt>
                <c:pt idx="4">
                  <c:v>-9.1503950110000005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FC-405C-A74A-A0CCE6BD93BF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Vinogradov0.01M!$G$7:$G$11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78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Vinogradov0.01M!$I$7:$I$12</c:f>
              <c:numCache>
                <c:formatCode>General</c:formatCode>
                <c:ptCount val="6"/>
                <c:pt idx="0">
                  <c:v>-22.45545701</c:v>
                </c:pt>
                <c:pt idx="1">
                  <c:v>-18.361140049999999</c:v>
                </c:pt>
                <c:pt idx="2">
                  <c:v>-10.52608843</c:v>
                </c:pt>
                <c:pt idx="3">
                  <c:v>-12.053138710000001</c:v>
                </c:pt>
                <c:pt idx="4">
                  <c:v>-10.44771785</c:v>
                </c:pt>
                <c:pt idx="5">
                  <c:v>-21.32082647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FC-405C-A74A-A0CCE6BD93BF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Vinogradov0.01M!$G$12:$G$16</c:f>
              <c:numCache>
                <c:formatCode>General</c:formatCode>
                <c:ptCount val="5"/>
                <c:pt idx="0">
                  <c:v>21</c:v>
                </c:pt>
                <c:pt idx="1">
                  <c:v>43</c:v>
                </c:pt>
                <c:pt idx="2">
                  <c:v>82</c:v>
                </c:pt>
                <c:pt idx="3">
                  <c:v>118</c:v>
                </c:pt>
                <c:pt idx="4">
                  <c:v>146</c:v>
                </c:pt>
              </c:numCache>
            </c:numRef>
          </c:xVal>
          <c:yVal>
            <c:numRef>
              <c:f>Vinogradov0.01M!$I$12:$I$16</c:f>
              <c:numCache>
                <c:formatCode>General</c:formatCode>
                <c:ptCount val="5"/>
                <c:pt idx="0">
                  <c:v>-21.32082647</c:v>
                </c:pt>
                <c:pt idx="1">
                  <c:v>-15.623324200000001</c:v>
                </c:pt>
                <c:pt idx="2">
                  <c:v>-11.48827146</c:v>
                </c:pt>
                <c:pt idx="3">
                  <c:v>-10.83271549</c:v>
                </c:pt>
                <c:pt idx="4">
                  <c:v>-9.9464604330000004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FC-405C-A74A-A0CCE6BD93BF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>
                <a:solidFill>
                  <a:sysClr val="windowText" lastClr="000000"/>
                </a:solidFill>
              </a:ln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Vinogradov0.01M!$G$17:$G$22</c:f>
              <c:numCache>
                <c:formatCode>General</c:formatCode>
                <c:ptCount val="6"/>
                <c:pt idx="0">
                  <c:v>22</c:v>
                </c:pt>
                <c:pt idx="1">
                  <c:v>38</c:v>
                </c:pt>
                <c:pt idx="2">
                  <c:v>70</c:v>
                </c:pt>
                <c:pt idx="3">
                  <c:v>78</c:v>
                </c:pt>
                <c:pt idx="4">
                  <c:v>118</c:v>
                </c:pt>
                <c:pt idx="5">
                  <c:v>147</c:v>
                </c:pt>
              </c:numCache>
            </c:numRef>
          </c:xVal>
          <c:yVal>
            <c:numRef>
              <c:f>Vinogradov0.01M!$I$17:$I$22</c:f>
              <c:numCache>
                <c:formatCode>General</c:formatCode>
                <c:ptCount val="6"/>
                <c:pt idx="0">
                  <c:v>-21.66664389</c:v>
                </c:pt>
                <c:pt idx="1">
                  <c:v>-17.251154</c:v>
                </c:pt>
                <c:pt idx="2">
                  <c:v>-14.323206109999999</c:v>
                </c:pt>
                <c:pt idx="3">
                  <c:v>-13.74557624</c:v>
                </c:pt>
                <c:pt idx="4">
                  <c:v>-11.63812156</c:v>
                </c:pt>
                <c:pt idx="5">
                  <c:v>-10.05311345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FC-405C-A74A-A0CCE6BD93BF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4FC-405C-A74A-A0CCE6BD93BF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Vinogradov0.5M!$G$2:$G$6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Vinogradov0.5M!$I$2:$I$6</c:f>
              <c:numCache>
                <c:formatCode>General</c:formatCode>
                <c:ptCount val="5"/>
                <c:pt idx="0">
                  <c:v>-9.4009797899999992</c:v>
                </c:pt>
                <c:pt idx="1">
                  <c:v>-10.22648491</c:v>
                </c:pt>
                <c:pt idx="2">
                  <c:v>-8.7463933009999995</c:v>
                </c:pt>
                <c:pt idx="3">
                  <c:v>-10.53335994</c:v>
                </c:pt>
                <c:pt idx="4">
                  <c:v>-10.786559430000001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FC-405C-A74A-A0CCE6BD93BF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Vinogradov0.5M!$G$7:$G$11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Vinogradov0.5M!$I$7:$I$11</c:f>
              <c:numCache>
                <c:formatCode>General</c:formatCode>
                <c:ptCount val="5"/>
                <c:pt idx="0">
                  <c:v>-8.4912075530000006</c:v>
                </c:pt>
                <c:pt idx="1">
                  <c:v>-9.4487042460000001</c:v>
                </c:pt>
                <c:pt idx="2">
                  <c:v>-9.175409428</c:v>
                </c:pt>
                <c:pt idx="3">
                  <c:v>-8.7296564080000003</c:v>
                </c:pt>
                <c:pt idx="4">
                  <c:v>-9.0924857669999994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4FC-405C-A74A-A0CCE6BD93BF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Vinogradov0.5M!$G$12:$G$16</c:f>
              <c:numCache>
                <c:formatCode>General</c:formatCode>
                <c:ptCount val="5"/>
                <c:pt idx="0">
                  <c:v>22</c:v>
                </c:pt>
                <c:pt idx="1">
                  <c:v>39</c:v>
                </c:pt>
                <c:pt idx="2">
                  <c:v>77</c:v>
                </c:pt>
                <c:pt idx="3">
                  <c:v>118</c:v>
                </c:pt>
                <c:pt idx="4">
                  <c:v>147</c:v>
                </c:pt>
              </c:numCache>
            </c:numRef>
          </c:xVal>
          <c:yVal>
            <c:numRef>
              <c:f>Vinogradov0.5M!$I$12:$I$16</c:f>
              <c:numCache>
                <c:formatCode>General</c:formatCode>
                <c:ptCount val="5"/>
                <c:pt idx="0">
                  <c:v>-9.9376204329999993</c:v>
                </c:pt>
                <c:pt idx="1">
                  <c:v>-10.52158595</c:v>
                </c:pt>
                <c:pt idx="2">
                  <c:v>-10.56341799</c:v>
                </c:pt>
                <c:pt idx="3">
                  <c:v>-10.38665651</c:v>
                </c:pt>
                <c:pt idx="4">
                  <c:v>-9.6244044239999997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4FC-405C-A74A-A0CCE6BD93BF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Vinogradov0.5M!$G$17:$G$21</c:f>
              <c:numCache>
                <c:formatCode>General</c:formatCode>
                <c:ptCount val="5"/>
                <c:pt idx="0">
                  <c:v>21</c:v>
                </c:pt>
                <c:pt idx="1">
                  <c:v>40</c:v>
                </c:pt>
                <c:pt idx="2">
                  <c:v>76</c:v>
                </c:pt>
                <c:pt idx="3">
                  <c:v>120</c:v>
                </c:pt>
                <c:pt idx="4">
                  <c:v>150</c:v>
                </c:pt>
              </c:numCache>
            </c:numRef>
          </c:xVal>
          <c:yVal>
            <c:numRef>
              <c:f>Vinogradov0.5M!$I$17:$I$21</c:f>
              <c:numCache>
                <c:formatCode>General</c:formatCode>
                <c:ptCount val="5"/>
                <c:pt idx="0">
                  <c:v>-9.6695792130000005</c:v>
                </c:pt>
                <c:pt idx="1">
                  <c:v>-9.9863065770000006</c:v>
                </c:pt>
                <c:pt idx="2">
                  <c:v>-10.26080046</c:v>
                </c:pt>
                <c:pt idx="3">
                  <c:v>-9.8050488639999998</c:v>
                </c:pt>
                <c:pt idx="4">
                  <c:v>-10.486528209999999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4FC-405C-A74A-A0CCE6BD93BF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4FC-405C-A74A-A0CCE6BD9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29960"/>
        <c:axId val="203930344"/>
      </c:scatterChart>
      <c:valAx>
        <c:axId val="203929960"/>
        <c:scaling>
          <c:orientation val="minMax"/>
          <c:max val="160"/>
          <c:min val="0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38606351527671096"/>
              <c:y val="0.9351585620362264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930344"/>
        <c:crossesAt val="-40"/>
        <c:crossBetween val="midCat"/>
        <c:majorUnit val="20"/>
        <c:minorUnit val="10"/>
      </c:valAx>
      <c:valAx>
        <c:axId val="203930344"/>
        <c:scaling>
          <c:orientation val="minMax"/>
          <c:max val="0"/>
          <c:min val="-35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 potential  (mV)</a:t>
                </a:r>
              </a:p>
            </c:rich>
          </c:tx>
          <c:layout>
            <c:manualLayout>
              <c:xMode val="edge"/>
              <c:yMode val="edge"/>
              <c:x val="2.3976511184940305E-2"/>
              <c:y val="0.1631997300588843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392996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07311952595402"/>
          <c:y val="4.2131334739497088E-2"/>
          <c:w val="0.23980705050793069"/>
          <c:h val="0.48463074505149673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15115805927878"/>
          <c:y val="2.8392885152304172E-2"/>
          <c:w val="0.78153480623809002"/>
          <c:h val="0.85067528311949059"/>
        </c:manualLayout>
      </c:layout>
      <c:scatterChart>
        <c:scatterStyle val="lineMarker"/>
        <c:varyColors val="0"/>
        <c:ser>
          <c:idx val="0"/>
          <c:order val="0"/>
          <c:tx>
            <c:v>Bjerrum's length</c:v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'0.001M'!$AK$5:$AK$35</c:f>
              <c:numCache>
                <c:formatCode>0.000E+00</c:formatCode>
                <c:ptCount val="31"/>
                <c:pt idx="0">
                  <c:v>6.9790056103992862E-10</c:v>
                </c:pt>
                <c:pt idx="1">
                  <c:v>7.0116499939825281E-10</c:v>
                </c:pt>
                <c:pt idx="2">
                  <c:v>7.0466142269916927E-10</c:v>
                </c:pt>
                <c:pt idx="3">
                  <c:v>7.0838482068657092E-10</c:v>
                </c:pt>
                <c:pt idx="4">
                  <c:v>7.1233085691498375E-10</c:v>
                </c:pt>
                <c:pt idx="5">
                  <c:v>7.1649585710289329E-10</c:v>
                </c:pt>
                <c:pt idx="6">
                  <c:v>7.2087680395805748E-10</c:v>
                </c:pt>
                <c:pt idx="7">
                  <c:v>7.2547133824278202E-10</c:v>
                </c:pt>
                <c:pt idx="8">
                  <c:v>7.3027776592433645E-10</c:v>
                </c:pt>
                <c:pt idx="9">
                  <c:v>7.3529507132845981E-10</c:v>
                </c:pt>
                <c:pt idx="10">
                  <c:v>7.4052293628419303E-10</c:v>
                </c:pt>
                <c:pt idx="11">
                  <c:v>7.4596176531794556E-10</c:v>
                </c:pt>
                <c:pt idx="12">
                  <c:v>7.5161271702545601E-10</c:v>
                </c:pt>
                <c:pt idx="13">
                  <c:v>7.5747774182415526E-10</c:v>
                </c:pt>
                <c:pt idx="14">
                  <c:v>7.6355962636709782E-10</c:v>
                </c:pt>
                <c:pt idx="15">
                  <c:v>7.6986204498537211E-10</c:v>
                </c:pt>
                <c:pt idx="16">
                  <c:v>7.7638961862088696E-10</c:v>
                </c:pt>
                <c:pt idx="17">
                  <c:v>7.8314798181832231E-10</c:v>
                </c:pt>
                <c:pt idx="18">
                  <c:v>7.9014385846675751E-10</c:v>
                </c:pt>
                <c:pt idx="19">
                  <c:v>7.9738514712151091E-10</c:v>
                </c:pt>
                <c:pt idx="20">
                  <c:v>8.0488101689912468E-10</c:v>
                </c:pt>
                <c:pt idx="21">
                  <c:v>8.1264201512800618E-10</c:v>
                </c:pt>
                <c:pt idx="22">
                  <c:v>8.2068018815982498E-10</c:v>
                </c:pt>
                <c:pt idx="23">
                  <c:v>8.2900921700944735E-10</c:v>
                </c:pt>
                <c:pt idx="24">
                  <c:v>8.3764456980242533E-10</c:v>
                </c:pt>
                <c:pt idx="25">
                  <c:v>8.466036733795328E-10</c:v>
                </c:pt>
                <c:pt idx="26">
                  <c:v>8.5590610685039632E-10</c:v>
                </c:pt>
                <c:pt idx="27">
                  <c:v>8.6557382041919332E-10</c:v>
                </c:pt>
                <c:pt idx="28">
                  <c:v>8.7563138344472237E-10</c:v>
                </c:pt>
                <c:pt idx="29">
                  <c:v>8.8610626647033004E-10</c:v>
                </c:pt>
                <c:pt idx="30">
                  <c:v>8.9702916289805905E-10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C3-4711-BDC0-5E791841BBC9}"/>
            </c:ext>
          </c:extLst>
        </c:ser>
        <c:ser>
          <c:idx val="1"/>
          <c:order val="1"/>
          <c:tx>
            <c:v>Shear Plane (nom.)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'0.001M'!$AL$5:$AL$35</c:f>
              <c:numCache>
                <c:formatCode>0.00E+00</c:formatCode>
                <c:ptCount val="31"/>
                <c:pt idx="0">
                  <c:v>5.0000000000000001E-9</c:v>
                </c:pt>
                <c:pt idx="1">
                  <c:v>5.0000000000000001E-9</c:v>
                </c:pt>
                <c:pt idx="2">
                  <c:v>5.0000000000000001E-9</c:v>
                </c:pt>
                <c:pt idx="3">
                  <c:v>5.0000000000000001E-9</c:v>
                </c:pt>
                <c:pt idx="4">
                  <c:v>5.0000000000000001E-9</c:v>
                </c:pt>
                <c:pt idx="5">
                  <c:v>5.0000000000000001E-9</c:v>
                </c:pt>
                <c:pt idx="6">
                  <c:v>5.0000000000000001E-9</c:v>
                </c:pt>
                <c:pt idx="7">
                  <c:v>5.0000000000000001E-9</c:v>
                </c:pt>
                <c:pt idx="8">
                  <c:v>5.0000000000000001E-9</c:v>
                </c:pt>
                <c:pt idx="9">
                  <c:v>5.0000000000000001E-9</c:v>
                </c:pt>
                <c:pt idx="10">
                  <c:v>5.0000000000000001E-9</c:v>
                </c:pt>
                <c:pt idx="11">
                  <c:v>5.0000000000000001E-9</c:v>
                </c:pt>
                <c:pt idx="12">
                  <c:v>5.0000000000000001E-9</c:v>
                </c:pt>
                <c:pt idx="13">
                  <c:v>5.0000000000000001E-9</c:v>
                </c:pt>
                <c:pt idx="14">
                  <c:v>5.0000000000000001E-9</c:v>
                </c:pt>
                <c:pt idx="15">
                  <c:v>5.0000000000000001E-9</c:v>
                </c:pt>
                <c:pt idx="16">
                  <c:v>5.0000000000000001E-9</c:v>
                </c:pt>
                <c:pt idx="17">
                  <c:v>5.0000000000000001E-9</c:v>
                </c:pt>
                <c:pt idx="18">
                  <c:v>5.0000000000000001E-9</c:v>
                </c:pt>
                <c:pt idx="19">
                  <c:v>5.0000000000000001E-9</c:v>
                </c:pt>
                <c:pt idx="20">
                  <c:v>5.0000000000000001E-9</c:v>
                </c:pt>
                <c:pt idx="21">
                  <c:v>5.0000000000000001E-9</c:v>
                </c:pt>
                <c:pt idx="22">
                  <c:v>5.0000000000000001E-9</c:v>
                </c:pt>
                <c:pt idx="23">
                  <c:v>5.0000000000000001E-9</c:v>
                </c:pt>
                <c:pt idx="24">
                  <c:v>5.0000000000000001E-9</c:v>
                </c:pt>
                <c:pt idx="25">
                  <c:v>5.0000000000000001E-9</c:v>
                </c:pt>
                <c:pt idx="26">
                  <c:v>5.0000000000000001E-9</c:v>
                </c:pt>
                <c:pt idx="27">
                  <c:v>5.0000000000000001E-9</c:v>
                </c:pt>
                <c:pt idx="28">
                  <c:v>5.0000000000000001E-9</c:v>
                </c:pt>
                <c:pt idx="29">
                  <c:v>5.0000000000000001E-9</c:v>
                </c:pt>
                <c:pt idx="30">
                  <c:v>5.0000000000000001E-9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C3-4711-BDC0-5E791841BBC9}"/>
            </c:ext>
          </c:extLst>
        </c:ser>
        <c:ser>
          <c:idx val="2"/>
          <c:order val="2"/>
          <c:tx>
            <c:v>Debye length 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'0.001M'!$S$5:$S$35</c:f>
              <c:numCache>
                <c:formatCode>General</c:formatCode>
                <c:ptCount val="31"/>
                <c:pt idx="0">
                  <c:v>9.7298981181998271E-9</c:v>
                </c:pt>
                <c:pt idx="1">
                  <c:v>9.7068674827307167E-9</c:v>
                </c:pt>
                <c:pt idx="2">
                  <c:v>9.6825048347366283E-9</c:v>
                </c:pt>
                <c:pt idx="3">
                  <c:v>9.6567944956330016E-9</c:v>
                </c:pt>
                <c:pt idx="4">
                  <c:v>9.6296932901383352E-9</c:v>
                </c:pt>
                <c:pt idx="5">
                  <c:v>9.6011427942996836E-9</c:v>
                </c:pt>
                <c:pt idx="6">
                  <c:v>9.5710677986735731E-9</c:v>
                </c:pt>
                <c:pt idx="7">
                  <c:v>9.5393751884620041E-9</c:v>
                </c:pt>
                <c:pt idx="8">
                  <c:v>9.505955336020966E-9</c:v>
                </c:pt>
                <c:pt idx="9">
                  <c:v>9.4706846991259923E-9</c:v>
                </c:pt>
                <c:pt idx="10">
                  <c:v>9.4334284402935989E-9</c:v>
                </c:pt>
                <c:pt idx="11">
                  <c:v>9.3940427302051138E-9</c:v>
                </c:pt>
                <c:pt idx="12">
                  <c:v>9.3523767861515715E-9</c:v>
                </c:pt>
                <c:pt idx="13">
                  <c:v>9.3082747611537088E-9</c:v>
                </c:pt>
                <c:pt idx="14">
                  <c:v>9.2615775725425815E-9</c:v>
                </c:pt>
                <c:pt idx="15">
                  <c:v>9.2121247247477551E-9</c:v>
                </c:pt>
                <c:pt idx="16">
                  <c:v>9.1597561557313473E-9</c:v>
                </c:pt>
                <c:pt idx="17">
                  <c:v>9.104314118918222E-9</c:v>
                </c:pt>
                <c:pt idx="18">
                  <c:v>9.0456450997442719E-9</c:v>
                </c:pt>
                <c:pt idx="19">
                  <c:v>8.9836017561065492E-9</c:v>
                </c:pt>
                <c:pt idx="20">
                  <c:v>8.9180448639839178E-9</c:v>
                </c:pt>
                <c:pt idx="21">
                  <c:v>8.8488452428146111E-9</c:v>
                </c:pt>
                <c:pt idx="22">
                  <c:v>8.775885629706971E-9</c:v>
                </c:pt>
                <c:pt idx="23">
                  <c:v>8.6990624672413936E-9</c:v>
                </c:pt>
                <c:pt idx="24">
                  <c:v>8.6182875666060359E-9</c:v>
                </c:pt>
                <c:pt idx="25">
                  <c:v>8.5334896062379526E-9</c:v>
                </c:pt>
                <c:pt idx="26">
                  <c:v>8.4446154261481456E-9</c:v>
                </c:pt>
                <c:pt idx="27">
                  <c:v>8.3516310797846298E-9</c:v>
                </c:pt>
                <c:pt idx="28">
                  <c:v>8.2545226086578895E-9</c:v>
                </c:pt>
                <c:pt idx="29">
                  <c:v>8.1532965099604098E-9</c:v>
                </c:pt>
                <c:pt idx="30">
                  <c:v>8.0479798739064806E-9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AC3-4711-BDC0-5E791841BBC9}"/>
            </c:ext>
          </c:extLst>
        </c:ser>
        <c:ser>
          <c:idx val="3"/>
          <c:order val="3"/>
          <c:tx>
            <c:v>Diffuse layer thickness</c:v>
          </c:tx>
          <c:spPr>
            <a:ln w="3810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'0.001M'!$AM$5:$AM$35</c:f>
              <c:numCache>
                <c:formatCode>0.00E+00</c:formatCode>
                <c:ptCount val="31"/>
                <c:pt idx="0">
                  <c:v>1.9459796236399654E-8</c:v>
                </c:pt>
                <c:pt idx="1">
                  <c:v>1.9413734965461433E-8</c:v>
                </c:pt>
                <c:pt idx="2">
                  <c:v>1.9365009669473257E-8</c:v>
                </c:pt>
                <c:pt idx="3">
                  <c:v>1.9313588991266003E-8</c:v>
                </c:pt>
                <c:pt idx="4">
                  <c:v>1.925938658027667E-8</c:v>
                </c:pt>
                <c:pt idx="5">
                  <c:v>1.9202285588599367E-8</c:v>
                </c:pt>
                <c:pt idx="6">
                  <c:v>1.9142135597347146E-8</c:v>
                </c:pt>
                <c:pt idx="7">
                  <c:v>1.9078750376924008E-8</c:v>
                </c:pt>
                <c:pt idx="8">
                  <c:v>1.9011910672041932E-8</c:v>
                </c:pt>
                <c:pt idx="9">
                  <c:v>1.8941369398251985E-8</c:v>
                </c:pt>
                <c:pt idx="10">
                  <c:v>1.8866856880587198E-8</c:v>
                </c:pt>
                <c:pt idx="11">
                  <c:v>1.8788085460410228E-8</c:v>
                </c:pt>
                <c:pt idx="12">
                  <c:v>1.8704753572303143E-8</c:v>
                </c:pt>
                <c:pt idx="13">
                  <c:v>1.8616549522307418E-8</c:v>
                </c:pt>
                <c:pt idx="14">
                  <c:v>1.8523155145085163E-8</c:v>
                </c:pt>
                <c:pt idx="15">
                  <c:v>1.842424944949551E-8</c:v>
                </c:pt>
                <c:pt idx="16">
                  <c:v>1.8319512311462695E-8</c:v>
                </c:pt>
                <c:pt idx="17">
                  <c:v>1.8208628237836444E-8</c:v>
                </c:pt>
                <c:pt idx="18">
                  <c:v>1.8091290199488544E-8</c:v>
                </c:pt>
                <c:pt idx="19">
                  <c:v>1.7967203512213098E-8</c:v>
                </c:pt>
                <c:pt idx="20">
                  <c:v>1.7836089727967836E-8</c:v>
                </c:pt>
                <c:pt idx="21">
                  <c:v>1.7697690485629222E-8</c:v>
                </c:pt>
                <c:pt idx="22">
                  <c:v>1.7551771259413942E-8</c:v>
                </c:pt>
                <c:pt idx="23">
                  <c:v>1.7398124934482787E-8</c:v>
                </c:pt>
                <c:pt idx="24">
                  <c:v>1.7236575133212072E-8</c:v>
                </c:pt>
                <c:pt idx="25">
                  <c:v>1.7066979212475905E-8</c:v>
                </c:pt>
                <c:pt idx="26">
                  <c:v>1.6889230852296291E-8</c:v>
                </c:pt>
                <c:pt idx="27">
                  <c:v>1.670326215956926E-8</c:v>
                </c:pt>
                <c:pt idx="28">
                  <c:v>1.6509045217315779E-8</c:v>
                </c:pt>
                <c:pt idx="29">
                  <c:v>1.630659301992082E-8</c:v>
                </c:pt>
                <c:pt idx="30">
                  <c:v>1.6095959747812961E-8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AC3-4711-BDC0-5E791841B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569088"/>
        <c:axId val="239569480"/>
      </c:scatterChart>
      <c:valAx>
        <c:axId val="239569088"/>
        <c:scaling>
          <c:orientation val="minMax"/>
          <c:max val="2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400" b="1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</a:t>
                </a:r>
                <a:r>
                  <a:rPr lang="fr-CA" sz="2400" b="1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166816143497758"/>
              <c:y val="0.9363031652915896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9480"/>
        <c:crossesAt val="0"/>
        <c:crossBetween val="midCat"/>
        <c:majorUnit val="20"/>
      </c:valAx>
      <c:valAx>
        <c:axId val="239569480"/>
        <c:scaling>
          <c:logBase val="10"/>
          <c:orientation val="minMax"/>
          <c:max val="1.0000000000000005E-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Distance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 from the Stern Plane (m)</a:t>
                </a:r>
              </a:p>
            </c:rich>
          </c:tx>
          <c:overlay val="0"/>
        </c:title>
        <c:numFmt formatCode="0.0E+00" sourceLinked="0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69088"/>
        <c:crossesAt val="0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54846414629134987"/>
          <c:y val="0.66366984264243245"/>
          <c:w val="0.37522299036729961"/>
          <c:h val="0.19870891089108911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20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7430237639352"/>
          <c:y val="3.1631110213787735E-2"/>
          <c:w val="0.66265166280656562"/>
          <c:h val="0.83920250353321235"/>
        </c:manualLayout>
      </c:layout>
      <c:scatterChart>
        <c:scatterStyle val="smoothMarker"/>
        <c:varyColors val="0"/>
        <c:ser>
          <c:idx val="0"/>
          <c:order val="0"/>
          <c:tx>
            <c:v>Na+</c:v>
          </c:tx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'0.001M'!$AO$5:$AO$35</c:f>
              <c:numCache>
                <c:formatCode>0.000E+00</c:formatCode>
                <c:ptCount val="31"/>
                <c:pt idx="0">
                  <c:v>3.5633370976101044E-11</c:v>
                </c:pt>
                <c:pt idx="1">
                  <c:v>2.099361830936007E-11</c:v>
                </c:pt>
                <c:pt idx="2">
                  <c:v>1.8391816538342981E-11</c:v>
                </c:pt>
                <c:pt idx="3">
                  <c:v>1.7117365598171058E-11</c:v>
                </c:pt>
                <c:pt idx="4">
                  <c:v>1.5806657828095921E-11</c:v>
                </c:pt>
                <c:pt idx="5">
                  <c:v>1.414998966969634E-11</c:v>
                </c:pt>
                <c:pt idx="6">
                  <c:v>1.2281909626202994E-11</c:v>
                </c:pt>
                <c:pt idx="7">
                  <c:v>1.0428337555064476E-11</c:v>
                </c:pt>
                <c:pt idx="8">
                  <c:v>8.7278496298407922E-12</c:v>
                </c:pt>
                <c:pt idx="9">
                  <c:v>7.2244517029342372E-12</c:v>
                </c:pt>
                <c:pt idx="10">
                  <c:v>5.91110130049875E-12</c:v>
                </c:pt>
                <c:pt idx="11">
                  <c:v>4.7623404774699035E-12</c:v>
                </c:pt>
                <c:pt idx="12">
                  <c:v>3.7499670396587434E-12</c:v>
                </c:pt>
                <c:pt idx="13">
                  <c:v>2.8488433429744825E-12</c:v>
                </c:pt>
                <c:pt idx="14">
                  <c:v>2.0383438509657372E-12</c:v>
                </c:pt>
                <c:pt idx="15">
                  <c:v>1.3021740439500975E-12</c:v>
                </c:pt>
                <c:pt idx="16">
                  <c:v>6.2770801708723209E-13</c:v>
                </c:pt>
                <c:pt idx="17">
                  <c:v>5.2746387330605092E-15</c:v>
                </c:pt>
                <c:pt idx="18">
                  <c:v>5.7247027693324472E-13</c:v>
                </c:pt>
                <c:pt idx="19">
                  <c:v>1.1110584003827459E-12</c:v>
                </c:pt>
                <c:pt idx="20">
                  <c:v>1.6146193772735817E-12</c:v>
                </c:pt>
                <c:pt idx="21">
                  <c:v>2.0862058742065984E-12</c:v>
                </c:pt>
                <c:pt idx="22">
                  <c:v>2.5280510640049781E-12</c:v>
                </c:pt>
                <c:pt idx="23">
                  <c:v>2.9417731520128371E-12</c:v>
                </c:pt>
                <c:pt idx="24">
                  <c:v>3.3285381010593498E-12</c:v>
                </c:pt>
                <c:pt idx="25">
                  <c:v>3.6891888779268099E-12</c:v>
                </c:pt>
                <c:pt idx="26">
                  <c:v>4.0243474389284646E-12</c:v>
                </c:pt>
                <c:pt idx="27">
                  <c:v>4.3344941980560949E-12</c:v>
                </c:pt>
                <c:pt idx="28">
                  <c:v>4.620028726238012E-12</c:v>
                </c:pt>
                <c:pt idx="29">
                  <c:v>4.8813147698279182E-12</c:v>
                </c:pt>
                <c:pt idx="30">
                  <c:v>5.118712232267939E-12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68-4D38-8BFC-2036E930D43A}"/>
            </c:ext>
          </c:extLst>
        </c:ser>
        <c:ser>
          <c:idx val="1"/>
          <c:order val="1"/>
          <c:tx>
            <c:v>H+</c:v>
          </c:tx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'0.001M'!$AP$5:$AP$35</c:f>
              <c:numCache>
                <c:formatCode>0.000E+00</c:formatCode>
                <c:ptCount val="31"/>
                <c:pt idx="0">
                  <c:v>1.2698767877644966E-13</c:v>
                </c:pt>
                <c:pt idx="1">
                  <c:v>3.1838527246481362E-13</c:v>
                </c:pt>
                <c:pt idx="2">
                  <c:v>4.1537781073404522E-13</c:v>
                </c:pt>
                <c:pt idx="3">
                  <c:v>4.9309315852561201E-13</c:v>
                </c:pt>
                <c:pt idx="4">
                  <c:v>5.8673453915908758E-13</c:v>
                </c:pt>
                <c:pt idx="5">
                  <c:v>7.1725793904081608E-13</c:v>
                </c:pt>
                <c:pt idx="6">
                  <c:v>8.9192708956843172E-13</c:v>
                </c:pt>
                <c:pt idx="7">
                  <c:v>1.1054794806955242E-12</c:v>
                </c:pt>
                <c:pt idx="8">
                  <c:v>1.3433458540563588E-12</c:v>
                </c:pt>
                <c:pt idx="9">
                  <c:v>1.5846715724669648E-12</c:v>
                </c:pt>
                <c:pt idx="10">
                  <c:v>1.8042087027182364E-12</c:v>
                </c:pt>
                <c:pt idx="11">
                  <c:v>1.9733276468906437E-12</c:v>
                </c:pt>
                <c:pt idx="12">
                  <c:v>2.0605629915926372E-12</c:v>
                </c:pt>
                <c:pt idx="13">
                  <c:v>2.0319585887891983E-12</c:v>
                </c:pt>
                <c:pt idx="14">
                  <c:v>1.8513489056345148E-12</c:v>
                </c:pt>
                <c:pt idx="15">
                  <c:v>1.4806451648307861E-12</c:v>
                </c:pt>
                <c:pt idx="16">
                  <c:v>8.801615358186992E-13</c:v>
                </c:pt>
                <c:pt idx="17">
                  <c:v>8.9995222180655667E-15</c:v>
                </c:pt>
                <c:pt idx="18">
                  <c:v>1.1745016608255629E-12</c:v>
                </c:pt>
                <c:pt idx="19">
                  <c:v>2.7122484431270352E-12</c:v>
                </c:pt>
                <c:pt idx="20">
                  <c:v>4.6458158337457924E-12</c:v>
                </c:pt>
                <c:pt idx="21">
                  <c:v>7.0158208768465918E-12</c:v>
                </c:pt>
                <c:pt idx="22">
                  <c:v>9.8612616125805916E-12</c:v>
                </c:pt>
                <c:pt idx="23">
                  <c:v>1.3218839347667223E-11</c:v>
                </c:pt>
                <c:pt idx="24">
                  <c:v>1.7122283511858666E-11</c:v>
                </c:pt>
                <c:pt idx="25">
                  <c:v>2.1601698463643247E-11</c:v>
                </c:pt>
                <c:pt idx="26">
                  <c:v>2.6682950397382131E-11</c:v>
                </c:pt>
                <c:pt idx="27">
                  <c:v>3.2387110193190646E-11</c:v>
                </c:pt>
                <c:pt idx="28">
                  <c:v>3.8729964922201179E-11</c:v>
                </c:pt>
                <c:pt idx="29">
                  <c:v>4.5721607097713516E-11</c:v>
                </c:pt>
                <c:pt idx="30">
                  <c:v>5.3366106971239325E-11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668-4D38-8BFC-2036E930D43A}"/>
            </c:ext>
          </c:extLst>
        </c:ser>
        <c:ser>
          <c:idx val="2"/>
          <c:order val="2"/>
          <c:tx>
            <c:v>Cl-</c:v>
          </c:tx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'0.001M'!$AQ$5:$AQ$35</c:f>
              <c:numCache>
                <c:formatCode>0.000E+00</c:formatCode>
                <c:ptCount val="31"/>
                <c:pt idx="0">
                  <c:v>1.6678528222255065E-10</c:v>
                </c:pt>
                <c:pt idx="1">
                  <c:v>1.5906951247012353E-10</c:v>
                </c:pt>
                <c:pt idx="2">
                  <c:v>1.5907322094060106E-10</c:v>
                </c:pt>
                <c:pt idx="3">
                  <c:v>1.605418195165389E-10</c:v>
                </c:pt>
                <c:pt idx="4">
                  <c:v>1.6134763368256707E-10</c:v>
                </c:pt>
                <c:pt idx="5">
                  <c:v>1.603063330929292E-10</c:v>
                </c:pt>
                <c:pt idx="6">
                  <c:v>1.5694827259763535E-10</c:v>
                </c:pt>
                <c:pt idx="7">
                  <c:v>1.5127819585331065E-10</c:v>
                </c:pt>
                <c:pt idx="8">
                  <c:v>1.4348684141861023E-10</c:v>
                </c:pt>
                <c:pt idx="9">
                  <c:v>1.3377933993775069E-10</c:v>
                </c:pt>
                <c:pt idx="10">
                  <c:v>1.2231878200833643E-10</c:v>
                </c:pt>
                <c:pt idx="11">
                  <c:v>1.0922318954536624E-10</c:v>
                </c:pt>
                <c:pt idx="12">
                  <c:v>9.4577518731615325E-11</c:v>
                </c:pt>
                <c:pt idx="13">
                  <c:v>7.8446672599718858E-11</c:v>
                </c:pt>
                <c:pt idx="14">
                  <c:v>6.0886122511985553E-11</c:v>
                </c:pt>
                <c:pt idx="15">
                  <c:v>4.1949970663282332E-11</c:v>
                </c:pt>
                <c:pt idx="16">
                  <c:v>2.1696936982459751E-11</c:v>
                </c:pt>
                <c:pt idx="17">
                  <c:v>1.9471772009726855E-13</c:v>
                </c:pt>
                <c:pt idx="18">
                  <c:v>2.2476980537816237E-11</c:v>
                </c:pt>
                <c:pt idx="19">
                  <c:v>4.6224538323528644E-11</c:v>
                </c:pt>
                <c:pt idx="20">
                  <c:v>7.0939520534473741E-11</c:v>
                </c:pt>
                <c:pt idx="21">
                  <c:v>9.6498665840172028E-11</c:v>
                </c:pt>
                <c:pt idx="22">
                  <c:v>1.2276466164998273E-10</c:v>
                </c:pt>
                <c:pt idx="23">
                  <c:v>1.4958758765859987E-10</c:v>
                </c:pt>
                <c:pt idx="24">
                  <c:v>1.7680689758251159E-10</c:v>
                </c:pt>
                <c:pt idx="25">
                  <c:v>2.0425379797165792E-10</c:v>
                </c:pt>
                <c:pt idx="26">
                  <c:v>2.3175387837718097E-10</c:v>
                </c:pt>
                <c:pt idx="27">
                  <c:v>2.5912985025013489E-10</c:v>
                </c:pt>
                <c:pt idx="28">
                  <c:v>2.862042627748117E-10</c:v>
                </c:pt>
                <c:pt idx="29">
                  <c:v>3.1280208128279868E-10</c:v>
                </c:pt>
                <c:pt idx="30">
                  <c:v>3.3875303607930006E-10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668-4D38-8BFC-2036E930D43A}"/>
            </c:ext>
          </c:extLst>
        </c:ser>
        <c:ser>
          <c:idx val="3"/>
          <c:order val="3"/>
          <c:tx>
            <c:v>OH-</c:v>
          </c:tx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'0.001M'!$AR$5:$AR$35</c:f>
              <c:numCache>
                <c:formatCode>0.000E+00</c:formatCode>
                <c:ptCount val="31"/>
                <c:pt idx="0">
                  <c:v>1.2405229852078524E-14</c:v>
                </c:pt>
                <c:pt idx="1">
                  <c:v>1.0068983021517453E-14</c:v>
                </c:pt>
                <c:pt idx="2">
                  <c:v>9.4671746110888729E-15</c:v>
                </c:pt>
                <c:pt idx="3">
                  <c:v>9.1168054954045262E-15</c:v>
                </c:pt>
                <c:pt idx="4">
                  <c:v>8.7365893417446617E-15</c:v>
                </c:pt>
                <c:pt idx="5">
                  <c:v>8.2348242467781398E-15</c:v>
                </c:pt>
                <c:pt idx="6">
                  <c:v>7.6182883799863579E-15</c:v>
                </c:pt>
                <c:pt idx="7">
                  <c:v>6.9309262125898594E-15</c:v>
                </c:pt>
                <c:pt idx="8">
                  <c:v>6.212600012786977E-15</c:v>
                </c:pt>
                <c:pt idx="9">
                  <c:v>5.487675982778589E-15</c:v>
                </c:pt>
                <c:pt idx="10">
                  <c:v>4.7680931844901528E-15</c:v>
                </c:pt>
                <c:pt idx="11">
                  <c:v>4.058536579353626E-15</c:v>
                </c:pt>
                <c:pt idx="12">
                  <c:v>3.3600609750108684E-15</c:v>
                </c:pt>
                <c:pt idx="13">
                  <c:v>2.6721327628021087E-15</c:v>
                </c:pt>
                <c:pt idx="14">
                  <c:v>1.9936851338638557E-15</c:v>
                </c:pt>
                <c:pt idx="15">
                  <c:v>1.32364026149919E-15</c:v>
                </c:pt>
                <c:pt idx="16">
                  <c:v>6.6115750975860327E-16</c:v>
                </c:pt>
                <c:pt idx="17">
                  <c:v>5.7422219974777561E-18</c:v>
                </c:pt>
                <c:pt idx="18">
                  <c:v>6.4271746127396637E-16</c:v>
                </c:pt>
                <c:pt idx="19">
                  <c:v>1.2839522608305156E-15</c:v>
                </c:pt>
                <c:pt idx="20">
                  <c:v>1.9173351028745924E-15</c:v>
                </c:pt>
                <c:pt idx="21">
                  <c:v>2.5419174193918432E-15</c:v>
                </c:pt>
                <c:pt idx="22">
                  <c:v>3.1564734785818272E-15</c:v>
                </c:pt>
                <c:pt idx="23">
                  <c:v>3.7595495613536713E-15</c:v>
                </c:pt>
                <c:pt idx="24">
                  <c:v>4.3495155814058445E-15</c:v>
                </c:pt>
                <c:pt idx="25">
                  <c:v>4.9246171195728891E-15</c:v>
                </c:pt>
                <c:pt idx="26">
                  <c:v>5.4830260805789523E-15</c:v>
                </c:pt>
                <c:pt idx="27">
                  <c:v>6.0228884080482925E-15</c:v>
                </c:pt>
                <c:pt idx="28">
                  <c:v>6.5423675586177787E-15</c:v>
                </c:pt>
                <c:pt idx="29">
                  <c:v>7.0396827429483443E-15</c:v>
                </c:pt>
                <c:pt idx="30">
                  <c:v>7.5131412738690837E-15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668-4D38-8BFC-2036E930D43A}"/>
            </c:ext>
          </c:extLst>
        </c:ser>
        <c:ser>
          <c:idx val="4"/>
          <c:order val="4"/>
          <c:tx>
            <c:v>Total EDL</c:v>
          </c:tx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'0.001M'!$AS$5:$AS$35</c:f>
              <c:numCache>
                <c:formatCode>0.000E+00</c:formatCode>
                <c:ptCount val="31"/>
                <c:pt idx="0">
                  <c:v>2.0255804610728023E-10</c:v>
                </c:pt>
                <c:pt idx="1">
                  <c:v>1.8039158503496993E-10</c:v>
                </c:pt>
                <c:pt idx="2">
                  <c:v>1.7788988246428918E-10</c:v>
                </c:pt>
                <c:pt idx="3">
                  <c:v>1.7816139507873099E-10</c:v>
                </c:pt>
                <c:pt idx="4">
                  <c:v>1.7774976263916381E-10</c:v>
                </c:pt>
                <c:pt idx="5">
                  <c:v>1.7518181552591311E-10</c:v>
                </c:pt>
                <c:pt idx="6">
                  <c:v>1.7012972760178676E-10</c:v>
                </c:pt>
                <c:pt idx="7">
                  <c:v>1.6281894381528325E-10</c:v>
                </c:pt>
                <c:pt idx="8">
                  <c:v>1.5356424950252016E-10</c:v>
                </c:pt>
                <c:pt idx="9">
                  <c:v>1.4259395088913467E-10</c:v>
                </c:pt>
                <c:pt idx="10">
                  <c:v>1.3003886010473791E-10</c:v>
                </c:pt>
                <c:pt idx="11">
                  <c:v>1.1596291620630613E-10</c:v>
                </c:pt>
                <c:pt idx="12">
                  <c:v>1.0039140882384172E-10</c:v>
                </c:pt>
                <c:pt idx="13">
                  <c:v>8.3330146664245346E-11</c:v>
                </c:pt>
                <c:pt idx="14">
                  <c:v>6.4777808953719675E-11</c:v>
                </c:pt>
                <c:pt idx="15">
                  <c:v>4.4734113512324716E-11</c:v>
                </c:pt>
                <c:pt idx="16">
                  <c:v>2.3205467692875439E-11</c:v>
                </c:pt>
                <c:pt idx="17">
                  <c:v>2.0899762327039211E-13</c:v>
                </c:pt>
                <c:pt idx="18">
                  <c:v>2.422459519303632E-11</c:v>
                </c:pt>
                <c:pt idx="19">
                  <c:v>5.0049129119299257E-11</c:v>
                </c:pt>
                <c:pt idx="20">
                  <c:v>7.7201873080595985E-11</c:v>
                </c:pt>
                <c:pt idx="21">
                  <c:v>1.056032345086446E-10</c:v>
                </c:pt>
                <c:pt idx="22">
                  <c:v>1.3515713080004688E-10</c:v>
                </c:pt>
                <c:pt idx="23">
                  <c:v>1.6575195970784127E-10</c:v>
                </c:pt>
                <c:pt idx="24">
                  <c:v>1.9726206871101104E-10</c:v>
                </c:pt>
                <c:pt idx="25">
                  <c:v>2.2954960993034756E-10</c:v>
                </c:pt>
                <c:pt idx="26">
                  <c:v>2.6246665923957212E-10</c:v>
                </c:pt>
                <c:pt idx="27">
                  <c:v>2.9585747752978965E-10</c:v>
                </c:pt>
                <c:pt idx="28">
                  <c:v>3.2956079879080949E-10</c:v>
                </c:pt>
                <c:pt idx="29">
                  <c:v>3.6341204283308308E-10</c:v>
                </c:pt>
                <c:pt idx="30">
                  <c:v>3.9724536842408119E-10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668-4D38-8BFC-2036E930D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570264"/>
        <c:axId val="239644592"/>
      </c:scatterChart>
      <c:valAx>
        <c:axId val="239570264"/>
        <c:scaling>
          <c:orientation val="minMax"/>
          <c:max val="16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en-US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298489786927473"/>
              <c:y val="0.9370370370370368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644592"/>
        <c:crossesAt val="1.0000000000000009E-15"/>
        <c:crossBetween val="midCat"/>
        <c:majorUnit val="20"/>
      </c:valAx>
      <c:valAx>
        <c:axId val="239644592"/>
        <c:scaling>
          <c:logBase val="10"/>
          <c:orientation val="minMax"/>
          <c:max val="1.0000000000000005E-9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Surface conductance (S)</a:t>
                </a:r>
              </a:p>
            </c:rich>
          </c:tx>
          <c:overlay val="0"/>
        </c:title>
        <c:numFmt formatCode="0.0E+00" sourceLinked="0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570264"/>
        <c:crossesAt val="-2.0000000000000011E-10"/>
        <c:crossBetween val="midCat"/>
      </c:valAx>
      <c:spPr>
        <a:noFill/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83317575348982331"/>
          <c:y val="3.0636303630363057E-2"/>
          <c:w val="0.15498881575502124"/>
          <c:h val="0.31167326732673273"/>
        </c:manualLayout>
      </c:layout>
      <c:overlay val="0"/>
      <c:spPr>
        <a:solidFill>
          <a:schemeClr val="bg1"/>
        </a:solidFill>
        <a:ln w="38100">
          <a:solidFill>
            <a:schemeClr val="tx1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142128717376486"/>
          <c:y val="2.3061113150770477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Zeta potential</c:v>
          </c:tx>
          <c:spPr>
            <a:ln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Sensitivity!$A$3:$A$9</c:f>
              <c:numCache>
                <c:formatCode>0.00E+00</c:formatCode>
                <c:ptCount val="7"/>
                <c:pt idx="0">
                  <c:v>1.0000000000000001E-5</c:v>
                </c:pt>
                <c:pt idx="1">
                  <c:v>1E-4</c:v>
                </c:pt>
                <c:pt idx="2">
                  <c:v>1E-3</c:v>
                </c:pt>
                <c:pt idx="3">
                  <c:v>0.01</c:v>
                </c:pt>
                <c:pt idx="4">
                  <c:v>0.1</c:v>
                </c:pt>
                <c:pt idx="5">
                  <c:v>0.5</c:v>
                </c:pt>
                <c:pt idx="6">
                  <c:v>1</c:v>
                </c:pt>
              </c:numCache>
            </c:numRef>
          </c:xVal>
          <c:yVal>
            <c:numRef>
              <c:f>Sensitivity!$B$3:$B$9</c:f>
              <c:numCache>
                <c:formatCode>General</c:formatCode>
                <c:ptCount val="7"/>
                <c:pt idx="0">
                  <c:v>-98.11843514886192</c:v>
                </c:pt>
                <c:pt idx="1">
                  <c:v>-136.42414493280927</c:v>
                </c:pt>
                <c:pt idx="2">
                  <c:v>-123.48264541471647</c:v>
                </c:pt>
                <c:pt idx="3">
                  <c:v>-68.353572502699862</c:v>
                </c:pt>
                <c:pt idx="4">
                  <c:v>-2.7261165272274988</c:v>
                </c:pt>
                <c:pt idx="5">
                  <c:v>-2.6460297628551396E-3</c:v>
                </c:pt>
                <c:pt idx="6">
                  <c:v>-9.0580141067300226E-6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AA-43C5-8276-B1C0E8DD6196}"/>
            </c:ext>
          </c:extLst>
        </c:ser>
        <c:ser>
          <c:idx val="4"/>
          <c:order val="1"/>
          <c:tx>
            <c:v>Streaming potential coefficient</c:v>
          </c:tx>
          <c:spPr>
            <a:ln w="28575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Sensitivity!$A$3:$A$9</c:f>
              <c:numCache>
                <c:formatCode>0.00E+00</c:formatCode>
                <c:ptCount val="7"/>
                <c:pt idx="0">
                  <c:v>1.0000000000000001E-5</c:v>
                </c:pt>
                <c:pt idx="1">
                  <c:v>1E-4</c:v>
                </c:pt>
                <c:pt idx="2">
                  <c:v>1E-3</c:v>
                </c:pt>
                <c:pt idx="3">
                  <c:v>0.01</c:v>
                </c:pt>
                <c:pt idx="4">
                  <c:v>0.1</c:v>
                </c:pt>
                <c:pt idx="5">
                  <c:v>0.5</c:v>
                </c:pt>
                <c:pt idx="6">
                  <c:v>1</c:v>
                </c:pt>
              </c:numCache>
            </c:numRef>
          </c:xVal>
          <c:yVal>
            <c:numRef>
              <c:f>Sensitivity!$C$3:$C$9</c:f>
              <c:numCache>
                <c:formatCode>General</c:formatCode>
                <c:ptCount val="7"/>
                <c:pt idx="0">
                  <c:v>-92.282701565576261</c:v>
                </c:pt>
                <c:pt idx="1">
                  <c:v>-181.11491316415942</c:v>
                </c:pt>
                <c:pt idx="2">
                  <c:v>-120.23761655841439</c:v>
                </c:pt>
                <c:pt idx="3">
                  <c:v>-80.027520017357745</c:v>
                </c:pt>
                <c:pt idx="4">
                  <c:v>-42.230729725326356</c:v>
                </c:pt>
                <c:pt idx="5">
                  <c:v>-45.691425272715641</c:v>
                </c:pt>
                <c:pt idx="6">
                  <c:v>-51.630414955822644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8AA-43C5-8276-B1C0E8DD6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645376"/>
        <c:axId val="239645768"/>
      </c:scatterChart>
      <c:valAx>
        <c:axId val="239645376"/>
        <c:scaling>
          <c:logBase val="10"/>
          <c:orientation val="minMax"/>
          <c:min val="1.0000000000000003E-5"/>
        </c:scaling>
        <c:delete val="0"/>
        <c:axPos val="t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Salinity (mol/dm</a:t>
                </a:r>
                <a:r>
                  <a:rPr lang="en-US" sz="2400" baseline="30000"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lang="en-US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39845767372082169"/>
              <c:y val="0.9298306412538553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645768"/>
        <c:crosses val="max"/>
        <c:crossBetween val="midCat"/>
        <c:majorUnit val="10"/>
        <c:minorUnit val="10"/>
      </c:valAx>
      <c:valAx>
        <c:axId val="239645768"/>
        <c:scaling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Change over 0  to 150</a:t>
                </a:r>
                <a:r>
                  <a:rPr lang="fr-CA" sz="24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C interval 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(%)</a:t>
                </a:r>
                <a:endParaRPr lang="fr-CA" sz="24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7.6777804787647968E-4"/>
              <c:y val="0.1771421585190351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9645376"/>
        <c:crossesAt val="1.0000000000000003E-5"/>
        <c:crossBetween val="midCat"/>
        <c:majorUnit val="50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49137905447520164"/>
          <c:y val="0.78683978468661475"/>
          <c:w val="0.42476032692136456"/>
          <c:h val="0.10685477431695345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957295336259392"/>
          <c:y val="2.0424744204271771E-2"/>
          <c:w val="0.61592401993651957"/>
          <c:h val="0.84589439833534363"/>
        </c:manualLayout>
      </c:layout>
      <c:scatterChart>
        <c:scatterStyle val="lineMarker"/>
        <c:varyColors val="0"/>
        <c:ser>
          <c:idx val="1"/>
          <c:order val="0"/>
          <c:tx>
            <c:v>St. Bees1, 0.01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Text" lastClr="000000"/>
              </a:solidFill>
              <a:ln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Vinogradov0.01M!$F$2:$F$6</c:f>
              <c:numCache>
                <c:formatCode>General</c:formatCode>
                <c:ptCount val="5"/>
                <c:pt idx="0">
                  <c:v>6.88</c:v>
                </c:pt>
                <c:pt idx="1">
                  <c:v>6.41</c:v>
                </c:pt>
                <c:pt idx="2">
                  <c:v>5.85</c:v>
                </c:pt>
              </c:numCache>
            </c:numRef>
          </c:xVal>
          <c:yVal>
            <c:numRef>
              <c:f>Vinogradov0.01M!$I$2:$I$6</c:f>
              <c:numCache>
                <c:formatCode>General</c:formatCode>
                <c:ptCount val="5"/>
                <c:pt idx="0">
                  <c:v>-21.748319859999999</c:v>
                </c:pt>
                <c:pt idx="1">
                  <c:v>-15.60977027</c:v>
                </c:pt>
                <c:pt idx="2">
                  <c:v>-11.23004117</c:v>
                </c:pt>
                <c:pt idx="3">
                  <c:v>-10.66352348</c:v>
                </c:pt>
                <c:pt idx="4">
                  <c:v>-9.1503950110000005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0C-4FEA-AF62-C0FAD1927CBE}"/>
            </c:ext>
          </c:extLst>
        </c:ser>
        <c:ser>
          <c:idx val="0"/>
          <c:order val="1"/>
          <c:tx>
            <c:v>St. Bees2, 0.01 M</c:v>
          </c:tx>
          <c:spPr>
            <a:ln>
              <a:noFill/>
            </a:ln>
          </c:spPr>
          <c:marker>
            <c:symbol val="circle"/>
            <c:size val="13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Vinogradov0.01M!$F$7:$F$11</c:f>
              <c:numCache>
                <c:formatCode>General</c:formatCode>
                <c:ptCount val="5"/>
                <c:pt idx="0">
                  <c:v>6.73</c:v>
                </c:pt>
                <c:pt idx="1">
                  <c:v>6.36</c:v>
                </c:pt>
                <c:pt idx="2">
                  <c:v>5.96</c:v>
                </c:pt>
              </c:numCache>
            </c:numRef>
          </c:xVal>
          <c:yVal>
            <c:numRef>
              <c:f>Vinogradov0.01M!$I$7:$I$12</c:f>
              <c:numCache>
                <c:formatCode>General</c:formatCode>
                <c:ptCount val="6"/>
                <c:pt idx="0">
                  <c:v>-22.45545701</c:v>
                </c:pt>
                <c:pt idx="1">
                  <c:v>-18.361140049999999</c:v>
                </c:pt>
                <c:pt idx="2">
                  <c:v>-10.52608843</c:v>
                </c:pt>
                <c:pt idx="3">
                  <c:v>-12.053138710000001</c:v>
                </c:pt>
                <c:pt idx="4">
                  <c:v>-10.44771785</c:v>
                </c:pt>
                <c:pt idx="5">
                  <c:v>-21.32082647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0C-4FEA-AF62-C0FAD1927CBE}"/>
            </c:ext>
          </c:extLst>
        </c:ser>
        <c:ser>
          <c:idx val="2"/>
          <c:order val="2"/>
          <c:tx>
            <c:v>Stainton, 0.01 M</c:v>
          </c:tx>
          <c:spPr>
            <a:ln>
              <a:noFill/>
            </a:ln>
          </c:spPr>
          <c:marker>
            <c:symbol val="triangle"/>
            <c:size val="14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Vinogradov0.01M!$F$12:$F$16</c:f>
              <c:numCache>
                <c:formatCode>General</c:formatCode>
                <c:ptCount val="5"/>
                <c:pt idx="0">
                  <c:v>6.75</c:v>
                </c:pt>
                <c:pt idx="1">
                  <c:v>6.33</c:v>
                </c:pt>
                <c:pt idx="2">
                  <c:v>5.95</c:v>
                </c:pt>
              </c:numCache>
            </c:numRef>
          </c:xVal>
          <c:yVal>
            <c:numRef>
              <c:f>Vinogradov0.01M!$I$12:$I$16</c:f>
              <c:numCache>
                <c:formatCode>General</c:formatCode>
                <c:ptCount val="5"/>
                <c:pt idx="0">
                  <c:v>-21.32082647</c:v>
                </c:pt>
                <c:pt idx="1">
                  <c:v>-15.623324200000001</c:v>
                </c:pt>
                <c:pt idx="2">
                  <c:v>-11.48827146</c:v>
                </c:pt>
                <c:pt idx="3">
                  <c:v>-10.83271549</c:v>
                </c:pt>
                <c:pt idx="4">
                  <c:v>-9.9464604330000004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0C-4FEA-AF62-C0FAD1927CBE}"/>
            </c:ext>
          </c:extLst>
        </c:ser>
        <c:ser>
          <c:idx val="3"/>
          <c:order val="3"/>
          <c:tx>
            <c:v>Doddington, 0.01 M</c:v>
          </c:tx>
          <c:spPr>
            <a:ln>
              <a:noFill/>
            </a:ln>
          </c:spPr>
          <c:marker>
            <c:symbol val="square"/>
            <c:size val="12"/>
            <c:spPr>
              <a:solidFill>
                <a:sysClr val="windowText" lastClr="000000"/>
              </a:solidFill>
              <a:ln w="9525">
                <a:solidFill>
                  <a:sysClr val="window" lastClr="FFFFFF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Vinogradov0.01M!$F$17:$F$22</c:f>
              <c:numCache>
                <c:formatCode>General</c:formatCode>
                <c:ptCount val="6"/>
                <c:pt idx="0">
                  <c:v>6.71</c:v>
                </c:pt>
                <c:pt idx="1">
                  <c:v>6.38</c:v>
                </c:pt>
                <c:pt idx="2">
                  <c:v>6.03</c:v>
                </c:pt>
                <c:pt idx="3">
                  <c:v>5.83</c:v>
                </c:pt>
              </c:numCache>
            </c:numRef>
          </c:xVal>
          <c:yVal>
            <c:numRef>
              <c:f>Vinogradov0.01M!$I$17:$I$22</c:f>
              <c:numCache>
                <c:formatCode>General</c:formatCode>
                <c:ptCount val="6"/>
                <c:pt idx="0">
                  <c:v>-21.66664389</c:v>
                </c:pt>
                <c:pt idx="1">
                  <c:v>-17.251154</c:v>
                </c:pt>
                <c:pt idx="2">
                  <c:v>-14.323206109999999</c:v>
                </c:pt>
                <c:pt idx="3">
                  <c:v>-13.74557624</c:v>
                </c:pt>
                <c:pt idx="4">
                  <c:v>-11.63812156</c:v>
                </c:pt>
                <c:pt idx="5">
                  <c:v>-10.05311345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0C-4FEA-AF62-C0FAD1927CBE}"/>
            </c:ext>
          </c:extLst>
        </c:ser>
        <c:ser>
          <c:idx val="6"/>
          <c:order val="4"/>
          <c:tx>
            <c:v> Model 0.01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'0.01M'!$P$5:$P$35</c:f>
              <c:numCache>
                <c:formatCode>0.00000</c:formatCode>
                <c:ptCount val="31"/>
                <c:pt idx="0">
                  <c:v>7.6142345156746654</c:v>
                </c:pt>
                <c:pt idx="1">
                  <c:v>7.1836113555536558</c:v>
                </c:pt>
                <c:pt idx="2">
                  <c:v>7.056890720776746</c:v>
                </c:pt>
                <c:pt idx="3">
                  <c:v>6.9750776742000529</c:v>
                </c:pt>
                <c:pt idx="4">
                  <c:v>6.8904801346165909</c:v>
                </c:pt>
                <c:pt idx="5">
                  <c:v>6.7893316851289498</c:v>
                </c:pt>
                <c:pt idx="6">
                  <c:v>6.674603824119222</c:v>
                </c:pt>
                <c:pt idx="7">
                  <c:v>6.5547893483070672</c:v>
                </c:pt>
                <c:pt idx="8">
                  <c:v>6.4368693589776473</c:v>
                </c:pt>
                <c:pt idx="9">
                  <c:v>6.3246878244751761</c:v>
                </c:pt>
                <c:pt idx="10">
                  <c:v>6.2197600186494304</c:v>
                </c:pt>
                <c:pt idx="11">
                  <c:v>6.1223160359194271</c:v>
                </c:pt>
                <c:pt idx="12">
                  <c:v>6.0319879935405174</c:v>
                </c:pt>
                <c:pt idx="13">
                  <c:v>5.9481780772913533</c:v>
                </c:pt>
                <c:pt idx="14">
                  <c:v>5.8702362628184988</c:v>
                </c:pt>
                <c:pt idx="15">
                  <c:v>5.7975390390878037</c:v>
                </c:pt>
                <c:pt idx="16">
                  <c:v>5.729519826257305</c:v>
                </c:pt>
                <c:pt idx="17">
                  <c:v>5.6656768652363958</c:v>
                </c:pt>
                <c:pt idx="18">
                  <c:v>5.6055711913114266</c:v>
                </c:pt>
                <c:pt idx="19">
                  <c:v>5.5488207184406519</c:v>
                </c:pt>
                <c:pt idx="20">
                  <c:v>5.4950932373691286</c:v>
                </c:pt>
                <c:pt idx="21">
                  <c:v>5.4440995700513382</c:v>
                </c:pt>
                <c:pt idx="22">
                  <c:v>5.3955873758257802</c:v>
                </c:pt>
                <c:pt idx="23">
                  <c:v>5.3493357547526958</c:v>
                </c:pt>
                <c:pt idx="24">
                  <c:v>5.3051506367288361</c:v>
                </c:pt>
                <c:pt idx="25">
                  <c:v>5.262860881503352</c:v>
                </c:pt>
                <c:pt idx="26">
                  <c:v>5.2223149953886452</c:v>
                </c:pt>
                <c:pt idx="27">
                  <c:v>5.1833783711275201</c:v>
                </c:pt>
                <c:pt idx="28">
                  <c:v>5.1459309662536992</c:v>
                </c:pt>
                <c:pt idx="29">
                  <c:v>5.1098653467302544</c:v>
                </c:pt>
                <c:pt idx="30">
                  <c:v>5.0750850340912246</c:v>
                </c:pt>
              </c:numCache>
            </c:numRef>
          </c:xVal>
          <c:yVal>
            <c:numRef>
              <c:f>'0.01M'!$X$5:$X$35</c:f>
              <c:numCache>
                <c:formatCode>0.00</c:formatCode>
                <c:ptCount val="31"/>
                <c:pt idx="0">
                  <c:v>-26.136844141361692</c:v>
                </c:pt>
                <c:pt idx="1">
                  <c:v>-23.303689382589898</c:v>
                </c:pt>
                <c:pt idx="2">
                  <c:v>-22.579758656823461</c:v>
                </c:pt>
                <c:pt idx="3">
                  <c:v>-22.157471283892249</c:v>
                </c:pt>
                <c:pt idx="4">
                  <c:v>-21.694282365189888</c:v>
                </c:pt>
                <c:pt idx="5">
                  <c:v>-21.085765902548314</c:v>
                </c:pt>
                <c:pt idx="6">
                  <c:v>-20.350907914074604</c:v>
                </c:pt>
                <c:pt idx="7">
                  <c:v>-19.552911766733178</c:v>
                </c:pt>
                <c:pt idx="8">
                  <c:v>-18.746272433128215</c:v>
                </c:pt>
                <c:pt idx="9">
                  <c:v>-17.962986522740177</c:v>
                </c:pt>
                <c:pt idx="10">
                  <c:v>-17.217567998434678</c:v>
                </c:pt>
                <c:pt idx="11">
                  <c:v>-16.514488744966599</c:v>
                </c:pt>
                <c:pt idx="12">
                  <c:v>-15.853277089658953</c:v>
                </c:pt>
                <c:pt idx="13">
                  <c:v>-15.231334988197613</c:v>
                </c:pt>
                <c:pt idx="14">
                  <c:v>-14.645349206041022</c:v>
                </c:pt>
                <c:pt idx="15">
                  <c:v>-14.091952166901727</c:v>
                </c:pt>
                <c:pt idx="16">
                  <c:v>-13.568006494419979</c:v>
                </c:pt>
                <c:pt idx="17">
                  <c:v>-13.070707633781049</c:v>
                </c:pt>
                <c:pt idx="18">
                  <c:v>-12.597601813628488</c:v>
                </c:pt>
                <c:pt idx="19">
                  <c:v>-12.146567094783814</c:v>
                </c:pt>
                <c:pt idx="20">
                  <c:v>-11.715780554478393</c:v>
                </c:pt>
                <c:pt idx="21">
                  <c:v>-11.303682434821482</c:v>
                </c:pt>
                <c:pt idx="22">
                  <c:v>-10.908942070984089</c:v>
                </c:pt>
                <c:pt idx="23">
                  <c:v>-10.530427485624365</c:v>
                </c:pt>
                <c:pt idx="24">
                  <c:v>-10.167179141756877</c:v>
                </c:pt>
                <c:pt idx="25">
                  <c:v>-9.8183877145814105</c:v>
                </c:pt>
                <c:pt idx="26">
                  <c:v>-9.4833754870187708</c:v>
                </c:pt>
                <c:pt idx="27">
                  <c:v>-9.1615808993511667</c:v>
                </c:pt>
                <c:pt idx="28">
                  <c:v>-8.8525457926221662</c:v>
                </c:pt>
                <c:pt idx="29">
                  <c:v>-8.5559049295012457</c:v>
                </c:pt>
                <c:pt idx="30">
                  <c:v>-8.271377431278367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50C-4FEA-AF62-C0FAD1927CBE}"/>
            </c:ext>
          </c:extLst>
        </c:ser>
        <c:ser>
          <c:idx val="7"/>
          <c:order val="5"/>
          <c:tx>
            <c:v>St. Bees1, 0.5 M</c:v>
          </c:tx>
          <c:spPr>
            <a:ln>
              <a:noFill/>
            </a:ln>
          </c:spPr>
          <c:marker>
            <c:symbol val="diamond"/>
            <c:size val="15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Vinogradov0.5M!$F$2:$F$6</c:f>
              <c:numCache>
                <c:formatCode>General</c:formatCode>
                <c:ptCount val="5"/>
                <c:pt idx="0">
                  <c:v>7.43</c:v>
                </c:pt>
                <c:pt idx="1">
                  <c:v>7.42</c:v>
                </c:pt>
                <c:pt idx="2">
                  <c:v>7.2</c:v>
                </c:pt>
              </c:numCache>
            </c:numRef>
          </c:xVal>
          <c:yVal>
            <c:numRef>
              <c:f>Vinogradov0.5M!$I$2:$I$6</c:f>
              <c:numCache>
                <c:formatCode>General</c:formatCode>
                <c:ptCount val="5"/>
                <c:pt idx="0">
                  <c:v>-9.4009797899999992</c:v>
                </c:pt>
                <c:pt idx="1">
                  <c:v>-10.22648491</c:v>
                </c:pt>
                <c:pt idx="2">
                  <c:v>-8.7463933009999995</c:v>
                </c:pt>
                <c:pt idx="3">
                  <c:v>-10.53335994</c:v>
                </c:pt>
                <c:pt idx="4">
                  <c:v>-10.786559430000001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50C-4FEA-AF62-C0FAD1927CBE}"/>
            </c:ext>
          </c:extLst>
        </c:ser>
        <c:ser>
          <c:idx val="4"/>
          <c:order val="6"/>
          <c:tx>
            <c:v>St. Bees2, 0.5 M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Vinogradov0.5M!$F$7:$F$11</c:f>
              <c:numCache>
                <c:formatCode>General</c:formatCode>
                <c:ptCount val="5"/>
                <c:pt idx="0">
                  <c:v>7.23</c:v>
                </c:pt>
                <c:pt idx="1">
                  <c:v>7.3</c:v>
                </c:pt>
                <c:pt idx="2">
                  <c:v>7.12</c:v>
                </c:pt>
              </c:numCache>
            </c:numRef>
          </c:xVal>
          <c:yVal>
            <c:numRef>
              <c:f>Vinogradov0.5M!$I$7:$I$11</c:f>
              <c:numCache>
                <c:formatCode>General</c:formatCode>
                <c:ptCount val="5"/>
                <c:pt idx="0">
                  <c:v>-8.4912075530000006</c:v>
                </c:pt>
                <c:pt idx="1">
                  <c:v>-9.4487042460000001</c:v>
                </c:pt>
                <c:pt idx="2">
                  <c:v>-9.175409428</c:v>
                </c:pt>
                <c:pt idx="3">
                  <c:v>-8.7296564080000003</c:v>
                </c:pt>
                <c:pt idx="4">
                  <c:v>-9.0924857669999994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50C-4FEA-AF62-C0FAD1927CBE}"/>
            </c:ext>
          </c:extLst>
        </c:ser>
        <c:ser>
          <c:idx val="8"/>
          <c:order val="7"/>
          <c:tx>
            <c:v>Stainton, 0.5 M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Vinogradov0.5M!$F$12:$F$16</c:f>
              <c:numCache>
                <c:formatCode>General</c:formatCode>
                <c:ptCount val="5"/>
                <c:pt idx="0">
                  <c:v>7.54</c:v>
                </c:pt>
                <c:pt idx="1">
                  <c:v>7.48</c:v>
                </c:pt>
                <c:pt idx="2">
                  <c:v>7.38</c:v>
                </c:pt>
              </c:numCache>
            </c:numRef>
          </c:xVal>
          <c:yVal>
            <c:numRef>
              <c:f>Vinogradov0.5M!$I$12:$I$16</c:f>
              <c:numCache>
                <c:formatCode>General</c:formatCode>
                <c:ptCount val="5"/>
                <c:pt idx="0">
                  <c:v>-9.9376204329999993</c:v>
                </c:pt>
                <c:pt idx="1">
                  <c:v>-10.52158595</c:v>
                </c:pt>
                <c:pt idx="2">
                  <c:v>-10.56341799</c:v>
                </c:pt>
                <c:pt idx="3">
                  <c:v>-10.38665651</c:v>
                </c:pt>
                <c:pt idx="4">
                  <c:v>-9.6244044239999997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50C-4FEA-AF62-C0FAD1927CBE}"/>
            </c:ext>
          </c:extLst>
        </c:ser>
        <c:ser>
          <c:idx val="9"/>
          <c:order val="8"/>
          <c:tx>
            <c:v>Doddington, 0.5 M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fixedVal"/>
            <c:noEndCap val="0"/>
            <c:val val="1.5"/>
            <c:spPr>
              <a:ln w="19050"/>
            </c:spPr>
          </c:errBars>
          <c:xVal>
            <c:numRef>
              <c:f>Vinogradov0.5M!$F$17:$F$21</c:f>
              <c:numCache>
                <c:formatCode>General</c:formatCode>
                <c:ptCount val="5"/>
                <c:pt idx="0">
                  <c:v>7.31</c:v>
                </c:pt>
                <c:pt idx="1">
                  <c:v>7.27</c:v>
                </c:pt>
                <c:pt idx="2">
                  <c:v>7.14</c:v>
                </c:pt>
              </c:numCache>
            </c:numRef>
          </c:xVal>
          <c:yVal>
            <c:numRef>
              <c:f>Vinogradov0.5M!$I$17:$I$21</c:f>
              <c:numCache>
                <c:formatCode>General</c:formatCode>
                <c:ptCount val="5"/>
                <c:pt idx="0">
                  <c:v>-9.6695792130000005</c:v>
                </c:pt>
                <c:pt idx="1">
                  <c:v>-9.9863065770000006</c:v>
                </c:pt>
                <c:pt idx="2">
                  <c:v>-10.26080046</c:v>
                </c:pt>
                <c:pt idx="3">
                  <c:v>-9.8050488639999998</c:v>
                </c:pt>
                <c:pt idx="4">
                  <c:v>-10.486528209999999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50C-4FEA-AF62-C0FAD1927CBE}"/>
            </c:ext>
          </c:extLst>
        </c:ser>
        <c:ser>
          <c:idx val="5"/>
          <c:order val="9"/>
          <c:tx>
            <c:v>Model 0.5 M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'0.5M'!$P$5:$P$35</c:f>
              <c:numCache>
                <c:formatCode>0.00000</c:formatCode>
                <c:ptCount val="31"/>
                <c:pt idx="0">
                  <c:v>7.5171940078791106</c:v>
                </c:pt>
                <c:pt idx="1">
                  <c:v>7.4523787638670917</c:v>
                </c:pt>
                <c:pt idx="2">
                  <c:v>7.4333054077983771</c:v>
                </c:pt>
                <c:pt idx="3">
                  <c:v>7.420991317270258</c:v>
                </c:pt>
                <c:pt idx="4">
                  <c:v>7.4082581187832606</c:v>
                </c:pt>
                <c:pt idx="5">
                  <c:v>7.3930337601279197</c:v>
                </c:pt>
                <c:pt idx="6">
                  <c:v>7.3757654963767711</c:v>
                </c:pt>
                <c:pt idx="7">
                  <c:v>7.3577316208096635</c:v>
                </c:pt>
                <c:pt idx="8">
                  <c:v>7.3399828938713982</c:v>
                </c:pt>
                <c:pt idx="9">
                  <c:v>7.3230978904489685</c:v>
                </c:pt>
                <c:pt idx="10">
                  <c:v>7.3073046819825915</c:v>
                </c:pt>
                <c:pt idx="11">
                  <c:v>7.2926379011332445</c:v>
                </c:pt>
                <c:pt idx="12">
                  <c:v>7.2790421760304147</c:v>
                </c:pt>
                <c:pt idx="13">
                  <c:v>7.2664275266678722</c:v>
                </c:pt>
                <c:pt idx="14">
                  <c:v>7.2546961146314697</c:v>
                </c:pt>
                <c:pt idx="15">
                  <c:v>7.2437540921592518</c:v>
                </c:pt>
                <c:pt idx="16">
                  <c:v>7.2335161804875359</c:v>
                </c:pt>
                <c:pt idx="17">
                  <c:v>7.2239068573478864</c:v>
                </c:pt>
                <c:pt idx="18">
                  <c:v>7.2148600519673787</c:v>
                </c:pt>
                <c:pt idx="19">
                  <c:v>7.2063182546662699</c:v>
                </c:pt>
                <c:pt idx="20">
                  <c:v>7.1982314629692707</c:v>
                </c:pt>
                <c:pt idx="21">
                  <c:v>7.1905561512434888</c:v>
                </c:pt>
                <c:pt idx="22">
                  <c:v>7.1832543384348035</c:v>
                </c:pt>
                <c:pt idx="23">
                  <c:v>7.1762927757892623</c:v>
                </c:pt>
                <c:pt idx="24">
                  <c:v>7.1696422528456951</c:v>
                </c:pt>
                <c:pt idx="25">
                  <c:v>7.1632770104296153</c:v>
                </c:pt>
                <c:pt idx="26">
                  <c:v>7.1571742464689647</c:v>
                </c:pt>
                <c:pt idx="27">
                  <c:v>7.1513137005527163</c:v>
                </c:pt>
                <c:pt idx="28">
                  <c:v>7.1456773044893191</c:v>
                </c:pt>
                <c:pt idx="29">
                  <c:v>7.1402488878449386</c:v>
                </c:pt>
                <c:pt idx="30">
                  <c:v>7.1350139291634793</c:v>
                </c:pt>
              </c:numCache>
            </c:numRef>
          </c:xVal>
          <c:yVal>
            <c:numRef>
              <c:f>'0.5M'!$X$5:$X$35</c:f>
              <c:numCache>
                <c:formatCode>0.0000</c:formatCode>
                <c:ptCount val="31"/>
                <c:pt idx="0">
                  <c:v>-9.5002961296323747</c:v>
                </c:pt>
                <c:pt idx="1">
                  <c:v>-9.5002802320988966</c:v>
                </c:pt>
                <c:pt idx="2">
                  <c:v>-9.5002712010887738</c:v>
                </c:pt>
                <c:pt idx="3">
                  <c:v>-9.5002628306871593</c:v>
                </c:pt>
                <c:pt idx="4">
                  <c:v>-9.500254021448665</c:v>
                </c:pt>
                <c:pt idx="5">
                  <c:v>-9.5002445272370029</c:v>
                </c:pt>
                <c:pt idx="6">
                  <c:v>-9.5002345029665438</c:v>
                </c:pt>
                <c:pt idx="7">
                  <c:v>-9.5002242183608114</c:v>
                </c:pt>
                <c:pt idx="8">
                  <c:v>-9.5002138911330345</c:v>
                </c:pt>
                <c:pt idx="9">
                  <c:v>-9.5002036541575556</c:v>
                </c:pt>
                <c:pt idx="10">
                  <c:v>-9.5001935788751233</c:v>
                </c:pt>
                <c:pt idx="11">
                  <c:v>-9.5001837022315989</c:v>
                </c:pt>
                <c:pt idx="12">
                  <c:v>-9.5001740439981113</c:v>
                </c:pt>
                <c:pt idx="13">
                  <c:v>-9.5001646159746826</c:v>
                </c:pt>
                <c:pt idx="14">
                  <c:v>-9.5001554264403847</c:v>
                </c:pt>
                <c:pt idx="15">
                  <c:v>-9.5001464821558734</c:v>
                </c:pt>
                <c:pt idx="16">
                  <c:v>-9.5001377891830288</c:v>
                </c:pt>
                <c:pt idx="17">
                  <c:v>-9.5001293531604336</c:v>
                </c:pt>
                <c:pt idx="18">
                  <c:v>-9.5001211793451787</c:v>
                </c:pt>
                <c:pt idx="19">
                  <c:v>-9.5001132725677735</c:v>
                </c:pt>
                <c:pt idx="20">
                  <c:v>-9.5001056371670529</c:v>
                </c:pt>
                <c:pt idx="21">
                  <c:v>-9.5000982769332865</c:v>
                </c:pt>
                <c:pt idx="22">
                  <c:v>-9.5000911950693414</c:v>
                </c:pt>
                <c:pt idx="23">
                  <c:v>-9.5000843941711643</c:v>
                </c:pt>
                <c:pt idx="24">
                  <c:v>-9.5000778762251414</c:v>
                </c:pt>
                <c:pt idx="25">
                  <c:v>-9.5000716426184599</c:v>
                </c:pt>
                <c:pt idx="26">
                  <c:v>-9.5000656941582537</c:v>
                </c:pt>
                <c:pt idx="27">
                  <c:v>-9.500060031095531</c:v>
                </c:pt>
                <c:pt idx="28">
                  <c:v>-9.5000546531502241</c:v>
                </c:pt>
                <c:pt idx="29">
                  <c:v>-9.5000495595341601</c:v>
                </c:pt>
                <c:pt idx="30">
                  <c:v>-9.5000447489692252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50C-4FEA-AF62-C0FAD1927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03408"/>
        <c:axId val="204003800"/>
      </c:scatterChart>
      <c:valAx>
        <c:axId val="204003408"/>
        <c:scaling>
          <c:orientation val="minMax"/>
          <c:max val="7.6"/>
          <c:min val="5.8"/>
        </c:scaling>
        <c:delete val="0"/>
        <c:axPos val="b"/>
        <c:majorGridlines>
          <c:spPr>
            <a:ln w="15875"/>
          </c:spPr>
        </c:majorGridlines>
        <c:title>
          <c:tx>
            <c:rich>
              <a:bodyPr/>
              <a:lstStyle/>
              <a:p>
                <a:pPr>
                  <a:defRPr lang="fr-CA" sz="2000"/>
                </a:pPr>
                <a:r>
                  <a:rPr lang="fr-CA" sz="2400">
                    <a:latin typeface="Arial" pitchFamily="34" charset="0"/>
                    <a:cs typeface="Arial" pitchFamily="34" charset="0"/>
                  </a:rPr>
                  <a:t>pH (</a:t>
                </a:r>
                <a:r>
                  <a:rPr lang="fr-CA" sz="2400" baseline="0">
                    <a:latin typeface="Arial" pitchFamily="34" charset="0"/>
                    <a:cs typeface="Arial" pitchFamily="34" charset="0"/>
                  </a:rPr>
                  <a:t>-</a:t>
                </a:r>
                <a:r>
                  <a:rPr lang="fr-CA" sz="24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3800"/>
        <c:crossesAt val="-40"/>
        <c:crossBetween val="midCat"/>
        <c:majorUnit val="0.2"/>
      </c:valAx>
      <c:valAx>
        <c:axId val="204003800"/>
        <c:scaling>
          <c:orientation val="minMax"/>
          <c:max val="0"/>
          <c:min val="-35"/>
        </c:scaling>
        <c:delete val="0"/>
        <c:axPos val="l"/>
        <c:majorGridlines>
          <c:spPr>
            <a:ln w="15875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Zeta  potential (mV)</a:t>
                </a:r>
              </a:p>
            </c:rich>
          </c:tx>
          <c:layout>
            <c:manualLayout>
              <c:xMode val="edge"/>
              <c:yMode val="edge"/>
              <c:x val="2.9013940709000267E-2"/>
              <c:y val="0.190751212615675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18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3408"/>
        <c:crossesAt val="5.5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543506839244094"/>
          <c:y val="2.1346975461324628E-2"/>
          <c:w val="0.23575144186485408"/>
          <c:h val="0.48251140023943601"/>
        </c:manualLayout>
      </c:layout>
      <c:overlay val="0"/>
      <c:spPr>
        <a:solidFill>
          <a:sysClr val="window" lastClr="FFFFFF"/>
        </a:solidFill>
        <a:ln w="25400">
          <a:solidFill>
            <a:sysClr val="windowText" lastClr="000000"/>
          </a:solidFill>
        </a:ln>
      </c:spPr>
      <c:txPr>
        <a:bodyPr/>
        <a:lstStyle/>
        <a:p>
          <a:pPr>
            <a:defRPr sz="16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2.0424744204271771E-2"/>
          <c:w val="0.76695217054702691"/>
          <c:h val="0.8458943983353436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'1e-5M'!$I$4:$I$34</c:f>
              <c:numCache>
                <c:formatCode>0.00000</c:formatCode>
                <c:ptCount val="31"/>
                <c:pt idx="1">
                  <c:v>999.83983388786316</c:v>
                </c:pt>
                <c:pt idx="2">
                  <c:v>999.96413510371008</c:v>
                </c:pt>
                <c:pt idx="3">
                  <c:v>999.6999482980566</c:v>
                </c:pt>
                <c:pt idx="4">
                  <c:v>999.09992287886473</c:v>
                </c:pt>
                <c:pt idx="5">
                  <c:v>998.2044465309101</c:v>
                </c:pt>
                <c:pt idx="6">
                  <c:v>997.04521006187997</c:v>
                </c:pt>
                <c:pt idx="7">
                  <c:v>995.64757387658085</c:v>
                </c:pt>
                <c:pt idx="8">
                  <c:v>994.0321811346746</c:v>
                </c:pt>
                <c:pt idx="9">
                  <c:v>992.21608326589637</c:v>
                </c:pt>
                <c:pt idx="10">
                  <c:v>990.21354157186761</c:v>
                </c:pt>
                <c:pt idx="11">
                  <c:v>988.03660869276848</c:v>
                </c:pt>
                <c:pt idx="12">
                  <c:v>985.69555738091208</c:v>
                </c:pt>
                <c:pt idx="13">
                  <c:v>983.19920139972794</c:v>
                </c:pt>
                <c:pt idx="14">
                  <c:v>980.5551389372614</c:v>
                </c:pt>
                <c:pt idx="15">
                  <c:v>977.76993951797965</c:v>
                </c:pt>
                <c:pt idx="16">
                  <c:v>974.84928914415923</c:v>
                </c:pt>
                <c:pt idx="17">
                  <c:v>971.79810416629073</c:v>
                </c:pt>
                <c:pt idx="18">
                  <c:v>968.62062147031952</c:v>
                </c:pt>
                <c:pt idx="19">
                  <c:v>965.32047053585814</c:v>
                </c:pt>
                <c:pt idx="20">
                  <c:v>961.90073147912449</c:v>
                </c:pt>
                <c:pt idx="21">
                  <c:v>958.36398216104601</c:v>
                </c:pt>
                <c:pt idx="22">
                  <c:v>954.71233669073513</c:v>
                </c:pt>
                <c:pt idx="23">
                  <c:v>950.94747710380932</c:v>
                </c:pt>
                <c:pt idx="24">
                  <c:v>947.07067958652817</c:v>
                </c:pt>
                <c:pt idx="25">
                  <c:v>943.08283631076063</c:v>
                </c:pt>
                <c:pt idx="26">
                  <c:v>938.9844737135852</c:v>
                </c:pt>
                <c:pt idx="27">
                  <c:v>934.7757678790789</c:v>
                </c:pt>
                <c:pt idx="28">
                  <c:v>930.45655754444772</c:v>
                </c:pt>
                <c:pt idx="29">
                  <c:v>926.02635514781582</c:v>
                </c:pt>
                <c:pt idx="30">
                  <c:v>921.48435625326624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21-4F6F-965C-EBCC7BC48658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'0.0001M'!$I$4:$I$34</c:f>
              <c:numCache>
                <c:formatCode>0.00000</c:formatCode>
                <c:ptCount val="31"/>
                <c:pt idx="1">
                  <c:v>999.84265887863205</c:v>
                </c:pt>
                <c:pt idx="2">
                  <c:v>999.96695979180538</c:v>
                </c:pt>
                <c:pt idx="3">
                  <c:v>999.70277362944694</c:v>
                </c:pt>
                <c:pt idx="4">
                  <c:v>999.10274967131738</c:v>
                </c:pt>
                <c:pt idx="5">
                  <c:v>998.20727550384834</c:v>
                </c:pt>
                <c:pt idx="6">
                  <c:v>997.04804185755961</c:v>
                </c:pt>
                <c:pt idx="7">
                  <c:v>995.65040907550565</c:v>
                </c:pt>
                <c:pt idx="8">
                  <c:v>994.03502026708179</c:v>
                </c:pt>
                <c:pt idx="9">
                  <c:v>992.21892682050304</c:v>
                </c:pt>
                <c:pt idx="10">
                  <c:v>990.21639000266453</c:v>
                </c:pt>
                <c:pt idx="11">
                  <c:v>988.03946242439838</c:v>
                </c:pt>
                <c:pt idx="12">
                  <c:v>985.69841681300363</c:v>
                </c:pt>
                <c:pt idx="13">
                  <c:v>983.20206691044791</c:v>
                </c:pt>
                <c:pt idx="14">
                  <c:v>980.55801088627527</c:v>
                </c:pt>
                <c:pt idx="15">
                  <c:v>977.77281824895579</c:v>
                </c:pt>
                <c:pt idx="16">
                  <c:v>974.852174986921</c:v>
                </c:pt>
                <c:pt idx="17">
                  <c:v>971.80099743868993</c:v>
                </c:pt>
                <c:pt idx="18">
                  <c:v>968.62352247989111</c:v>
                </c:pt>
                <c:pt idx="19">
                  <c:v>965.32337958129949</c:v>
                </c:pt>
                <c:pt idx="20">
                  <c:v>961.90364885163262</c:v>
                </c:pt>
                <c:pt idx="21">
                  <c:v>958.36690814554106</c:v>
                </c:pt>
                <c:pt idx="22">
                  <c:v>954.71527156698937</c:v>
                </c:pt>
                <c:pt idx="23">
                  <c:v>950.95042114749913</c:v>
                </c:pt>
                <c:pt idx="24">
                  <c:v>947.07363307022251</c:v>
                </c:pt>
                <c:pt idx="25">
                  <c:v>943.08579950485603</c:v>
                </c:pt>
                <c:pt idx="26">
                  <c:v>938.98744688719614</c:v>
                </c:pt>
                <c:pt idx="27">
                  <c:v>934.77875130089137</c:v>
                </c:pt>
                <c:pt idx="28">
                  <c:v>930.45955148354028</c:v>
                </c:pt>
                <c:pt idx="29">
                  <c:v>926.02935987445403</c:v>
                </c:pt>
                <c:pt idx="30">
                  <c:v>921.48737203967471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21-4F6F-965C-EBCC7BC48658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'0.001M'!$I$5:$I$35</c:f>
              <c:numCache>
                <c:formatCode>0.00000</c:formatCode>
                <c:ptCount val="31"/>
                <c:pt idx="0">
                  <c:v>999.87090878632</c:v>
                </c:pt>
                <c:pt idx="1">
                  <c:v>999.99520667275794</c:v>
                </c:pt>
                <c:pt idx="2">
                  <c:v>999.73102694335</c:v>
                </c:pt>
                <c:pt idx="3">
                  <c:v>999.13101759584322</c:v>
                </c:pt>
                <c:pt idx="4">
                  <c:v>998.23556523322918</c:v>
                </c:pt>
                <c:pt idx="5">
                  <c:v>997.07635981435624</c:v>
                </c:pt>
                <c:pt idx="6">
                  <c:v>995.67876106475251</c:v>
                </c:pt>
                <c:pt idx="7">
                  <c:v>994.06341159115254</c:v>
                </c:pt>
                <c:pt idx="8">
                  <c:v>992.24736236656884</c:v>
                </c:pt>
                <c:pt idx="9">
                  <c:v>990.2448743106338</c:v>
                </c:pt>
                <c:pt idx="10">
                  <c:v>988.0679997406977</c:v>
                </c:pt>
                <c:pt idx="11">
                  <c:v>985.7270111339177</c:v>
                </c:pt>
                <c:pt idx="12">
                  <c:v>983.2307220176466</c:v>
                </c:pt>
                <c:pt idx="13">
                  <c:v>980.58673037641233</c:v>
                </c:pt>
                <c:pt idx="14">
                  <c:v>977.80160555871703</c:v>
                </c:pt>
                <c:pt idx="15">
                  <c:v>974.88103341453814</c:v>
                </c:pt>
                <c:pt idx="16">
                  <c:v>971.82993016268131</c:v>
                </c:pt>
                <c:pt idx="17">
                  <c:v>968.6525325756071</c:v>
                </c:pt>
                <c:pt idx="18">
                  <c:v>965.35247003571249</c:v>
                </c:pt>
                <c:pt idx="19">
                  <c:v>961.93282257671422</c:v>
                </c:pt>
                <c:pt idx="20">
                  <c:v>958.3961679904919</c:v>
                </c:pt>
                <c:pt idx="21">
                  <c:v>954.74462032953136</c:v>
                </c:pt>
                <c:pt idx="22">
                  <c:v>950.97986158439699</c:v>
                </c:pt>
                <c:pt idx="23">
                  <c:v>947.10316790716547</c:v>
                </c:pt>
                <c:pt idx="24">
                  <c:v>943.11543144580889</c:v>
                </c:pt>
                <c:pt idx="25">
                  <c:v>939.0171786233052</c:v>
                </c:pt>
                <c:pt idx="26">
                  <c:v>934.80858551901531</c:v>
                </c:pt>
                <c:pt idx="27">
                  <c:v>930.48949087446431</c:v>
                </c:pt>
                <c:pt idx="28">
                  <c:v>926.05940714083556</c:v>
                </c:pt>
                <c:pt idx="29">
                  <c:v>921.51752990375928</c:v>
                </c:pt>
                <c:pt idx="30">
                  <c:v>916.86274595682778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21-4F6F-965C-EBCC7BC48658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'0.01M'!$E$4:$E$34</c:f>
              <c:numCache>
                <c:formatCode>General</c:formatCode>
                <c:ptCount val="31"/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  <c:pt idx="22">
                  <c:v>105</c:v>
                </c:pt>
                <c:pt idx="23">
                  <c:v>110</c:v>
                </c:pt>
                <c:pt idx="24">
                  <c:v>115</c:v>
                </c:pt>
                <c:pt idx="25">
                  <c:v>120</c:v>
                </c:pt>
                <c:pt idx="26">
                  <c:v>125</c:v>
                </c:pt>
                <c:pt idx="27">
                  <c:v>130</c:v>
                </c:pt>
                <c:pt idx="28">
                  <c:v>135</c:v>
                </c:pt>
                <c:pt idx="29">
                  <c:v>140</c:v>
                </c:pt>
                <c:pt idx="30">
                  <c:v>145</c:v>
                </c:pt>
              </c:numCache>
            </c:numRef>
          </c:xVal>
          <c:yVal>
            <c:numRef>
              <c:f>'0.01M'!$I$4:$I$34</c:f>
              <c:numCache>
                <c:formatCode>0.00000</c:formatCode>
                <c:ptCount val="31"/>
                <c:pt idx="1">
                  <c:v>1000.1534078632</c:v>
                </c:pt>
                <c:pt idx="2">
                  <c:v>1000.2776754822835</c:v>
                </c:pt>
                <c:pt idx="3">
                  <c:v>1000.0135600823803</c:v>
                </c:pt>
                <c:pt idx="4">
                  <c:v>999.41369684110259</c:v>
                </c:pt>
                <c:pt idx="5">
                  <c:v>998.5184625270382</c:v>
                </c:pt>
                <c:pt idx="6">
                  <c:v>997.35953938232183</c:v>
                </c:pt>
                <c:pt idx="7">
                  <c:v>995.96228095722131</c:v>
                </c:pt>
                <c:pt idx="8">
                  <c:v>994.34732483186042</c:v>
                </c:pt>
                <c:pt idx="9">
                  <c:v>992.53171782722745</c:v>
                </c:pt>
                <c:pt idx="10">
                  <c:v>990.52971739032682</c:v>
                </c:pt>
                <c:pt idx="11">
                  <c:v>988.35337290369011</c:v>
                </c:pt>
                <c:pt idx="12">
                  <c:v>986.01295434305882</c:v>
                </c:pt>
                <c:pt idx="13">
                  <c:v>983.51727308963359</c:v>
                </c:pt>
                <c:pt idx="14">
                  <c:v>980.87392527778309</c:v>
                </c:pt>
                <c:pt idx="15">
                  <c:v>978.08947865633002</c:v>
                </c:pt>
                <c:pt idx="16">
                  <c:v>975.16961769070952</c:v>
                </c:pt>
                <c:pt idx="17">
                  <c:v>972.11925740259585</c:v>
                </c:pt>
                <c:pt idx="18">
                  <c:v>968.94263353276745</c:v>
                </c:pt>
                <c:pt idx="19">
                  <c:v>965.64337457984277</c:v>
                </c:pt>
                <c:pt idx="20">
                  <c:v>962.22455982753013</c:v>
                </c:pt>
                <c:pt idx="21">
                  <c:v>958.68876643999965</c:v>
                </c:pt>
                <c:pt idx="22">
                  <c:v>955.03810795495178</c:v>
                </c:pt>
                <c:pt idx="23">
                  <c:v>951.27426595337477</c:v>
                </c:pt>
                <c:pt idx="24">
                  <c:v>947.39851627659414</c:v>
                </c:pt>
                <c:pt idx="25">
                  <c:v>943.41175085533803</c:v>
                </c:pt>
                <c:pt idx="26">
                  <c:v>939.31449598439679</c:v>
                </c:pt>
                <c:pt idx="27">
                  <c:v>935.1069277002548</c:v>
                </c:pt>
                <c:pt idx="28">
                  <c:v>930.78888478370482</c:v>
                </c:pt>
                <c:pt idx="29">
                  <c:v>926.35987980465154</c:v>
                </c:pt>
                <c:pt idx="30">
                  <c:v>921.81910854460534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121-4F6F-965C-EBCC7BC48658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'0.1M'!$G$5:$G$35</c:f>
              <c:numCache>
                <c:formatCode>General</c:formatCode>
                <c:ptCount val="31"/>
                <c:pt idx="0">
                  <c:v>999.83951999999999</c:v>
                </c:pt>
                <c:pt idx="1">
                  <c:v>999.96382124947729</c:v>
                </c:pt>
                <c:pt idx="2">
                  <c:v>999.69963437234651</c:v>
                </c:pt>
                <c:pt idx="3">
                  <c:v>999.09960879081439</c:v>
                </c:pt>
                <c:pt idx="4">
                  <c:v>998.20413220058367</c:v>
                </c:pt>
                <c:pt idx="5">
                  <c:v>997.04489541791554</c:v>
                </c:pt>
                <c:pt idx="6">
                  <c:v>995.64725885447808</c:v>
                </c:pt>
                <c:pt idx="7">
                  <c:v>994.03186567551825</c:v>
                </c:pt>
                <c:pt idx="8">
                  <c:v>992.21576731538448</c:v>
                </c:pt>
                <c:pt idx="9">
                  <c:v>990.21322507955676</c:v>
                </c:pt>
                <c:pt idx="10">
                  <c:v>988.03629161147626</c:v>
                </c:pt>
                <c:pt idx="11">
                  <c:v>985.69523966623524</c:v>
                </c:pt>
                <c:pt idx="12">
                  <c:v>983.19888300964794</c:v>
                </c:pt>
                <c:pt idx="13">
                  <c:v>980.55481983181551</c:v>
                </c:pt>
                <c:pt idx="14">
                  <c:v>977.76961965898226</c:v>
                </c:pt>
                <c:pt idx="15">
                  <c:v>974.84896849496351</c:v>
                </c:pt>
                <c:pt idx="16">
                  <c:v>971.79778269157964</c:v>
                </c:pt>
                <c:pt idx="17">
                  <c:v>968.62029913592266</c:v>
                </c:pt>
                <c:pt idx="18">
                  <c:v>965.3201473085868</c:v>
                </c:pt>
                <c:pt idx="19">
                  <c:v>961.90040732662351</c:v>
                </c:pt>
                <c:pt idx="20">
                  <c:v>958.36365705165758</c:v>
                </c:pt>
                <c:pt idx="21">
                  <c:v>954.71201059337352</c:v>
                </c:pt>
                <c:pt idx="22">
                  <c:v>950.94714998784377</c:v>
                </c:pt>
                <c:pt idx="23">
                  <c:v>947.07035142167331</c:v>
                </c:pt>
                <c:pt idx="24">
                  <c:v>943.08250706697231</c:v>
                </c:pt>
                <c:pt idx="25">
                  <c:v>938.98414336096175</c:v>
                </c:pt>
                <c:pt idx="26">
                  <c:v>934.77543638776638</c:v>
                </c:pt>
                <c:pt idx="27">
                  <c:v>930.45622488454865</c:v>
                </c:pt>
                <c:pt idx="28">
                  <c:v>926.0260212893005</c:v>
                </c:pt>
                <c:pt idx="29">
                  <c:v>921.4840211658875</c:v>
                </c:pt>
                <c:pt idx="30">
                  <c:v>916.82911127778289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21-4F6F-965C-EBCC7BC48658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'0.5M'!$I$5:$I$35</c:f>
              <c:numCache>
                <c:formatCode>0.00000</c:formatCode>
                <c:ptCount val="31"/>
                <c:pt idx="0">
                  <c:v>1015.5339131600001</c:v>
                </c:pt>
                <c:pt idx="1">
                  <c:v>1015.6565328897968</c:v>
                </c:pt>
                <c:pt idx="2">
                  <c:v>1015.3959198740316</c:v>
                </c:pt>
                <c:pt idx="3">
                  <c:v>1014.8040113052275</c:v>
                </c:pt>
                <c:pt idx="4">
                  <c:v>1013.9206485233145</c:v>
                </c:pt>
                <c:pt idx="5">
                  <c:v>1012.7770936382343</c:v>
                </c:pt>
                <c:pt idx="6">
                  <c:v>1011.3983639916413</c:v>
                </c:pt>
                <c:pt idx="7">
                  <c:v>1009.80482349263</c:v>
                </c:pt>
                <c:pt idx="8">
                  <c:v>1008.0132929075347</c:v>
                </c:pt>
                <c:pt idx="9">
                  <c:v>1006.0378406180639</c:v>
                </c:pt>
                <c:pt idx="10">
                  <c:v>1003.8903562221764</c:v>
                </c:pt>
                <c:pt idx="11">
                  <c:v>1001.5809735074171</c:v>
                </c:pt>
                <c:pt idx="12">
                  <c:v>999.11838700893406</c:v>
                </c:pt>
                <c:pt idx="13">
                  <c:v>996.51009213020177</c:v>
                </c:pt>
                <c:pt idx="14">
                  <c:v>993.76256952637323</c:v>
                </c:pt>
                <c:pt idx="15">
                  <c:v>990.88142828226773</c:v>
                </c:pt>
                <c:pt idx="16">
                  <c:v>987.87151824239083</c:v>
                </c:pt>
                <c:pt idx="17">
                  <c:v>984.73701897816716</c:v>
                </c:pt>
                <c:pt idx="18">
                  <c:v>981.48151087138456</c:v>
                </c:pt>
                <c:pt idx="19">
                  <c:v>978.10803237195501</c:v>
                </c:pt>
                <c:pt idx="20">
                  <c:v>974.61912646876431</c:v>
                </c:pt>
                <c:pt idx="21">
                  <c:v>971.01687867229089</c:v>
                </c:pt>
                <c:pt idx="22">
                  <c:v>967.30294826439706</c:v>
                </c:pt>
                <c:pt idx="23">
                  <c:v>963.47859416771894</c:v>
                </c:pt>
                <c:pt idx="24">
                  <c:v>959.54469648526072</c:v>
                </c:pt>
                <c:pt idx="25">
                  <c:v>955.5017745327176</c:v>
                </c:pt>
                <c:pt idx="26">
                  <c:v>951.35000201218747</c:v>
                </c:pt>
                <c:pt idx="27">
                  <c:v>947.08921984236042</c:v>
                </c:pt>
                <c:pt idx="28">
                  <c:v>942.71894705685907</c:v>
                </c:pt>
                <c:pt idx="29">
                  <c:v>938.23839010178222</c:v>
                </c:pt>
                <c:pt idx="30">
                  <c:v>933.64645080021955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121-4F6F-965C-EBCC7BC48658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'1M'!$I$5:$I$35</c:f>
              <c:numCache>
                <c:formatCode>0.00000</c:formatCode>
                <c:ptCount val="31"/>
                <c:pt idx="0">
                  <c:v>1031.22830632</c:v>
                </c:pt>
                <c:pt idx="1">
                  <c:v>1031.3492445301165</c:v>
                </c:pt>
                <c:pt idx="2">
                  <c:v>1031.092205375717</c:v>
                </c:pt>
                <c:pt idx="3">
                  <c:v>1030.5084138196407</c:v>
                </c:pt>
                <c:pt idx="4">
                  <c:v>1029.6371648460456</c:v>
                </c:pt>
                <c:pt idx="5">
                  <c:v>1028.5092918585531</c:v>
                </c:pt>
                <c:pt idx="6">
                  <c:v>1027.1494691288042</c:v>
                </c:pt>
                <c:pt idx="7">
                  <c:v>1025.5777813097418</c:v>
                </c:pt>
                <c:pt idx="8">
                  <c:v>1023.8108184996851</c:v>
                </c:pt>
                <c:pt idx="9">
                  <c:v>1021.8624561565711</c:v>
                </c:pt>
                <c:pt idx="10">
                  <c:v>1019.7444208328767</c:v>
                </c:pt>
                <c:pt idx="11">
                  <c:v>1017.466707348599</c:v>
                </c:pt>
                <c:pt idx="12">
                  <c:v>1015.0378910082203</c:v>
                </c:pt>
                <c:pt idx="13">
                  <c:v>1012.4653644285879</c:v>
                </c:pt>
                <c:pt idx="14">
                  <c:v>1009.7555193937642</c:v>
                </c:pt>
                <c:pt idx="15">
                  <c:v>1006.9138880695721</c:v>
                </c:pt>
                <c:pt idx="16">
                  <c:v>1003.9452537932021</c:v>
                </c:pt>
                <c:pt idx="17">
                  <c:v>1000.8537388204118</c:v>
                </c:pt>
                <c:pt idx="18">
                  <c:v>997.6428744341822</c:v>
                </c:pt>
                <c:pt idx="19">
                  <c:v>994.3156574172865</c:v>
                </c:pt>
                <c:pt idx="20">
                  <c:v>990.87459588587103</c:v>
                </c:pt>
                <c:pt idx="21">
                  <c:v>987.32174675120837</c:v>
                </c:pt>
                <c:pt idx="22">
                  <c:v>983.65874654095046</c:v>
                </c:pt>
                <c:pt idx="23">
                  <c:v>979.88683691376468</c:v>
                </c:pt>
                <c:pt idx="24">
                  <c:v>976.00688590354912</c:v>
                </c:pt>
                <c:pt idx="25">
                  <c:v>972.01940570447346</c:v>
                </c:pt>
                <c:pt idx="26">
                  <c:v>967.92456763660857</c:v>
                </c:pt>
                <c:pt idx="27">
                  <c:v>963.7222148001722</c:v>
                </c:pt>
                <c:pt idx="28">
                  <c:v>959.41187282441774</c:v>
                </c:pt>
                <c:pt idx="29">
                  <c:v>954.99275903767716</c:v>
                </c:pt>
                <c:pt idx="30">
                  <c:v>950.46379032265622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121-4F6F-965C-EBCC7BC48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04584"/>
        <c:axId val="204004976"/>
      </c:scatterChart>
      <c:valAx>
        <c:axId val="204004584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4976"/>
        <c:crossesAt val="0"/>
        <c:crossBetween val="midCat"/>
        <c:majorUnit val="20"/>
        <c:minorUnit val="10"/>
      </c:valAx>
      <c:valAx>
        <c:axId val="204004976"/>
        <c:scaling>
          <c:orientation val="minMax"/>
          <c:max val="1040"/>
          <c:min val="90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8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density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(kg/m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3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03339579285496E-2"/>
              <c:y val="0.175407333653397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4584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4241171326568067"/>
          <c:y val="2.9962804113133047E-2"/>
          <c:w val="0.18161772667392517"/>
          <c:h val="0.3547352806532547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3.5392057235468177E-2"/>
          <c:w val="0.76695217054702691"/>
          <c:h val="0.8316775231132234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'1e-5M'!$K$5:$K$35</c:f>
              <c:numCache>
                <c:formatCode>0.0000</c:formatCode>
                <c:ptCount val="31"/>
                <c:pt idx="0">
                  <c:v>87.669234107072754</c:v>
                </c:pt>
                <c:pt idx="1">
                  <c:v>85.692762233697763</c:v>
                </c:pt>
                <c:pt idx="2">
                  <c:v>83.762161635322727</c:v>
                </c:pt>
                <c:pt idx="3">
                  <c:v>81.876374811947798</c:v>
                </c:pt>
                <c:pt idx="4">
                  <c:v>80.034344263572777</c:v>
                </c:pt>
                <c:pt idx="5">
                  <c:v>78.235012490197775</c:v>
                </c:pt>
                <c:pt idx="6">
                  <c:v>76.477321991822762</c:v>
                </c:pt>
                <c:pt idx="7">
                  <c:v>74.760215268447752</c:v>
                </c:pt>
                <c:pt idx="8">
                  <c:v>73.082634820072769</c:v>
                </c:pt>
                <c:pt idx="9">
                  <c:v>71.443523146697729</c:v>
                </c:pt>
                <c:pt idx="10">
                  <c:v>69.841822748322798</c:v>
                </c:pt>
                <c:pt idx="11">
                  <c:v>68.276476124947791</c:v>
                </c:pt>
                <c:pt idx="12">
                  <c:v>66.746425776572778</c:v>
                </c:pt>
                <c:pt idx="13">
                  <c:v>65.25061420319777</c:v>
                </c:pt>
                <c:pt idx="14">
                  <c:v>63.787983904822759</c:v>
                </c:pt>
                <c:pt idx="15">
                  <c:v>62.357477381447751</c:v>
                </c:pt>
                <c:pt idx="16">
                  <c:v>60.95803713307275</c:v>
                </c:pt>
                <c:pt idx="17">
                  <c:v>59.588605659697812</c:v>
                </c:pt>
                <c:pt idx="18">
                  <c:v>58.248125461322807</c:v>
                </c:pt>
                <c:pt idx="19">
                  <c:v>56.935539037947756</c:v>
                </c:pt>
                <c:pt idx="20">
                  <c:v>55.649788889572768</c:v>
                </c:pt>
                <c:pt idx="21">
                  <c:v>54.389817516197745</c:v>
                </c:pt>
                <c:pt idx="22">
                  <c:v>53.154567417822769</c:v>
                </c:pt>
                <c:pt idx="23">
                  <c:v>51.942981094447767</c:v>
                </c:pt>
                <c:pt idx="24">
                  <c:v>50.754001046072794</c:v>
                </c:pt>
                <c:pt idx="25">
                  <c:v>49.586569772697807</c:v>
                </c:pt>
                <c:pt idx="26">
                  <c:v>48.439629774322803</c:v>
                </c:pt>
                <c:pt idx="27">
                  <c:v>47.312123550947767</c:v>
                </c:pt>
                <c:pt idx="28">
                  <c:v>46.202993602572796</c:v>
                </c:pt>
                <c:pt idx="29">
                  <c:v>45.111182429197832</c:v>
                </c:pt>
                <c:pt idx="30">
                  <c:v>44.03563253082276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E1-49DB-B2F7-78C61016E70B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'0.0001M'!$K$5:$K$35</c:f>
              <c:numCache>
                <c:formatCode>0.0000</c:formatCode>
                <c:ptCount val="31"/>
                <c:pt idx="0">
                  <c:v>87.668064117616225</c:v>
                </c:pt>
                <c:pt idx="1">
                  <c:v>85.691592244241235</c:v>
                </c:pt>
                <c:pt idx="2">
                  <c:v>83.760991645866198</c:v>
                </c:pt>
                <c:pt idx="3">
                  <c:v>81.87520482249127</c:v>
                </c:pt>
                <c:pt idx="4">
                  <c:v>80.033174274116249</c:v>
                </c:pt>
                <c:pt idx="5">
                  <c:v>78.233842500741247</c:v>
                </c:pt>
                <c:pt idx="6">
                  <c:v>76.476152002366234</c:v>
                </c:pt>
                <c:pt idx="7">
                  <c:v>74.759045278991223</c:v>
                </c:pt>
                <c:pt idx="8">
                  <c:v>73.081464830616241</c:v>
                </c:pt>
                <c:pt idx="9">
                  <c:v>71.4423531572412</c:v>
                </c:pt>
                <c:pt idx="10">
                  <c:v>69.84065275886627</c:v>
                </c:pt>
                <c:pt idx="11">
                  <c:v>68.275306135491263</c:v>
                </c:pt>
                <c:pt idx="12">
                  <c:v>66.74525578711625</c:v>
                </c:pt>
                <c:pt idx="13">
                  <c:v>65.249444213741242</c:v>
                </c:pt>
                <c:pt idx="14">
                  <c:v>63.786813915366224</c:v>
                </c:pt>
                <c:pt idx="15">
                  <c:v>62.356307391991216</c:v>
                </c:pt>
                <c:pt idx="16">
                  <c:v>60.956867143616215</c:v>
                </c:pt>
                <c:pt idx="17">
                  <c:v>59.587435670241277</c:v>
                </c:pt>
                <c:pt idx="18">
                  <c:v>58.246955471866272</c:v>
                </c:pt>
                <c:pt idx="19">
                  <c:v>56.93436904849122</c:v>
                </c:pt>
                <c:pt idx="20">
                  <c:v>55.648618900116233</c:v>
                </c:pt>
                <c:pt idx="21">
                  <c:v>54.38864752674121</c:v>
                </c:pt>
                <c:pt idx="22">
                  <c:v>53.153397428366233</c:v>
                </c:pt>
                <c:pt idx="23">
                  <c:v>51.941811104991231</c:v>
                </c:pt>
                <c:pt idx="24">
                  <c:v>50.752831056616259</c:v>
                </c:pt>
                <c:pt idx="25">
                  <c:v>49.585399783241272</c:v>
                </c:pt>
                <c:pt idx="26">
                  <c:v>48.438459784866268</c:v>
                </c:pt>
                <c:pt idx="27">
                  <c:v>47.310953561491232</c:v>
                </c:pt>
                <c:pt idx="28">
                  <c:v>46.201823613116261</c:v>
                </c:pt>
                <c:pt idx="29">
                  <c:v>45.110012439741297</c:v>
                </c:pt>
                <c:pt idx="30">
                  <c:v>44.034462541366224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7E1-49DB-B2F7-78C61016E70B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'0.001M'!$K$5:$K$35</c:f>
              <c:numCache>
                <c:formatCode>0.0000</c:formatCode>
                <c:ptCount val="31"/>
                <c:pt idx="0">
                  <c:v>87.656365171936201</c:v>
                </c:pt>
                <c:pt idx="1">
                  <c:v>85.679893298561211</c:v>
                </c:pt>
                <c:pt idx="2">
                  <c:v>83.749292700186174</c:v>
                </c:pt>
                <c:pt idx="3">
                  <c:v>81.863505876811246</c:v>
                </c:pt>
                <c:pt idx="4">
                  <c:v>80.021475328436225</c:v>
                </c:pt>
                <c:pt idx="5">
                  <c:v>78.222143555061223</c:v>
                </c:pt>
                <c:pt idx="6">
                  <c:v>76.46445305668621</c:v>
                </c:pt>
                <c:pt idx="7">
                  <c:v>74.747346333311199</c:v>
                </c:pt>
                <c:pt idx="8">
                  <c:v>73.069765884936217</c:v>
                </c:pt>
                <c:pt idx="9">
                  <c:v>71.430654211561176</c:v>
                </c:pt>
                <c:pt idx="10">
                  <c:v>69.828953813186246</c:v>
                </c:pt>
                <c:pt idx="11">
                  <c:v>68.263607189811239</c:v>
                </c:pt>
                <c:pt idx="12">
                  <c:v>66.733556841436226</c:v>
                </c:pt>
                <c:pt idx="13">
                  <c:v>65.237745268061218</c:v>
                </c:pt>
                <c:pt idx="14">
                  <c:v>63.775114969686193</c:v>
                </c:pt>
                <c:pt idx="15">
                  <c:v>62.344608446311184</c:v>
                </c:pt>
                <c:pt idx="16">
                  <c:v>60.945168197936184</c:v>
                </c:pt>
                <c:pt idx="17">
                  <c:v>59.575736724561246</c:v>
                </c:pt>
                <c:pt idx="18">
                  <c:v>58.235256526186241</c:v>
                </c:pt>
                <c:pt idx="19">
                  <c:v>56.922670102811189</c:v>
                </c:pt>
                <c:pt idx="20">
                  <c:v>55.636919954436202</c:v>
                </c:pt>
                <c:pt idx="21">
                  <c:v>54.376948581061178</c:v>
                </c:pt>
                <c:pt idx="22">
                  <c:v>53.141698482686202</c:v>
                </c:pt>
                <c:pt idx="23">
                  <c:v>51.9301121593112</c:v>
                </c:pt>
                <c:pt idx="24">
                  <c:v>50.741132110936228</c:v>
                </c:pt>
                <c:pt idx="25">
                  <c:v>49.57370083756124</c:v>
                </c:pt>
                <c:pt idx="26">
                  <c:v>48.426760839186237</c:v>
                </c:pt>
                <c:pt idx="27">
                  <c:v>47.299254615811201</c:v>
                </c:pt>
                <c:pt idx="28">
                  <c:v>46.19012466743623</c:v>
                </c:pt>
                <c:pt idx="29">
                  <c:v>45.098313494061266</c:v>
                </c:pt>
                <c:pt idx="30">
                  <c:v>44.022763595686193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7E1-49DB-B2F7-78C61016E70B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'0.01M'!$K$5:$K$35</c:f>
              <c:numCache>
                <c:formatCode>0.0000</c:formatCode>
                <c:ptCount val="31"/>
                <c:pt idx="0">
                  <c:v>87.539470576906268</c:v>
                </c:pt>
                <c:pt idx="1">
                  <c:v>85.562998703531278</c:v>
                </c:pt>
                <c:pt idx="2">
                  <c:v>83.632398105156241</c:v>
                </c:pt>
                <c:pt idx="3">
                  <c:v>81.746611281781313</c:v>
                </c:pt>
                <c:pt idx="4">
                  <c:v>79.904580733406291</c:v>
                </c:pt>
                <c:pt idx="5">
                  <c:v>78.10524896003129</c:v>
                </c:pt>
                <c:pt idx="6">
                  <c:v>76.347558461656277</c:v>
                </c:pt>
                <c:pt idx="7">
                  <c:v>74.630451738281266</c:v>
                </c:pt>
                <c:pt idx="8">
                  <c:v>72.952871289906284</c:v>
                </c:pt>
                <c:pt idx="9">
                  <c:v>71.313759616531243</c:v>
                </c:pt>
                <c:pt idx="10">
                  <c:v>69.712059218156313</c:v>
                </c:pt>
                <c:pt idx="11">
                  <c:v>68.146712594781306</c:v>
                </c:pt>
                <c:pt idx="12">
                  <c:v>66.616662246406293</c:v>
                </c:pt>
                <c:pt idx="13">
                  <c:v>65.120850673031285</c:v>
                </c:pt>
                <c:pt idx="14">
                  <c:v>63.658220374656253</c:v>
                </c:pt>
                <c:pt idx="15">
                  <c:v>62.227713851281244</c:v>
                </c:pt>
                <c:pt idx="16">
                  <c:v>60.828273602906243</c:v>
                </c:pt>
                <c:pt idx="17">
                  <c:v>59.458842129531305</c:v>
                </c:pt>
                <c:pt idx="18">
                  <c:v>58.118361931156301</c:v>
                </c:pt>
                <c:pt idx="19">
                  <c:v>56.805775507781249</c:v>
                </c:pt>
                <c:pt idx="20">
                  <c:v>55.520025359406262</c:v>
                </c:pt>
                <c:pt idx="21">
                  <c:v>54.260053986031238</c:v>
                </c:pt>
                <c:pt idx="22">
                  <c:v>53.024803887656262</c:v>
                </c:pt>
                <c:pt idx="23">
                  <c:v>51.81321756428126</c:v>
                </c:pt>
                <c:pt idx="24">
                  <c:v>50.624237515906287</c:v>
                </c:pt>
                <c:pt idx="25">
                  <c:v>49.4568062425313</c:v>
                </c:pt>
                <c:pt idx="26">
                  <c:v>48.309866244156296</c:v>
                </c:pt>
                <c:pt idx="27">
                  <c:v>47.18236002078126</c:v>
                </c:pt>
                <c:pt idx="28">
                  <c:v>46.07323007240629</c:v>
                </c:pt>
                <c:pt idx="29">
                  <c:v>44.981418899031326</c:v>
                </c:pt>
                <c:pt idx="30">
                  <c:v>43.905869000656253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7E1-49DB-B2F7-78C61016E70B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'0.1M'!$K$5:$K$35</c:f>
              <c:numCache>
                <c:formatCode>0.0000</c:formatCode>
                <c:ptCount val="31"/>
                <c:pt idx="0">
                  <c:v>86.379984046966257</c:v>
                </c:pt>
                <c:pt idx="1">
                  <c:v>84.403512173591267</c:v>
                </c:pt>
                <c:pt idx="2">
                  <c:v>82.47291157521623</c:v>
                </c:pt>
                <c:pt idx="3">
                  <c:v>80.587124751841301</c:v>
                </c:pt>
                <c:pt idx="4">
                  <c:v>78.74509420346628</c:v>
                </c:pt>
                <c:pt idx="5">
                  <c:v>76.945762430091278</c:v>
                </c:pt>
                <c:pt idx="6">
                  <c:v>75.188071931716266</c:v>
                </c:pt>
                <c:pt idx="7">
                  <c:v>73.470965208341255</c:v>
                </c:pt>
                <c:pt idx="8">
                  <c:v>71.793384759966273</c:v>
                </c:pt>
                <c:pt idx="9">
                  <c:v>70.154273086591232</c:v>
                </c:pt>
                <c:pt idx="10">
                  <c:v>68.552572688216301</c:v>
                </c:pt>
                <c:pt idx="11">
                  <c:v>66.987226064841295</c:v>
                </c:pt>
                <c:pt idx="12">
                  <c:v>65.457175716466281</c:v>
                </c:pt>
                <c:pt idx="13">
                  <c:v>63.961364143091274</c:v>
                </c:pt>
                <c:pt idx="14">
                  <c:v>62.498733844716256</c:v>
                </c:pt>
                <c:pt idx="15">
                  <c:v>61.068227321341247</c:v>
                </c:pt>
                <c:pt idx="16">
                  <c:v>59.668787072966246</c:v>
                </c:pt>
                <c:pt idx="17">
                  <c:v>58.299355599591308</c:v>
                </c:pt>
                <c:pt idx="18">
                  <c:v>56.958875401216304</c:v>
                </c:pt>
                <c:pt idx="19">
                  <c:v>55.646288977841252</c:v>
                </c:pt>
                <c:pt idx="20">
                  <c:v>54.360538829466265</c:v>
                </c:pt>
                <c:pt idx="21">
                  <c:v>53.100567456091241</c:v>
                </c:pt>
                <c:pt idx="22">
                  <c:v>51.865317357716265</c:v>
                </c:pt>
                <c:pt idx="23">
                  <c:v>50.653731034341263</c:v>
                </c:pt>
                <c:pt idx="24">
                  <c:v>49.46475098596629</c:v>
                </c:pt>
                <c:pt idx="25">
                  <c:v>48.297319712591303</c:v>
                </c:pt>
                <c:pt idx="26">
                  <c:v>47.150379714216299</c:v>
                </c:pt>
                <c:pt idx="27">
                  <c:v>46.022873490841263</c:v>
                </c:pt>
                <c:pt idx="28">
                  <c:v>44.913743542466293</c:v>
                </c:pt>
                <c:pt idx="29">
                  <c:v>43.821932369091328</c:v>
                </c:pt>
                <c:pt idx="30">
                  <c:v>42.746382470716256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7E1-49DB-B2F7-78C61016E70B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'0.5M'!$K$5:$K$35</c:f>
              <c:numCache>
                <c:formatCode>0.0000</c:formatCode>
                <c:ptCount val="31"/>
                <c:pt idx="0">
                  <c:v>81.43185660696625</c:v>
                </c:pt>
                <c:pt idx="1">
                  <c:v>79.455384733591259</c:v>
                </c:pt>
                <c:pt idx="2">
                  <c:v>77.524784135216223</c:v>
                </c:pt>
                <c:pt idx="3">
                  <c:v>75.638997311841294</c:v>
                </c:pt>
                <c:pt idx="4">
                  <c:v>73.796966763466273</c:v>
                </c:pt>
                <c:pt idx="5">
                  <c:v>71.997634990091271</c:v>
                </c:pt>
                <c:pt idx="6">
                  <c:v>70.239944491716258</c:v>
                </c:pt>
                <c:pt idx="7">
                  <c:v>68.522837768341248</c:v>
                </c:pt>
                <c:pt idx="8">
                  <c:v>66.845257319966265</c:v>
                </c:pt>
                <c:pt idx="9">
                  <c:v>65.206145646591224</c:v>
                </c:pt>
                <c:pt idx="10">
                  <c:v>63.604445248216301</c:v>
                </c:pt>
                <c:pt idx="11">
                  <c:v>62.039098624841294</c:v>
                </c:pt>
                <c:pt idx="12">
                  <c:v>60.509048276466281</c:v>
                </c:pt>
                <c:pt idx="13">
                  <c:v>59.013236703091273</c:v>
                </c:pt>
                <c:pt idx="14">
                  <c:v>57.550606404716255</c:v>
                </c:pt>
                <c:pt idx="15">
                  <c:v>56.120099881341247</c:v>
                </c:pt>
                <c:pt idx="16">
                  <c:v>54.720659632966246</c:v>
                </c:pt>
                <c:pt idx="17">
                  <c:v>53.351228159591308</c:v>
                </c:pt>
                <c:pt idx="18">
                  <c:v>52.010747961216303</c:v>
                </c:pt>
                <c:pt idx="19">
                  <c:v>50.698161537841251</c:v>
                </c:pt>
                <c:pt idx="20">
                  <c:v>49.412411389466264</c:v>
                </c:pt>
                <c:pt idx="21">
                  <c:v>48.152440016091241</c:v>
                </c:pt>
                <c:pt idx="22">
                  <c:v>46.917189917716264</c:v>
                </c:pt>
                <c:pt idx="23">
                  <c:v>45.705603594341262</c:v>
                </c:pt>
                <c:pt idx="24">
                  <c:v>44.51662354596629</c:v>
                </c:pt>
                <c:pt idx="25">
                  <c:v>43.349192272591303</c:v>
                </c:pt>
                <c:pt idx="26">
                  <c:v>42.202252274216299</c:v>
                </c:pt>
                <c:pt idx="27">
                  <c:v>41.074746050841263</c:v>
                </c:pt>
                <c:pt idx="28">
                  <c:v>39.965616102466292</c:v>
                </c:pt>
                <c:pt idx="29">
                  <c:v>38.873804929091328</c:v>
                </c:pt>
                <c:pt idx="30">
                  <c:v>37.798255030716255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7E1-49DB-B2F7-78C61016E70B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'1M'!$K$5:$K$35</c:f>
              <c:numCache>
                <c:formatCode>0.0000</c:formatCode>
                <c:ptCount val="31"/>
                <c:pt idx="0">
                  <c:v>75.704304106966248</c:v>
                </c:pt>
                <c:pt idx="1">
                  <c:v>73.727832233591258</c:v>
                </c:pt>
                <c:pt idx="2">
                  <c:v>71.797231635216221</c:v>
                </c:pt>
                <c:pt idx="3">
                  <c:v>69.911444811841292</c:v>
                </c:pt>
                <c:pt idx="4">
                  <c:v>68.069414263466271</c:v>
                </c:pt>
                <c:pt idx="5">
                  <c:v>66.270082490091269</c:v>
                </c:pt>
                <c:pt idx="6">
                  <c:v>64.512391991716257</c:v>
                </c:pt>
                <c:pt idx="7">
                  <c:v>62.795285268341253</c:v>
                </c:pt>
                <c:pt idx="8">
                  <c:v>61.117704819966271</c:v>
                </c:pt>
                <c:pt idx="9">
                  <c:v>59.47859314659123</c:v>
                </c:pt>
                <c:pt idx="10">
                  <c:v>57.876892748216299</c:v>
                </c:pt>
                <c:pt idx="11">
                  <c:v>56.311546124841293</c:v>
                </c:pt>
                <c:pt idx="12">
                  <c:v>54.781495776466279</c:v>
                </c:pt>
                <c:pt idx="13">
                  <c:v>53.285684203091272</c:v>
                </c:pt>
                <c:pt idx="14">
                  <c:v>51.823053904716254</c:v>
                </c:pt>
                <c:pt idx="15">
                  <c:v>50.392547381341245</c:v>
                </c:pt>
                <c:pt idx="16">
                  <c:v>48.993107132966244</c:v>
                </c:pt>
                <c:pt idx="17">
                  <c:v>47.623675659591306</c:v>
                </c:pt>
                <c:pt idx="18">
                  <c:v>46.283195461216302</c:v>
                </c:pt>
                <c:pt idx="19">
                  <c:v>44.97060903784125</c:v>
                </c:pt>
                <c:pt idx="20">
                  <c:v>43.684858889466263</c:v>
                </c:pt>
                <c:pt idx="21">
                  <c:v>42.424887516091239</c:v>
                </c:pt>
                <c:pt idx="22">
                  <c:v>41.189637417716263</c:v>
                </c:pt>
                <c:pt idx="23">
                  <c:v>39.978051094341261</c:v>
                </c:pt>
                <c:pt idx="24">
                  <c:v>38.789071045966288</c:v>
                </c:pt>
                <c:pt idx="25">
                  <c:v>37.621639772591301</c:v>
                </c:pt>
                <c:pt idx="26">
                  <c:v>36.474699774216297</c:v>
                </c:pt>
                <c:pt idx="27">
                  <c:v>35.347193550841261</c:v>
                </c:pt>
                <c:pt idx="28">
                  <c:v>34.238063602466291</c:v>
                </c:pt>
                <c:pt idx="29">
                  <c:v>33.146252429091327</c:v>
                </c:pt>
                <c:pt idx="30">
                  <c:v>32.070702530716254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7E1-49DB-B2F7-78C61016E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05760"/>
        <c:axId val="204006152"/>
      </c:scatterChart>
      <c:valAx>
        <c:axId val="204005760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6152"/>
        <c:crossesAt val="0"/>
        <c:crossBetween val="midCat"/>
        <c:majorUnit val="20"/>
        <c:minorUnit val="10"/>
      </c:valAx>
      <c:valAx>
        <c:axId val="204006152"/>
        <c:scaling>
          <c:orientation val="minMax"/>
          <c:max val="100"/>
          <c:min val="30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relative permittivity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(-)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1090686864251298E-2"/>
              <c:y val="9.49266497779747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4005760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4121803962319766"/>
          <c:y val="4.2599974874903135E-2"/>
          <c:w val="0.18281140031640808"/>
          <c:h val="0.35473528065325471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3.2342238856115334E-2"/>
          <c:w val="0.76695217054702691"/>
          <c:h val="0.83479928252607549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'1e-5M'!$L$5:$L$35</c:f>
              <c:numCache>
                <c:formatCode>0.000E+00</c:formatCode>
                <c:ptCount val="31"/>
                <c:pt idx="0">
                  <c:v>1.775129194440131E-3</c:v>
                </c:pt>
                <c:pt idx="1">
                  <c:v>1.5039153935108168E-3</c:v>
                </c:pt>
                <c:pt idx="2">
                  <c:v>1.290868224964121E-3</c:v>
                </c:pt>
                <c:pt idx="3">
                  <c:v>1.121348318582761E-3</c:v>
                </c:pt>
                <c:pt idx="4">
                  <c:v>9.8468057767325985E-4</c:v>
                </c:pt>
                <c:pt idx="5">
                  <c:v>8.7304984229625269E-4</c:v>
                </c:pt>
                <c:pt idx="6">
                  <c:v>7.8070734689798555E-4</c:v>
                </c:pt>
                <c:pt idx="7">
                  <c:v>7.0340019101138159E-4</c:v>
                </c:pt>
                <c:pt idx="8">
                  <c:v>6.3796086576992604E-4</c:v>
                </c:pt>
                <c:pt idx="9">
                  <c:v>5.8201167990231761E-4</c:v>
                </c:pt>
                <c:pt idx="10">
                  <c:v>5.3375169391624332E-4</c:v>
                </c:pt>
                <c:pt idx="11">
                  <c:v>4.9180292525690175E-4</c:v>
                </c:pt>
                <c:pt idx="12">
                  <c:v>4.5509915204847157E-4</c:v>
                </c:pt>
                <c:pt idx="13">
                  <c:v>4.2280535119065734E-4</c:v>
                </c:pt>
                <c:pt idx="14">
                  <c:v>3.9425918338383703E-4</c:v>
                </c:pt>
                <c:pt idx="15">
                  <c:v>3.6892835975226956E-4</c:v>
                </c:pt>
                <c:pt idx="16">
                  <c:v>3.4637946220453638E-4</c:v>
                </c:pt>
                <c:pt idx="17">
                  <c:v>3.2625503617392915E-4</c:v>
                </c:pt>
                <c:pt idx="18">
                  <c:v>3.0825666878416913E-4</c:v>
                </c:pt>
                <c:pt idx="19">
                  <c:v>2.9213240736336539E-4</c:v>
                </c:pt>
                <c:pt idx="20">
                  <c:v>2.7766733398523004E-4</c:v>
                </c:pt>
                <c:pt idx="21">
                  <c:v>2.6467644255454118E-4</c:v>
                </c:pt>
                <c:pt idx="22">
                  <c:v>2.5299920259234634E-4</c:v>
                </c:pt>
                <c:pt idx="23">
                  <c:v>2.4249536464787357E-4</c:v>
                </c:pt>
                <c:pt idx="24">
                  <c:v>2.330416850534397E-4</c:v>
                </c:pt>
                <c:pt idx="25">
                  <c:v>2.245293360902872E-4</c:v>
                </c:pt>
                <c:pt idx="26">
                  <c:v>2.1686183126214616E-4</c:v>
                </c:pt>
                <c:pt idx="27">
                  <c:v>2.0995334124815885E-4</c:v>
                </c:pt>
                <c:pt idx="28">
                  <c:v>2.0372730922701331E-4</c:v>
                </c:pt>
                <c:pt idx="29">
                  <c:v>1.9811529821678447E-4</c:v>
                </c:pt>
                <c:pt idx="30">
                  <c:v>1.9305602043425698E-4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A-411A-9314-E095D5C40660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'0.0001M'!$E$5:$E$35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'0.0001M'!$L$5:$L$35</c:f>
              <c:numCache>
                <c:formatCode>0.000E+00</c:formatCode>
                <c:ptCount val="31"/>
                <c:pt idx="0">
                  <c:v>1.7751424645244787E-3</c:v>
                </c:pt>
                <c:pt idx="1">
                  <c:v>1.5039274857084012E-3</c:v>
                </c:pt>
                <c:pt idx="2">
                  <c:v>1.2908792590918387E-3</c:v>
                </c:pt>
                <c:pt idx="3">
                  <c:v>1.1213584014836641E-3</c:v>
                </c:pt>
                <c:pt idx="4">
                  <c:v>9.8468980484488948E-4</c:v>
                </c:pt>
                <c:pt idx="5">
                  <c:v>8.7305829924847855E-4</c:v>
                </c:pt>
                <c:pt idx="6">
                  <c:v>7.8071511030539521E-4</c:v>
                </c:pt>
                <c:pt idx="7">
                  <c:v>7.0340732970410535E-4</c:v>
                </c:pt>
                <c:pt idx="8">
                  <c:v>6.3796744159384116E-4</c:v>
                </c:pt>
                <c:pt idx="9">
                  <c:v>5.8201774847133785E-4</c:v>
                </c:pt>
                <c:pt idx="10">
                  <c:v>5.337573052739199E-4</c:v>
                </c:pt>
                <c:pt idx="11">
                  <c:v>4.9180812446079772E-4</c:v>
                </c:pt>
                <c:pt idx="12">
                  <c:v>4.5510397968809047E-4</c:v>
                </c:pt>
                <c:pt idx="13">
                  <c:v>4.2280984384773535E-4</c:v>
                </c:pt>
                <c:pt idx="14">
                  <c:v>3.9426337404231627E-4</c:v>
                </c:pt>
                <c:pt idx="15">
                  <c:v>3.6893227816411851E-4</c:v>
                </c:pt>
                <c:pt idx="16">
                  <c:v>3.4638313521666731E-4</c:v>
                </c:pt>
                <c:pt idx="17">
                  <c:v>3.2625848802072394E-4</c:v>
                </c:pt>
                <c:pt idx="18">
                  <c:v>3.0825992134951883E-4</c:v>
                </c:pt>
                <c:pt idx="19">
                  <c:v>2.9213548041562423E-4</c:v>
                </c:pt>
                <c:pt idx="20">
                  <c:v>2.7767024538806115E-4</c:v>
                </c:pt>
                <c:pt idx="21">
                  <c:v>2.6467920845626866E-4</c:v>
                </c:pt>
                <c:pt idx="22">
                  <c:v>2.5300183759611978E-4</c:v>
                </c:pt>
                <c:pt idx="23">
                  <c:v>2.4249788196468414E-4</c:v>
                </c:pt>
                <c:pt idx="24">
                  <c:v>2.3304409663979527E-4</c:v>
                </c:pt>
                <c:pt idx="25">
                  <c:v>2.2453165277215136E-4</c:v>
                </c:pt>
                <c:pt idx="26">
                  <c:v>2.1686406284657001E-4</c:v>
                </c:pt>
                <c:pt idx="27">
                  <c:v>2.0995549662387747E-4</c:v>
                </c:pt>
                <c:pt idx="28">
                  <c:v>2.0372939645514404E-4</c:v>
                </c:pt>
                <c:pt idx="29">
                  <c:v>1.9811732461264109E-4</c:v>
                </c:pt>
                <c:pt idx="30">
                  <c:v>1.9305799264118822E-4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A-411A-9314-E095D5C40660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'0.001M'!$E$5:$E$35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'0.001M'!$L$5:$L$35</c:f>
              <c:numCache>
                <c:formatCode>0.000E+00</c:formatCode>
                <c:ptCount val="31"/>
                <c:pt idx="0">
                  <c:v>1.77527517756262E-3</c:v>
                </c:pt>
                <c:pt idx="1">
                  <c:v>1.5040484188036081E-3</c:v>
                </c:pt>
                <c:pt idx="2">
                  <c:v>1.2909896105253646E-3</c:v>
                </c:pt>
                <c:pt idx="3">
                  <c:v>1.1214592397853899E-3</c:v>
                </c:pt>
                <c:pt idx="4">
                  <c:v>9.8478208507849462E-4</c:v>
                </c:pt>
                <c:pt idx="5">
                  <c:v>8.7314287659130132E-4</c:v>
                </c:pt>
                <c:pt idx="6">
                  <c:v>7.8079275157354785E-4</c:v>
                </c:pt>
                <c:pt idx="7">
                  <c:v>7.0347872326172742E-4</c:v>
                </c:pt>
                <c:pt idx="8">
                  <c:v>6.3803320595602359E-4</c:v>
                </c:pt>
                <c:pt idx="9">
                  <c:v>5.8207843982775623E-4</c:v>
                </c:pt>
                <c:pt idx="10">
                  <c:v>5.3381342410548603E-4</c:v>
                </c:pt>
                <c:pt idx="11">
                  <c:v>4.9186012138397036E-4</c:v>
                </c:pt>
                <c:pt idx="12">
                  <c:v>4.551522606346572E-4</c:v>
                </c:pt>
                <c:pt idx="13">
                  <c:v>4.2285477466816275E-4</c:v>
                </c:pt>
                <c:pt idx="14">
                  <c:v>3.9430528460587106E-4</c:v>
                </c:pt>
                <c:pt idx="15">
                  <c:v>3.6897146601741303E-4</c:v>
                </c:pt>
                <c:pt idx="16">
                  <c:v>3.4641986885313461E-4</c:v>
                </c:pt>
                <c:pt idx="17">
                  <c:v>3.2629300980614414E-4</c:v>
                </c:pt>
                <c:pt idx="18">
                  <c:v>3.0829245014265448E-4</c:v>
                </c:pt>
                <c:pt idx="19">
                  <c:v>2.9216621391797779E-4</c:v>
                </c:pt>
                <c:pt idx="20">
                  <c:v>2.776993622525215E-4</c:v>
                </c:pt>
                <c:pt idx="21">
                  <c:v>2.6470687018080331E-4</c:v>
                </c:pt>
                <c:pt idx="22">
                  <c:v>2.530281902255748E-4</c:v>
                </c:pt>
                <c:pt idx="23">
                  <c:v>2.4252305762108379E-4</c:v>
                </c:pt>
                <c:pt idx="24">
                  <c:v>2.330682148992166E-4</c:v>
                </c:pt>
                <c:pt idx="25">
                  <c:v>2.2455482190422696E-4</c:v>
                </c:pt>
                <c:pt idx="26">
                  <c:v>2.1688638093090356E-4</c:v>
                </c:pt>
                <c:pt idx="27">
                  <c:v>2.09977052556103E-4</c:v>
                </c:pt>
                <c:pt idx="28">
                  <c:v>2.0375027085398786E-4</c:v>
                </c:pt>
                <c:pt idx="29">
                  <c:v>1.9813759063813866E-4</c:v>
                </c:pt>
                <c:pt idx="30">
                  <c:v>1.9307771673313594E-4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2CA-411A-9314-E095D5C40660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'0.01M'!$L$5:$L$35</c:f>
              <c:numCache>
                <c:formatCode>0.000E+00</c:formatCode>
                <c:ptCount val="31"/>
                <c:pt idx="0">
                  <c:v>1.7766035283529932E-3</c:v>
                </c:pt>
                <c:pt idx="1">
                  <c:v>1.505258862552107E-3</c:v>
                </c:pt>
                <c:pt idx="2">
                  <c:v>1.2920941412816532E-3</c:v>
                </c:pt>
                <c:pt idx="3">
                  <c:v>1.1224685527922533E-3</c:v>
                </c:pt>
                <c:pt idx="4">
                  <c:v>9.857057398062574E-4</c:v>
                </c:pt>
                <c:pt idx="5">
                  <c:v>8.7398943268375193E-4</c:v>
                </c:pt>
                <c:pt idx="6">
                  <c:v>7.8156988422054051E-4</c:v>
                </c:pt>
                <c:pt idx="7">
                  <c:v>7.0419332239365494E-4</c:v>
                </c:pt>
                <c:pt idx="8">
                  <c:v>6.3869146235976814E-4</c:v>
                </c:pt>
                <c:pt idx="9">
                  <c:v>5.8268592045754633E-4</c:v>
                </c:pt>
                <c:pt idx="10">
                  <c:v>5.3437513831400393E-4</c:v>
                </c:pt>
                <c:pt idx="11">
                  <c:v>4.9238057942179879E-4</c:v>
                </c:pt>
                <c:pt idx="12">
                  <c:v>4.5563552549749157E-4</c:v>
                </c:pt>
                <c:pt idx="13">
                  <c:v>4.2330450817382008E-4</c:v>
                </c:pt>
                <c:pt idx="14">
                  <c:v>3.9472478843393413E-4</c:v>
                </c:pt>
                <c:pt idx="15">
                  <c:v>3.693637183287392E-4</c:v>
                </c:pt>
                <c:pt idx="16">
                  <c:v>3.467875570148671E-4</c:v>
                </c:pt>
                <c:pt idx="17">
                  <c:v>3.2663855967390718E-4</c:v>
                </c:pt>
                <c:pt idx="18">
                  <c:v>3.0861805229092097E-4</c:v>
                </c:pt>
                <c:pt idx="19">
                  <c:v>2.9247384715909566E-4</c:v>
                </c:pt>
                <c:pt idx="20">
                  <c:v>2.7799081474236563E-4</c:v>
                </c:pt>
                <c:pt idx="21">
                  <c:v>2.649837583728799E-4</c:v>
                </c:pt>
                <c:pt idx="22">
                  <c:v>2.532919759044272E-4</c:v>
                </c:pt>
                <c:pt idx="23">
                  <c:v>2.4277506321911994E-4</c:v>
                </c:pt>
                <c:pt idx="24">
                  <c:v>2.3330963727787856E-4</c:v>
                </c:pt>
                <c:pt idx="25">
                  <c:v>2.2478674476019678E-4</c:v>
                </c:pt>
                <c:pt idx="26">
                  <c:v>2.1710978597032438E-4</c:v>
                </c:pt>
                <c:pt idx="27">
                  <c:v>2.1019282956423691E-4</c:v>
                </c:pt>
                <c:pt idx="28">
                  <c:v>2.0395922677402233E-4</c:v>
                </c:pt>
                <c:pt idx="29">
                  <c:v>1.9834045776074527E-4</c:v>
                </c:pt>
                <c:pt idx="30">
                  <c:v>1.9327516008767027E-4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2CA-411A-9314-E095D5C40660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'0.1M'!$L$5:$L$35</c:f>
              <c:numCache>
                <c:formatCode>0.000E+00</c:formatCode>
                <c:ptCount val="31"/>
                <c:pt idx="0">
                  <c:v>1.7900100262562676E-3</c:v>
                </c:pt>
                <c:pt idx="1">
                  <c:v>1.5174754455915252E-3</c:v>
                </c:pt>
                <c:pt idx="2">
                  <c:v>1.3032418825459999E-3</c:v>
                </c:pt>
                <c:pt idx="3">
                  <c:v>1.1326554069154119E-3</c:v>
                </c:pt>
                <c:pt idx="4">
                  <c:v>9.9502819174770909E-4</c:v>
                </c:pt>
                <c:pt idx="5">
                  <c:v>8.8253387204650566E-4</c:v>
                </c:pt>
                <c:pt idx="6">
                  <c:v>7.8941377122841152E-4</c:v>
                </c:pt>
                <c:pt idx="7">
                  <c:v>7.1140619011580844E-4</c:v>
                </c:pt>
                <c:pt idx="8">
                  <c:v>6.4533578661310812E-4</c:v>
                </c:pt>
                <c:pt idx="9">
                  <c:v>5.8881788042947471E-4</c:v>
                </c:pt>
                <c:pt idx="10">
                  <c:v>5.4004528538494111E-4</c:v>
                </c:pt>
                <c:pt idx="11">
                  <c:v>4.9763442783902988E-4</c:v>
                </c:pt>
                <c:pt idx="12">
                  <c:v>4.6051407582683198E-4</c:v>
                </c:pt>
                <c:pt idx="13">
                  <c:v>4.2784471245412286E-4</c:v>
                </c:pt>
                <c:pt idx="14">
                  <c:v>3.989599644474131E-4</c:v>
                </c:pt>
                <c:pt idx="15">
                  <c:v>3.7332391922874483E-4</c:v>
                </c:pt>
                <c:pt idx="16">
                  <c:v>3.5049990162515409E-4</c:v>
                </c:pt>
                <c:pt idx="17">
                  <c:v>3.3012752802472067E-4</c:v>
                </c:pt>
                <c:pt idx="18">
                  <c:v>3.1190575034296584E-4</c:v>
                </c:pt>
                <c:pt idx="19">
                  <c:v>2.955802441554774E-4</c:v>
                </c:pt>
                <c:pt idx="20">
                  <c:v>2.8093395619855629E-4</c:v>
                </c:pt>
                <c:pt idx="21">
                  <c:v>2.6777995734928031E-4</c:v>
                </c:pt>
                <c:pt idx="22">
                  <c:v>2.5595598489294274E-4</c:v>
                </c:pt>
                <c:pt idx="23">
                  <c:v>2.4532022870498452E-4</c:v>
                </c:pt>
                <c:pt idx="24">
                  <c:v>2.3574803880353488E-4</c:v>
                </c:pt>
                <c:pt idx="25">
                  <c:v>2.2712932011364307E-4</c:v>
                </c:pt>
                <c:pt idx="26">
                  <c:v>2.193664439414103E-4</c:v>
                </c:pt>
                <c:pt idx="27">
                  <c:v>2.1237255155521887E-4</c:v>
                </c:pt>
                <c:pt idx="28">
                  <c:v>2.0607015841223535E-4</c:v>
                </c:pt>
                <c:pt idx="29">
                  <c:v>2.0038999153898135E-4</c:v>
                </c:pt>
                <c:pt idx="30">
                  <c:v>1.9527000994966093E-4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2CA-411A-9314-E095D5C40660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'0.5M'!$L$5:$L$35</c:f>
              <c:numCache>
                <c:formatCode>0.000E+00</c:formatCode>
                <c:ptCount val="31"/>
                <c:pt idx="0">
                  <c:v>9.2620397579071343E-4</c:v>
                </c:pt>
                <c:pt idx="1">
                  <c:v>7.8716842174600225E-4</c:v>
                </c:pt>
                <c:pt idx="2">
                  <c:v>6.7756539039350147E-4</c:v>
                </c:pt>
                <c:pt idx="3">
                  <c:v>5.9003726943796517E-4</c:v>
                </c:pt>
                <c:pt idx="4">
                  <c:v>5.1921337428159761E-4</c:v>
                </c:pt>
                <c:pt idx="5">
                  <c:v>4.6115697613655809E-4</c:v>
                </c:pt>
                <c:pt idx="6">
                  <c:v>4.1296792218850528E-4</c:v>
                </c:pt>
                <c:pt idx="7">
                  <c:v>3.7249689347286784E-4</c:v>
                </c:pt>
                <c:pt idx="8">
                  <c:v>3.3813978296423489E-4</c:v>
                </c:pt>
                <c:pt idx="9">
                  <c:v>3.0868959095617284E-4</c:v>
                </c:pt>
                <c:pt idx="10">
                  <c:v>2.8322962568531191E-4</c:v>
                </c:pt>
                <c:pt idx="11">
                  <c:v>2.6105637932242245E-4</c:v>
                </c:pt>
                <c:pt idx="12">
                  <c:v>2.4162373512258604E-4</c:v>
                </c:pt>
                <c:pt idx="13">
                  <c:v>2.245025177447404E-4</c:v>
                </c:pt>
                <c:pt idx="14">
                  <c:v>2.0935108859517789E-4</c:v>
                </c:pt>
                <c:pt idx="15">
                  <c:v>1.9589390010149449E-4</c:v>
                </c:pt>
                <c:pt idx="16">
                  <c:v>1.8390579227574416E-4</c:v>
                </c:pt>
                <c:pt idx="17">
                  <c:v>1.7320043870320211E-4</c:v>
                </c:pt>
                <c:pt idx="18">
                  <c:v>1.636217966892236E-4</c:v>
                </c:pt>
                <c:pt idx="19">
                  <c:v>1.5503773753829751E-4</c:v>
                </c:pt>
                <c:pt idx="20">
                  <c:v>1.4733526355445155E-4</c:v>
                </c:pt>
                <c:pt idx="21">
                  <c:v>1.4041688395995591E-4</c:v>
                </c:pt>
                <c:pt idx="22">
                  <c:v>1.341978409013255E-4</c:v>
                </c:pt>
                <c:pt idx="23">
                  <c:v>1.2860396222275268E-4</c:v>
                </c:pt>
                <c:pt idx="24">
                  <c:v>1.2356997918592093E-4</c:v>
                </c:pt>
                <c:pt idx="25">
                  <c:v>1.1903819157840067E-4</c:v>
                </c:pt>
                <c:pt idx="26">
                  <c:v>1.1495739454131703E-4</c:v>
                </c:pt>
                <c:pt idx="27">
                  <c:v>1.1128200444761927E-4</c:v>
                </c:pt>
                <c:pt idx="28">
                  <c:v>1.0797133777671891E-4</c:v>
                </c:pt>
                <c:pt idx="29">
                  <c:v>1.0498900895455611E-4</c:v>
                </c:pt>
                <c:pt idx="30">
                  <c:v>1.0230242184859238E-4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2CA-411A-9314-E095D5C40660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'1M'!$L$5:$L$35</c:f>
              <c:numCache>
                <c:formatCode>0.000E+00</c:formatCode>
                <c:ptCount val="31"/>
                <c:pt idx="0">
                  <c:v>1.9373927224481894E-3</c:v>
                </c:pt>
                <c:pt idx="1">
                  <c:v>1.6517852908570782E-3</c:v>
                </c:pt>
                <c:pt idx="2">
                  <c:v>1.4258124061192669E-3</c:v>
                </c:pt>
                <c:pt idx="3">
                  <c:v>1.2446747623203408E-3</c:v>
                </c:pt>
                <c:pt idx="4">
                  <c:v>1.0975576651163297E-3</c:v>
                </c:pt>
                <c:pt idx="5">
                  <c:v>9.7652325059235381E-4</c:v>
                </c:pt>
                <c:pt idx="6">
                  <c:v>8.7571434086571617E-4</c:v>
                </c:pt>
                <c:pt idx="7">
                  <c:v>7.907818786533229E-4</c:v>
                </c:pt>
                <c:pt idx="8">
                  <c:v>7.1847281496049151E-4</c:v>
                </c:pt>
                <c:pt idx="9">
                  <c:v>6.5633318632413444E-4</c:v>
                </c:pt>
                <c:pt idx="10">
                  <c:v>6.0249391938343143E-4</c:v>
                </c:pt>
                <c:pt idx="11">
                  <c:v>5.5551607689813991E-4</c:v>
                </c:pt>
                <c:pt idx="12">
                  <c:v>5.1427883828844599E-4</c:v>
                </c:pt>
                <c:pt idx="13">
                  <c:v>4.7789822519039881E-4</c:v>
                </c:pt>
                <c:pt idx="14">
                  <c:v>4.4566796557042582E-4</c:v>
                </c:pt>
                <c:pt idx="15">
                  <c:v>4.1701631637795365E-4</c:v>
                </c:pt>
                <c:pt idx="16">
                  <c:v>3.9147440528141325E-4</c:v>
                </c:pt>
                <c:pt idx="17">
                  <c:v>3.6865290080278698E-4</c:v>
                </c:pt>
                <c:pt idx="18">
                  <c:v>3.4822471626694198E-4</c:v>
                </c:pt>
                <c:pt idx="19">
                  <c:v>3.2991209616033802E-4</c:v>
                </c:pt>
                <c:pt idx="20">
                  <c:v>3.1347689526604991E-4</c:v>
                </c:pt>
                <c:pt idx="21">
                  <c:v>2.9871319258822107E-4</c:v>
                </c:pt>
                <c:pt idx="22">
                  <c:v>2.8544162037058747E-4</c:v>
                </c:pt>
                <c:pt idx="23">
                  <c:v>2.7350495982023625E-4</c:v>
                </c:pt>
                <c:pt idx="24">
                  <c:v>2.6276467838086875E-4</c:v>
                </c:pt>
                <c:pt idx="25">
                  <c:v>2.5309817212347096E-4</c:v>
                </c:pt>
                <c:pt idx="26">
                  <c:v>2.443965407658618E-4</c:v>
                </c:pt>
                <c:pt idx="27">
                  <c:v>2.3656276897576227E-4</c:v>
                </c:pt>
                <c:pt idx="28">
                  <c:v>2.2951022096261376E-4</c:v>
                </c:pt>
                <c:pt idx="29">
                  <c:v>2.2316137951497965E-4</c:v>
                </c:pt>
                <c:pt idx="30">
                  <c:v>2.1744677817233665E-4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2CA-411A-9314-E095D5C40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10512"/>
        <c:axId val="235510904"/>
      </c:scatterChart>
      <c:valAx>
        <c:axId val="235510512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0904"/>
        <c:crossesAt val="0"/>
        <c:crossBetween val="midCat"/>
        <c:majorUnit val="20"/>
        <c:minorUnit val="10"/>
      </c:valAx>
      <c:valAx>
        <c:axId val="235510904"/>
        <c:scaling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viscosity (Pa.s)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8.4108876570761718E-3"/>
              <c:y val="0.170578492620871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0512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4121803962319766"/>
          <c:y val="4.2642946894848537E-2"/>
          <c:w val="0.18519874760137392"/>
          <c:h val="0.34990643962072937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09414830340449"/>
          <c:y val="4.0199034083907841E-2"/>
          <c:w val="0.76695217054702691"/>
          <c:h val="0.8269064557996143"/>
        </c:manualLayout>
      </c:layout>
      <c:scatterChart>
        <c:scatterStyle val="lineMarker"/>
        <c:varyColors val="0"/>
        <c:ser>
          <c:idx val="3"/>
          <c:order val="0"/>
          <c:tx>
            <c:v>0.00001 M</c:v>
          </c:tx>
          <c:spPr>
            <a:ln w="38100" cmpd="sng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'1e-5M'!$M$5:$M$35</c:f>
              <c:numCache>
                <c:formatCode>0.000E+00</c:formatCode>
                <c:ptCount val="31"/>
                <c:pt idx="0">
                  <c:v>5.5925420717065695E-5</c:v>
                </c:pt>
                <c:pt idx="1">
                  <c:v>6.9372278028484146E-5</c:v>
                </c:pt>
                <c:pt idx="2">
                  <c:v>8.2744135339902594E-5</c:v>
                </c:pt>
                <c:pt idx="3">
                  <c:v>9.6040992651321027E-5</c:v>
                </c:pt>
                <c:pt idx="4">
                  <c:v>1.0926284996273946E-4</c:v>
                </c:pt>
                <c:pt idx="5">
                  <c:v>1.2240970727415791E-4</c:v>
                </c:pt>
                <c:pt idx="6">
                  <c:v>1.3548156458557636E-4</c:v>
                </c:pt>
                <c:pt idx="7">
                  <c:v>1.4847842189699481E-4</c:v>
                </c:pt>
                <c:pt idx="8">
                  <c:v>1.6140027920841325E-4</c:v>
                </c:pt>
                <c:pt idx="9">
                  <c:v>1.7424713651983169E-4</c:v>
                </c:pt>
                <c:pt idx="10">
                  <c:v>1.8701899383125013E-4</c:v>
                </c:pt>
                <c:pt idx="11">
                  <c:v>1.997158511426686E-4</c:v>
                </c:pt>
                <c:pt idx="12">
                  <c:v>2.1233770845408706E-4</c:v>
                </c:pt>
                <c:pt idx="13">
                  <c:v>2.2488456576550545E-4</c:v>
                </c:pt>
                <c:pt idx="14">
                  <c:v>2.373564230769239E-4</c:v>
                </c:pt>
                <c:pt idx="15">
                  <c:v>2.4975328038834234E-4</c:v>
                </c:pt>
                <c:pt idx="16">
                  <c:v>2.6207513769976079E-4</c:v>
                </c:pt>
                <c:pt idx="17">
                  <c:v>2.7432199501117925E-4</c:v>
                </c:pt>
                <c:pt idx="18">
                  <c:v>2.8649385232259761E-4</c:v>
                </c:pt>
                <c:pt idx="19">
                  <c:v>2.9859070963401615E-4</c:v>
                </c:pt>
                <c:pt idx="20">
                  <c:v>3.1061256694543454E-4</c:v>
                </c:pt>
                <c:pt idx="21">
                  <c:v>3.22559424256853E-4</c:v>
                </c:pt>
                <c:pt idx="22">
                  <c:v>3.3443128156827146E-4</c:v>
                </c:pt>
                <c:pt idx="23">
                  <c:v>3.4622813887968989E-4</c:v>
                </c:pt>
                <c:pt idx="24">
                  <c:v>3.5794999619110843E-4</c:v>
                </c:pt>
                <c:pt idx="25">
                  <c:v>3.6959685350252677E-4</c:v>
                </c:pt>
                <c:pt idx="26">
                  <c:v>3.8116871081394523E-4</c:v>
                </c:pt>
                <c:pt idx="27">
                  <c:v>3.926655681253637E-4</c:v>
                </c:pt>
                <c:pt idx="28">
                  <c:v>4.0408742543678218E-4</c:v>
                </c:pt>
                <c:pt idx="29">
                  <c:v>4.1543428274820057E-4</c:v>
                </c:pt>
                <c:pt idx="30">
                  <c:v>4.2670614005961896E-4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CB-47DE-BBFF-AD5A6A690DFB}"/>
            </c:ext>
          </c:extLst>
        </c:ser>
        <c:ser>
          <c:idx val="4"/>
          <c:order val="1"/>
          <c:tx>
            <c:v>0.0001 M</c:v>
          </c:tx>
          <c:spPr>
            <a:ln w="3810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'0.0001M'!$M$5:$M$35</c:f>
              <c:numCache>
                <c:formatCode>0.000E+00</c:formatCode>
                <c:ptCount val="31"/>
                <c:pt idx="0">
                  <c:v>5.5764503961522338E-4</c:v>
                </c:pt>
                <c:pt idx="1">
                  <c:v>6.9177609665316221E-4</c:v>
                </c:pt>
                <c:pt idx="2">
                  <c:v>8.2515715369110105E-4</c:v>
                </c:pt>
                <c:pt idx="3">
                  <c:v>9.5778821072904001E-4</c:v>
                </c:pt>
                <c:pt idx="4">
                  <c:v>1.0896692677669787E-3</c:v>
                </c:pt>
                <c:pt idx="5">
                  <c:v>1.2208003248049173E-3</c:v>
                </c:pt>
                <c:pt idx="6">
                  <c:v>1.3511813818428565E-3</c:v>
                </c:pt>
                <c:pt idx="7">
                  <c:v>1.4808124388807952E-3</c:v>
                </c:pt>
                <c:pt idx="8">
                  <c:v>1.609693495918734E-3</c:v>
                </c:pt>
                <c:pt idx="9">
                  <c:v>1.7378245529566729E-3</c:v>
                </c:pt>
                <c:pt idx="10">
                  <c:v>1.8652056099946119E-3</c:v>
                </c:pt>
                <c:pt idx="11">
                  <c:v>1.991836667032551E-3</c:v>
                </c:pt>
                <c:pt idx="12">
                  <c:v>2.1177177240704901E-3</c:v>
                </c:pt>
                <c:pt idx="13">
                  <c:v>2.2428487811084279E-3</c:v>
                </c:pt>
                <c:pt idx="14">
                  <c:v>2.3672298381463668E-3</c:v>
                </c:pt>
                <c:pt idx="15">
                  <c:v>2.4908608951843057E-3</c:v>
                </c:pt>
                <c:pt idx="16">
                  <c:v>2.6137419522222448E-3</c:v>
                </c:pt>
                <c:pt idx="17">
                  <c:v>2.735873009260184E-3</c:v>
                </c:pt>
                <c:pt idx="18">
                  <c:v>2.857254066298122E-3</c:v>
                </c:pt>
                <c:pt idx="19">
                  <c:v>2.9778851233360614E-3</c:v>
                </c:pt>
                <c:pt idx="20">
                  <c:v>3.0977661803740001E-3</c:v>
                </c:pt>
                <c:pt idx="21">
                  <c:v>3.2168972374119389E-3</c:v>
                </c:pt>
                <c:pt idx="22">
                  <c:v>3.3352782944498782E-3</c:v>
                </c:pt>
                <c:pt idx="23">
                  <c:v>3.4529093514878159E-3</c:v>
                </c:pt>
                <c:pt idx="24">
                  <c:v>3.569790408525756E-3</c:v>
                </c:pt>
                <c:pt idx="25">
                  <c:v>3.6859214655636939E-3</c:v>
                </c:pt>
                <c:pt idx="26">
                  <c:v>3.8013025226016333E-3</c:v>
                </c:pt>
                <c:pt idx="27">
                  <c:v>3.9159335796395715E-3</c:v>
                </c:pt>
                <c:pt idx="28">
                  <c:v>4.0298146366775107E-3</c:v>
                </c:pt>
                <c:pt idx="29">
                  <c:v>4.14294569371545E-3</c:v>
                </c:pt>
                <c:pt idx="30">
                  <c:v>4.2553267507533877E-3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CB-47DE-BBFF-AD5A6A690DFB}"/>
            </c:ext>
          </c:extLst>
        </c:ser>
        <c:ser>
          <c:idx val="2"/>
          <c:order val="2"/>
          <c:tx>
            <c:v>0.001 M</c:v>
          </c:tx>
          <c:spPr>
            <a:ln w="38100" cmpd="sng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'1e-5M'!$E$5:$E$35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'0.001M'!$M$5:$M$35</c:f>
              <c:numCache>
                <c:formatCode>0.000E+00</c:formatCode>
                <c:ptCount val="31"/>
                <c:pt idx="0">
                  <c:v>5.5258718924492125E-3</c:v>
                </c:pt>
                <c:pt idx="1">
                  <c:v>6.8565738359925854E-3</c:v>
                </c:pt>
                <c:pt idx="2">
                  <c:v>8.1797757795359603E-3</c:v>
                </c:pt>
                <c:pt idx="3">
                  <c:v>9.495477723079333E-3</c:v>
                </c:pt>
                <c:pt idx="4">
                  <c:v>1.0803679666622705E-2</c:v>
                </c:pt>
                <c:pt idx="5">
                  <c:v>1.2104381610166078E-2</c:v>
                </c:pt>
                <c:pt idx="6">
                  <c:v>1.3397583553709453E-2</c:v>
                </c:pt>
                <c:pt idx="7">
                  <c:v>1.4683285497252825E-2</c:v>
                </c:pt>
                <c:pt idx="8">
                  <c:v>1.5961487440796198E-2</c:v>
                </c:pt>
                <c:pt idx="9">
                  <c:v>1.7232189384339569E-2</c:v>
                </c:pt>
                <c:pt idx="10">
                  <c:v>1.8495391327882946E-2</c:v>
                </c:pt>
                <c:pt idx="11">
                  <c:v>1.975109327142632E-2</c:v>
                </c:pt>
                <c:pt idx="12">
                  <c:v>2.0999295214969693E-2</c:v>
                </c:pt>
                <c:pt idx="13">
                  <c:v>2.2239997158513065E-2</c:v>
                </c:pt>
                <c:pt idx="14">
                  <c:v>2.3473199102056436E-2</c:v>
                </c:pt>
                <c:pt idx="15">
                  <c:v>2.4698901045599807E-2</c:v>
                </c:pt>
                <c:pt idx="16">
                  <c:v>2.5917102989143185E-2</c:v>
                </c:pt>
                <c:pt idx="17">
                  <c:v>2.7127804932686562E-2</c:v>
                </c:pt>
                <c:pt idx="18">
                  <c:v>2.8331006876229928E-2</c:v>
                </c:pt>
                <c:pt idx="19">
                  <c:v>2.9526708819773304E-2</c:v>
                </c:pt>
                <c:pt idx="20">
                  <c:v>3.0714910763316675E-2</c:v>
                </c:pt>
                <c:pt idx="21">
                  <c:v>3.1895612706860046E-2</c:v>
                </c:pt>
                <c:pt idx="22">
                  <c:v>3.3068814650403427E-2</c:v>
                </c:pt>
                <c:pt idx="23">
                  <c:v>3.4234516593946787E-2</c:v>
                </c:pt>
                <c:pt idx="24">
                  <c:v>3.5392718537490174E-2</c:v>
                </c:pt>
                <c:pt idx="25">
                  <c:v>3.6543420481033546E-2</c:v>
                </c:pt>
                <c:pt idx="26">
                  <c:v>3.7686622424576918E-2</c:v>
                </c:pt>
                <c:pt idx="27">
                  <c:v>3.882232436812029E-2</c:v>
                </c:pt>
                <c:pt idx="28">
                  <c:v>3.9950526311663667E-2</c:v>
                </c:pt>
                <c:pt idx="29">
                  <c:v>4.1071228255207037E-2</c:v>
                </c:pt>
                <c:pt idx="30">
                  <c:v>4.21844301987504E-2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5CB-47DE-BBFF-AD5A6A690DFB}"/>
            </c:ext>
          </c:extLst>
        </c:ser>
        <c:ser>
          <c:idx val="6"/>
          <c:order val="3"/>
          <c:tx>
            <c:v>0.01 M</c:v>
          </c:tx>
          <c:spPr>
            <a:ln w="38100" cmpd="sng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'0.01M'!$E$5:$E$35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'0.01M'!$M$5:$M$35</c:f>
              <c:numCache>
                <c:formatCode>0.000E+00</c:formatCode>
                <c:ptCount val="31"/>
                <c:pt idx="0">
                  <c:v>5.3689445858625409E-2</c:v>
                </c:pt>
                <c:pt idx="1">
                  <c:v>6.6667316917955743E-2</c:v>
                </c:pt>
                <c:pt idx="2">
                  <c:v>7.9570187977286086E-2</c:v>
                </c:pt>
                <c:pt idx="3">
                  <c:v>9.2398059036616423E-2</c:v>
                </c:pt>
                <c:pt idx="4">
                  <c:v>0.10515093009594674</c:v>
                </c:pt>
                <c:pt idx="5">
                  <c:v>0.11782880115527708</c:v>
                </c:pt>
                <c:pt idx="6">
                  <c:v>0.13043167221460741</c:v>
                </c:pt>
                <c:pt idx="7">
                  <c:v>0.14295954327393773</c:v>
                </c:pt>
                <c:pt idx="8">
                  <c:v>0.15541241433326805</c:v>
                </c:pt>
                <c:pt idx="9">
                  <c:v>0.16779028539259838</c:v>
                </c:pt>
                <c:pt idx="10">
                  <c:v>0.18009315645192875</c:v>
                </c:pt>
                <c:pt idx="11">
                  <c:v>0.1923210275112591</c:v>
                </c:pt>
                <c:pt idx="12">
                  <c:v>0.20447389857058945</c:v>
                </c:pt>
                <c:pt idx="13">
                  <c:v>0.2165517696299197</c:v>
                </c:pt>
                <c:pt idx="14">
                  <c:v>0.22855464068925005</c:v>
                </c:pt>
                <c:pt idx="15">
                  <c:v>0.2404825117485804</c:v>
                </c:pt>
                <c:pt idx="16">
                  <c:v>0.25233538280791074</c:v>
                </c:pt>
                <c:pt idx="17">
                  <c:v>0.2641132538672411</c:v>
                </c:pt>
                <c:pt idx="18">
                  <c:v>0.27581612492657137</c:v>
                </c:pt>
                <c:pt idx="19">
                  <c:v>0.2874439959859017</c:v>
                </c:pt>
                <c:pt idx="20">
                  <c:v>0.29899686704523204</c:v>
                </c:pt>
                <c:pt idx="21">
                  <c:v>0.31047473810456233</c:v>
                </c:pt>
                <c:pt idx="22">
                  <c:v>0.3218776091638928</c:v>
                </c:pt>
                <c:pt idx="23">
                  <c:v>0.33320548022322299</c:v>
                </c:pt>
                <c:pt idx="24">
                  <c:v>0.34445835128255348</c:v>
                </c:pt>
                <c:pt idx="25">
                  <c:v>0.35563622234188369</c:v>
                </c:pt>
                <c:pt idx="26">
                  <c:v>0.36673909340121408</c:v>
                </c:pt>
                <c:pt idx="27">
                  <c:v>0.37776696446054436</c:v>
                </c:pt>
                <c:pt idx="28">
                  <c:v>0.38871983551987477</c:v>
                </c:pt>
                <c:pt idx="29">
                  <c:v>0.39959770657920507</c:v>
                </c:pt>
                <c:pt idx="30">
                  <c:v>0.41040057763853538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5CB-47DE-BBFF-AD5A6A690DFB}"/>
            </c:ext>
          </c:extLst>
        </c:ser>
        <c:ser>
          <c:idx val="1"/>
          <c:order val="4"/>
          <c:tx>
            <c:v>0.1 M</c:v>
          </c:tx>
          <c:spPr>
            <a:ln w="38100"/>
          </c:spPr>
          <c:marker>
            <c:symbol val="none"/>
          </c:marker>
          <c:xVal>
            <c:numRef>
              <c:f>'0.1M'!$E$5:$E$35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'0.1M'!$M$5:$M$35</c:f>
              <c:numCache>
                <c:formatCode>0.000E+00</c:formatCode>
                <c:ptCount val="31"/>
                <c:pt idx="0">
                  <c:v>0.49010053563301115</c:v>
                </c:pt>
                <c:pt idx="1">
                  <c:v>0.61006441916620624</c:v>
                </c:pt>
                <c:pt idx="2">
                  <c:v>0.72927830269940142</c:v>
                </c:pt>
                <c:pt idx="3">
                  <c:v>0.84774218623259678</c:v>
                </c:pt>
                <c:pt idx="4">
                  <c:v>0.96545606976579179</c:v>
                </c:pt>
                <c:pt idx="5">
                  <c:v>1.0824199532989869</c:v>
                </c:pt>
                <c:pt idx="6">
                  <c:v>1.1986338368321823</c:v>
                </c:pt>
                <c:pt idx="7">
                  <c:v>1.3140977203653772</c:v>
                </c:pt>
                <c:pt idx="8">
                  <c:v>1.4288116038985723</c:v>
                </c:pt>
                <c:pt idx="9">
                  <c:v>1.5427754874317676</c:v>
                </c:pt>
                <c:pt idx="10">
                  <c:v>1.6559893709649629</c:v>
                </c:pt>
                <c:pt idx="11">
                  <c:v>1.7684532544981582</c:v>
                </c:pt>
                <c:pt idx="12">
                  <c:v>1.8801671380313536</c:v>
                </c:pt>
                <c:pt idx="13">
                  <c:v>1.9911310215645481</c:v>
                </c:pt>
                <c:pt idx="14">
                  <c:v>2.1013449050977431</c:v>
                </c:pt>
                <c:pt idx="15">
                  <c:v>2.2108087886309384</c:v>
                </c:pt>
                <c:pt idx="16">
                  <c:v>2.3195226721641342</c:v>
                </c:pt>
                <c:pt idx="17">
                  <c:v>2.4274865556973291</c:v>
                </c:pt>
                <c:pt idx="18">
                  <c:v>2.5347004392305239</c:v>
                </c:pt>
                <c:pt idx="19">
                  <c:v>2.6411643227637192</c:v>
                </c:pt>
                <c:pt idx="20">
                  <c:v>2.7468782062969144</c:v>
                </c:pt>
                <c:pt idx="21">
                  <c:v>2.8518420898301096</c:v>
                </c:pt>
                <c:pt idx="22">
                  <c:v>2.9560559733633052</c:v>
                </c:pt>
                <c:pt idx="23">
                  <c:v>3.0595198568964994</c:v>
                </c:pt>
                <c:pt idx="24">
                  <c:v>3.1622337404296958</c:v>
                </c:pt>
                <c:pt idx="25">
                  <c:v>3.26419762396289</c:v>
                </c:pt>
                <c:pt idx="26">
                  <c:v>3.3654115074960855</c:v>
                </c:pt>
                <c:pt idx="27">
                  <c:v>3.4658753910292806</c:v>
                </c:pt>
                <c:pt idx="28">
                  <c:v>3.565589274562476</c:v>
                </c:pt>
                <c:pt idx="29">
                  <c:v>3.6645531580956714</c:v>
                </c:pt>
                <c:pt idx="30">
                  <c:v>3.7627670416288654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5CB-47DE-BBFF-AD5A6A690DFB}"/>
            </c:ext>
          </c:extLst>
        </c:ser>
        <c:ser>
          <c:idx val="5"/>
          <c:order val="5"/>
          <c:tx>
            <c:v>0.5 M</c:v>
          </c:tx>
          <c:spPr>
            <a:ln w="38100" cmpd="sng">
              <a:solidFill>
                <a:srgbClr val="F79646">
                  <a:lumMod val="75000"/>
                </a:srgbClr>
              </a:solidFill>
            </a:ln>
          </c:spPr>
          <c:marker>
            <c:symbol val="none"/>
          </c:marker>
          <c:xVal>
            <c:numRef>
              <c:f>'0.5M'!$E$5:$E$35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'0.5M'!$M$5:$M$35</c:f>
              <c:numCache>
                <c:formatCode>0.000E+00</c:formatCode>
                <c:ptCount val="31"/>
                <c:pt idx="0">
                  <c:v>2.0752793446332869</c:v>
                </c:pt>
                <c:pt idx="1">
                  <c:v>2.5963972580203531</c:v>
                </c:pt>
                <c:pt idx="2">
                  <c:v>3.1137651714074202</c:v>
                </c:pt>
                <c:pt idx="3">
                  <c:v>3.627383084794487</c:v>
                </c:pt>
                <c:pt idx="4">
                  <c:v>4.1372509981815533</c:v>
                </c:pt>
                <c:pt idx="5">
                  <c:v>4.6433689115686194</c:v>
                </c:pt>
                <c:pt idx="6">
                  <c:v>5.1457368249556872</c:v>
                </c:pt>
                <c:pt idx="7">
                  <c:v>5.644354738342753</c:v>
                </c:pt>
                <c:pt idx="8">
                  <c:v>6.1392226517298187</c:v>
                </c:pt>
                <c:pt idx="9">
                  <c:v>6.6303405651168852</c:v>
                </c:pt>
                <c:pt idx="10">
                  <c:v>7.1177084785039533</c:v>
                </c:pt>
                <c:pt idx="11">
                  <c:v>7.6013263918910212</c:v>
                </c:pt>
                <c:pt idx="12">
                  <c:v>8.0811943052780872</c:v>
                </c:pt>
                <c:pt idx="13">
                  <c:v>8.5573122186651513</c:v>
                </c:pt>
                <c:pt idx="14">
                  <c:v>9.0296801320522189</c:v>
                </c:pt>
                <c:pt idx="15">
                  <c:v>9.4982980454392862</c:v>
                </c:pt>
                <c:pt idx="16">
                  <c:v>9.9631659588263517</c:v>
                </c:pt>
                <c:pt idx="17">
                  <c:v>10.424283872213421</c:v>
                </c:pt>
                <c:pt idx="18">
                  <c:v>10.881651785600484</c:v>
                </c:pt>
                <c:pt idx="19">
                  <c:v>11.335269698987553</c:v>
                </c:pt>
                <c:pt idx="20">
                  <c:v>11.785137612374619</c:v>
                </c:pt>
                <c:pt idx="21">
                  <c:v>12.231255525761684</c:v>
                </c:pt>
                <c:pt idx="22">
                  <c:v>12.673623439148754</c:v>
                </c:pt>
                <c:pt idx="23">
                  <c:v>13.112241352535817</c:v>
                </c:pt>
                <c:pt idx="24">
                  <c:v>13.547109265922888</c:v>
                </c:pt>
                <c:pt idx="25">
                  <c:v>13.97822717930995</c:v>
                </c:pt>
                <c:pt idx="26">
                  <c:v>14.40559509269702</c:v>
                </c:pt>
                <c:pt idx="27">
                  <c:v>14.829213006084085</c:v>
                </c:pt>
                <c:pt idx="28">
                  <c:v>15.249080919471155</c:v>
                </c:pt>
                <c:pt idx="29">
                  <c:v>15.66519883285822</c:v>
                </c:pt>
                <c:pt idx="30">
                  <c:v>16.077566746245282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5CB-47DE-BBFF-AD5A6A690DFB}"/>
            </c:ext>
          </c:extLst>
        </c:ser>
        <c:ser>
          <c:idx val="0"/>
          <c:order val="6"/>
          <c:tx>
            <c:v>1 M</c:v>
          </c:tx>
          <c:spPr>
            <a:ln w="3810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'1M'!$E$5:$E$35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xVal>
          <c:yVal>
            <c:numRef>
              <c:f>'1M'!$M$5:$M$35</c:f>
              <c:numCache>
                <c:formatCode>0.000E+00</c:formatCode>
                <c:ptCount val="31"/>
                <c:pt idx="0">
                  <c:v>3.6560131795716639</c:v>
                </c:pt>
                <c:pt idx="1">
                  <c:v>4.5945201812191101</c:v>
                </c:pt>
                <c:pt idx="2">
                  <c:v>5.5255271828665578</c:v>
                </c:pt>
                <c:pt idx="3">
                  <c:v>6.4490341845140042</c:v>
                </c:pt>
                <c:pt idx="4">
                  <c:v>7.3650411861614486</c:v>
                </c:pt>
                <c:pt idx="5">
                  <c:v>8.2735481878088954</c:v>
                </c:pt>
                <c:pt idx="6">
                  <c:v>9.1745551894563437</c:v>
                </c:pt>
                <c:pt idx="7">
                  <c:v>10.06806219110379</c:v>
                </c:pt>
                <c:pt idx="8">
                  <c:v>10.954069192751234</c:v>
                </c:pt>
                <c:pt idx="9">
                  <c:v>11.832576194398682</c:v>
                </c:pt>
                <c:pt idx="10">
                  <c:v>12.703583196046129</c:v>
                </c:pt>
                <c:pt idx="11">
                  <c:v>13.567090197693577</c:v>
                </c:pt>
                <c:pt idx="12">
                  <c:v>14.423097199341026</c:v>
                </c:pt>
                <c:pt idx="13">
                  <c:v>15.271604200988467</c:v>
                </c:pt>
                <c:pt idx="14">
                  <c:v>16.112611202635915</c:v>
                </c:pt>
                <c:pt idx="15">
                  <c:v>16.946118204283362</c:v>
                </c:pt>
                <c:pt idx="16">
                  <c:v>17.772125205930809</c:v>
                </c:pt>
                <c:pt idx="17">
                  <c:v>18.59063220757826</c:v>
                </c:pt>
                <c:pt idx="18">
                  <c:v>19.401639209225699</c:v>
                </c:pt>
                <c:pt idx="19">
                  <c:v>20.205146210873146</c:v>
                </c:pt>
                <c:pt idx="20">
                  <c:v>21.001153212520592</c:v>
                </c:pt>
                <c:pt idx="21">
                  <c:v>21.789660214168038</c:v>
                </c:pt>
                <c:pt idx="22">
                  <c:v>22.57066721581549</c:v>
                </c:pt>
                <c:pt idx="23">
                  <c:v>23.344174217462928</c:v>
                </c:pt>
                <c:pt idx="24">
                  <c:v>24.110181219110387</c:v>
                </c:pt>
                <c:pt idx="25">
                  <c:v>24.868688220757825</c:v>
                </c:pt>
                <c:pt idx="26">
                  <c:v>25.619695222405277</c:v>
                </c:pt>
                <c:pt idx="27">
                  <c:v>26.363202224052721</c:v>
                </c:pt>
                <c:pt idx="28">
                  <c:v>27.099209225700172</c:v>
                </c:pt>
                <c:pt idx="29">
                  <c:v>27.827716227347615</c:v>
                </c:pt>
                <c:pt idx="30">
                  <c:v>28.548723228995058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5CB-47DE-BBFF-AD5A6A69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11688"/>
        <c:axId val="235512080"/>
      </c:scatterChart>
      <c:valAx>
        <c:axId val="235511688"/>
        <c:scaling>
          <c:orientation val="minMax"/>
          <c:max val="160"/>
          <c:min val="0"/>
        </c:scaling>
        <c:delete val="0"/>
        <c:axPos val="b"/>
        <c:majorGridlines>
          <c:spPr>
            <a:ln w="25400"/>
          </c:spPr>
        </c:majorGridlines>
        <c:title>
          <c:tx>
            <c:rich>
              <a:bodyPr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Temperature (</a:t>
                </a:r>
                <a:r>
                  <a:rPr lang="fr-CA" sz="2800" baseline="30000">
                    <a:latin typeface="Arial" pitchFamily="34" charset="0"/>
                    <a:cs typeface="Arial" pitchFamily="34" charset="0"/>
                  </a:rPr>
                  <a:t>o</a:t>
                </a:r>
                <a:r>
                  <a:rPr lang="fr-CA" sz="2800">
                    <a:latin typeface="Arial" pitchFamily="34" charset="0"/>
                    <a:cs typeface="Arial" pitchFamily="34" charset="0"/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0.43895617364376216"/>
              <c:y val="0.93639351733794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2080"/>
        <c:crossesAt val="0"/>
        <c:crossBetween val="midCat"/>
        <c:majorUnit val="20"/>
        <c:minorUnit val="10"/>
      </c:valAx>
      <c:valAx>
        <c:axId val="235512080"/>
        <c:scaling>
          <c:logBase val="10"/>
          <c:orientation val="minMax"/>
        </c:scaling>
        <c:delete val="0"/>
        <c:axPos val="l"/>
        <c:majorGridlines>
          <c:spPr>
            <a:ln w="25400"/>
          </c:spPr>
        </c:majorGridlines>
        <c:title>
          <c:tx>
            <c:rich>
              <a:bodyPr rot="-5400000" vert="horz"/>
              <a:lstStyle/>
              <a:p>
                <a:pPr>
                  <a:defRPr lang="fr-CA" sz="2400"/>
                </a:pPr>
                <a:r>
                  <a:rPr lang="fr-CA" sz="2800">
                    <a:latin typeface="Arial" pitchFamily="34" charset="0"/>
                    <a:cs typeface="Arial" pitchFamily="34" charset="0"/>
                  </a:rPr>
                  <a:t>Pore</a:t>
                </a:r>
                <a:r>
                  <a:rPr lang="fr-CA" sz="2800" baseline="0">
                    <a:latin typeface="Arial" pitchFamily="34" charset="0"/>
                    <a:cs typeface="Arial" pitchFamily="34" charset="0"/>
                  </a:rPr>
                  <a:t> fluid conductivity (S/m)</a:t>
                </a:r>
                <a:endParaRPr lang="fr-CA" sz="280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0798234942041974E-2"/>
              <c:y val="0.106193945520533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81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fr-CA" sz="2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35511688"/>
        <c:crossesAt val="1.0000000000000192E-6"/>
        <c:crossBetween val="midCat"/>
      </c:valAx>
      <c:spPr>
        <a:ln w="38100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2398751097803791"/>
          <c:y val="0.76233699176131275"/>
          <c:w val="0.68296065651674387"/>
          <c:h val="9.3977864896885879E-2"/>
        </c:manualLayout>
      </c:layout>
      <c:overlay val="0"/>
      <c:spPr>
        <a:solidFill>
          <a:sysClr val="window" lastClr="FFFFFF"/>
        </a:solidFill>
        <a:ln w="31750">
          <a:solidFill>
            <a:sysClr val="windowText" lastClr="000000"/>
          </a:solidFill>
        </a:ln>
      </c:spPr>
      <c:txPr>
        <a:bodyPr/>
        <a:lstStyle/>
        <a:p>
          <a:pPr>
            <a:defRPr sz="2200" b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17</xdr:col>
      <xdr:colOff>552450</xdr:colOff>
      <xdr:row>35</xdr:row>
      <xdr:rowOff>63102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3F2A7-E843-02D5-0B69-DB0307F5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10915650" cy="6140052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0.17242</cdr:x>
      <cdr:y>0.04064</cdr:y>
    </cdr:from>
    <cdr:to>
      <cdr:x>0.25865</cdr:x>
      <cdr:y>0.14223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34484" y="326715"/>
          <a:ext cx="917437" cy="81676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(b)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0.1737</cdr:x>
      <cdr:y>0.04407</cdr:y>
    </cdr:from>
    <cdr:to>
      <cdr:x>0.25993</cdr:x>
      <cdr:y>0.14566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48091" y="353145"/>
          <a:ext cx="917437" cy="81399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(c)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0.17242</cdr:x>
      <cdr:y>0.04405</cdr:y>
    </cdr:from>
    <cdr:to>
      <cdr:x>0.25865</cdr:x>
      <cdr:y>0.14564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34484" y="353538"/>
          <a:ext cx="917437" cy="81537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(d)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0.03302</cdr:x>
      <cdr:y>0.01672</cdr:y>
    </cdr:from>
    <cdr:to>
      <cdr:x>0.11925</cdr:x>
      <cdr:y>0.11831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51305" y="131906"/>
          <a:ext cx="917437" cy="80155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(e)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0.1737</cdr:x>
      <cdr:y>0.04569</cdr:y>
    </cdr:from>
    <cdr:to>
      <cdr:x>0.25451</cdr:x>
      <cdr:y>0.14728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48090" y="367928"/>
          <a:ext cx="859772" cy="81814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(f)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600075" y="200025"/>
    <xdr:ext cx="14553334" cy="7890092"/>
    <xdr:graphicFrame macro="">
      <xdr:nvGraphicFramePr>
        <xdr:cNvPr id="2" name="Graphiqu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5222682" y="225135"/>
    <xdr:ext cx="11190141" cy="7890092"/>
    <xdr:graphicFrame macro="">
      <xdr:nvGraphicFramePr>
        <xdr:cNvPr id="4" name="Graphiqu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5222682" y="8243455"/>
    <xdr:ext cx="11172824" cy="7890092"/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606135" y="8191500"/>
    <xdr:ext cx="14547273" cy="7890092"/>
    <xdr:graphicFrame macro="">
      <xdr:nvGraphicFramePr>
        <xdr:cNvPr id="8" name="Graphique 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0" y="16192500"/>
    <xdr:ext cx="15166399" cy="7890092"/>
    <xdr:graphicFrame macro="">
      <xdr:nvGraphicFramePr>
        <xdr:cNvPr id="7" name="Graphique 4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0.00199</cdr:x>
      <cdr:y>0.01519</cdr:y>
    </cdr:from>
    <cdr:to>
      <cdr:x>0.08822</cdr:x>
      <cdr:y>0.13488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6526" y="119812"/>
          <a:ext cx="1151893" cy="94439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5400" b="1">
              <a:latin typeface="Arial" pitchFamily="34" charset="0"/>
              <a:cs typeface="Arial" pitchFamily="34" charset="0"/>
            </a:rPr>
            <a:t>(a)</a:t>
          </a:r>
        </a:p>
      </cdr:txBody>
    </cdr:sp>
  </cdr:relSizeAnchor>
  <cdr:relSizeAnchor xmlns:cdr="http://schemas.openxmlformats.org/drawingml/2006/chartDrawing">
    <cdr:from>
      <cdr:x>0.75724</cdr:x>
      <cdr:y>0.76043</cdr:y>
    </cdr:from>
    <cdr:to>
      <cdr:x>0.9881</cdr:x>
      <cdr:y>0.95139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1020425" y="5999884"/>
          <a:ext cx="3359727" cy="15066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81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2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0">
              <a:latin typeface="Symbol" pitchFamily="18" charset="2"/>
              <a:cs typeface="Arial" pitchFamily="34" charset="0"/>
            </a:rPr>
            <a:t>G</a:t>
          </a:r>
          <a:r>
            <a:rPr lang="fr-CA" sz="2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200" b="1">
              <a:latin typeface="Arial" pitchFamily="34" charset="0"/>
              <a:cs typeface="Arial" pitchFamily="34" charset="0"/>
            </a:rPr>
            <a:t>=10 sites/nm</a:t>
          </a:r>
          <a:r>
            <a:rPr lang="fr-CA" sz="2200" b="1" baseline="30000">
              <a:latin typeface="Arial" pitchFamily="34" charset="0"/>
              <a:cs typeface="Arial" pitchFamily="34" charset="0"/>
            </a:rPr>
            <a:t>2</a:t>
          </a:r>
          <a:endParaRPr lang="fr-CA" sz="2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200" b="1">
              <a:latin typeface="+mn-lt"/>
              <a:ea typeface="+mn-ea"/>
              <a:cs typeface="+mn-cs"/>
            </a:rPr>
            <a:t> </a:t>
          </a:r>
          <a:r>
            <a:rPr lang="fr-CA" sz="22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2200" b="1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4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0.0086</cdr:y>
    </cdr:from>
    <cdr:to>
      <cdr:x>0.08623</cdr:x>
      <cdr:y>0.11019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0" y="67817"/>
          <a:ext cx="917438" cy="80155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(b)</a:t>
          </a:r>
        </a:p>
      </cdr:txBody>
    </cdr:sp>
  </cdr:relSizeAnchor>
  <cdr:relSizeAnchor xmlns:cdr="http://schemas.openxmlformats.org/drawingml/2006/chartDrawing">
    <cdr:from>
      <cdr:x>0.1743</cdr:x>
      <cdr:y>0.03731</cdr:y>
    </cdr:from>
    <cdr:to>
      <cdr:x>0.37799</cdr:x>
      <cdr:y>0.22502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950464" y="294385"/>
          <a:ext cx="2279319" cy="148104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2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0">
              <a:latin typeface="Symbol" pitchFamily="18" charset="2"/>
              <a:cs typeface="Arial" pitchFamily="34" charset="0"/>
            </a:rPr>
            <a:t>G</a:t>
          </a:r>
          <a:r>
            <a:rPr lang="fr-CA" sz="2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200" b="1">
              <a:latin typeface="Arial" pitchFamily="34" charset="0"/>
              <a:cs typeface="Arial" pitchFamily="34" charset="0"/>
            </a:rPr>
            <a:t>=10 sites/nm</a:t>
          </a:r>
          <a:r>
            <a:rPr lang="fr-CA" sz="2200" b="1" baseline="30000">
              <a:latin typeface="Arial" pitchFamily="34" charset="0"/>
              <a:cs typeface="Arial" pitchFamily="34" charset="0"/>
            </a:rPr>
            <a:t>2</a:t>
          </a:r>
          <a:endParaRPr lang="fr-CA" sz="2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200" b="1">
              <a:latin typeface="+mn-lt"/>
              <a:ea typeface="+mn-ea"/>
              <a:cs typeface="+mn-cs"/>
            </a:rPr>
            <a:t> </a:t>
          </a:r>
          <a:r>
            <a:rPr lang="fr-CA" sz="22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22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2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0.03493</cdr:y>
    </cdr:from>
    <cdr:to>
      <cdr:x>0.08623</cdr:x>
      <cdr:y>0.13652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0" y="275636"/>
          <a:ext cx="963433" cy="80155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(d)</a:t>
          </a:r>
        </a:p>
      </cdr:txBody>
    </cdr:sp>
  </cdr:relSizeAnchor>
  <cdr:relSizeAnchor xmlns:cdr="http://schemas.openxmlformats.org/drawingml/2006/chartDrawing">
    <cdr:from>
      <cdr:x>0.20512</cdr:x>
      <cdr:y>0.64872</cdr:y>
    </cdr:from>
    <cdr:to>
      <cdr:x>0.40394</cdr:x>
      <cdr:y>0.84081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2291738" y="5118497"/>
          <a:ext cx="2221381" cy="15156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2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0">
              <a:latin typeface="Symbol" pitchFamily="18" charset="2"/>
              <a:cs typeface="Arial" pitchFamily="34" charset="0"/>
            </a:rPr>
            <a:t>G</a:t>
          </a:r>
          <a:r>
            <a:rPr lang="fr-CA" sz="2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200" b="1">
              <a:latin typeface="Arial" pitchFamily="34" charset="0"/>
              <a:cs typeface="Arial" pitchFamily="34" charset="0"/>
            </a:rPr>
            <a:t>=10 sites/nm</a:t>
          </a:r>
          <a:r>
            <a:rPr lang="fr-CA" sz="2200" b="1" baseline="30000">
              <a:latin typeface="Arial" pitchFamily="34" charset="0"/>
              <a:cs typeface="Arial" pitchFamily="34" charset="0"/>
            </a:rPr>
            <a:t>2</a:t>
          </a:r>
          <a:endParaRPr lang="fr-CA" sz="2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200" b="1">
              <a:latin typeface="+mn-lt"/>
              <a:ea typeface="+mn-ea"/>
              <a:cs typeface="+mn-cs"/>
            </a:rPr>
            <a:t> </a:t>
          </a:r>
          <a:r>
            <a:rPr lang="fr-CA" sz="22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22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0.00363</cdr:x>
      <cdr:y>0.03686</cdr:y>
    </cdr:from>
    <cdr:to>
      <cdr:x>0.08986</cdr:x>
      <cdr:y>0.13845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2761" y="290829"/>
          <a:ext cx="1254411" cy="8015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(c)</a:t>
          </a:r>
        </a:p>
      </cdr:txBody>
    </cdr:sp>
  </cdr:relSizeAnchor>
  <cdr:relSizeAnchor xmlns:cdr="http://schemas.openxmlformats.org/drawingml/2006/chartDrawing">
    <cdr:from>
      <cdr:x>0.75714</cdr:x>
      <cdr:y>0.74189</cdr:y>
    </cdr:from>
    <cdr:to>
      <cdr:x>0.98452</cdr:x>
      <cdr:y>0.93065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1014364" y="5853544"/>
          <a:ext cx="3307773" cy="14893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2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0">
              <a:latin typeface="Symbol" pitchFamily="18" charset="2"/>
              <a:cs typeface="Arial" pitchFamily="34" charset="0"/>
            </a:rPr>
            <a:t>G</a:t>
          </a:r>
          <a:r>
            <a:rPr lang="fr-CA" sz="2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200" b="1">
              <a:latin typeface="Arial" pitchFamily="34" charset="0"/>
              <a:cs typeface="Arial" pitchFamily="34" charset="0"/>
            </a:rPr>
            <a:t>=10 sites/nm</a:t>
          </a:r>
          <a:r>
            <a:rPr lang="fr-CA" sz="2200" b="1" baseline="30000">
              <a:latin typeface="Arial" pitchFamily="34" charset="0"/>
              <a:cs typeface="Arial" pitchFamily="34" charset="0"/>
            </a:rPr>
            <a:t>2</a:t>
          </a:r>
          <a:endParaRPr lang="fr-CA" sz="2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200" b="1">
              <a:latin typeface="+mn-lt"/>
              <a:ea typeface="+mn-ea"/>
              <a:cs typeface="+mn-cs"/>
            </a:rPr>
            <a:t> </a:t>
          </a:r>
          <a:r>
            <a:rPr lang="fr-CA" sz="22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22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221262" y="13125450"/>
    <xdr:ext cx="8060347" cy="5992418"/>
    <xdr:graphicFrame macro="">
      <xdr:nvGraphicFramePr>
        <xdr:cNvPr id="4" name="Graphiqu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8366545" y="148166"/>
    <xdr:ext cx="10504787" cy="5992418"/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8236111" y="6306079"/>
    <xdr:ext cx="10646428" cy="5992418"/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7938744" y="0"/>
    <xdr:ext cx="10331823" cy="6140584"/>
    <xdr:graphicFrame macro="">
      <xdr:nvGraphicFramePr>
        <xdr:cNvPr id="7" name="Graphiqu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7949950" y="6311401"/>
    <xdr:ext cx="10343029" cy="5992418"/>
    <xdr:graphicFrame macro="">
      <xdr:nvGraphicFramePr>
        <xdr:cNvPr id="8" name="Graphiqu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0.00363</cdr:x>
      <cdr:y>0.03686</cdr:y>
    </cdr:from>
    <cdr:to>
      <cdr:x>0.08986</cdr:x>
      <cdr:y>0.13845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2761" y="290829"/>
          <a:ext cx="1254411" cy="8015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(e)</a:t>
          </a:r>
        </a:p>
      </cdr:txBody>
    </cdr:sp>
  </cdr:relSizeAnchor>
  <cdr:relSizeAnchor xmlns:cdr="http://schemas.openxmlformats.org/drawingml/2006/chartDrawing">
    <cdr:from>
      <cdr:x>0.75714</cdr:x>
      <cdr:y>0.74189</cdr:y>
    </cdr:from>
    <cdr:to>
      <cdr:x>0.98452</cdr:x>
      <cdr:y>0.93065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1014364" y="5853544"/>
          <a:ext cx="3307773" cy="14893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Arial" pitchFamily="34" charset="0"/>
              <a:cs typeface="Arial" pitchFamily="34" charset="0"/>
            </a:rPr>
            <a:t>pK</a:t>
          </a:r>
          <a:r>
            <a:rPr lang="fr-CA" sz="2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2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0">
              <a:latin typeface="Symbol" pitchFamily="18" charset="2"/>
              <a:cs typeface="Arial" pitchFamily="34" charset="0"/>
            </a:rPr>
            <a:t>G</a:t>
          </a:r>
          <a:r>
            <a:rPr lang="fr-CA" sz="2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200" b="1">
              <a:latin typeface="Arial" pitchFamily="34" charset="0"/>
              <a:cs typeface="Arial" pitchFamily="34" charset="0"/>
            </a:rPr>
            <a:t>=10 sites/nm</a:t>
          </a:r>
          <a:r>
            <a:rPr lang="fr-CA" sz="2200" b="1" baseline="30000">
              <a:latin typeface="Arial" pitchFamily="34" charset="0"/>
              <a:cs typeface="Arial" pitchFamily="34" charset="0"/>
            </a:rPr>
            <a:t>2</a:t>
          </a:r>
          <a:endParaRPr lang="fr-CA" sz="2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200" b="1">
              <a:latin typeface="+mn-lt"/>
              <a:ea typeface="+mn-ea"/>
              <a:cs typeface="+mn-cs"/>
            </a:rPr>
            <a:t> </a:t>
          </a:r>
          <a:r>
            <a:rPr lang="fr-CA" sz="22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22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10427801" y="148166"/>
    <xdr:ext cx="10504787" cy="5992418"/>
    <xdr:graphicFrame macro="">
      <xdr:nvGraphicFramePr>
        <xdr:cNvPr id="3" name="Graphique 4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297367" y="6306079"/>
    <xdr:ext cx="10646428" cy="5992418"/>
    <xdr:graphicFrame macro="">
      <xdr:nvGraphicFramePr>
        <xdr:cNvPr id="4" name="Graphiqu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0" y="0"/>
    <xdr:ext cx="10331823" cy="6140584"/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1206" y="6311401"/>
    <xdr:ext cx="10343029" cy="5992418"/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0.76311</cdr:x>
      <cdr:y>0.6732</cdr:y>
    </cdr:from>
    <cdr:to>
      <cdr:x>0.99253</cdr:x>
      <cdr:y>0.86768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8016328" y="4034117"/>
          <a:ext cx="2410019" cy="116541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0.13942</cdr:x>
      <cdr:y>0.02129</cdr:y>
    </cdr:from>
    <cdr:to>
      <cdr:x>0.21276</cdr:x>
      <cdr:y>0.12601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64602" y="127576"/>
          <a:ext cx="770421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(c)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0.77262</cdr:x>
      <cdr:y>0.68157</cdr:y>
    </cdr:from>
    <cdr:to>
      <cdr:x>0.99263</cdr:x>
      <cdr:y>0.87044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8225601" y="4084262"/>
          <a:ext cx="2342386" cy="113179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0.14522</cdr:x>
      <cdr:y>0.02344</cdr:y>
    </cdr:from>
    <cdr:to>
      <cdr:x>0.21856</cdr:x>
      <cdr:y>0.12816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46117" y="140462"/>
          <a:ext cx="780809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(d)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0.75509</cdr:x>
      <cdr:y>0.6732</cdr:y>
    </cdr:from>
    <cdr:to>
      <cdr:x>0.99566</cdr:x>
      <cdr:y>0.86955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801451" y="4034117"/>
          <a:ext cx="2485550" cy="11766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0.13099</cdr:x>
      <cdr:y>0.04384</cdr:y>
    </cdr:from>
    <cdr:to>
      <cdr:x>0.20433</cdr:x>
      <cdr:y>0.14856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53365" y="269187"/>
          <a:ext cx="757736" cy="643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(a)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0.75622</cdr:x>
      <cdr:y>0.67694</cdr:y>
    </cdr:from>
    <cdr:to>
      <cdr:x>0.99242</cdr:x>
      <cdr:y>0.86768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821655" y="4056530"/>
          <a:ext cx="2442933" cy="1143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0.12718</cdr:x>
      <cdr:y>0.02157</cdr:y>
    </cdr:from>
    <cdr:to>
      <cdr:x>0.20052</cdr:x>
      <cdr:y>0.12629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15460" y="129256"/>
          <a:ext cx="758558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(b)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940636" cy="6892636"/>
    <xdr:graphicFrame macro="">
      <xdr:nvGraphicFramePr>
        <xdr:cNvPr id="3" name="Graphique 4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016837" y="51955"/>
    <xdr:ext cx="9933709" cy="6840682"/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20018952" y="121228"/>
    <xdr:ext cx="9924184" cy="6823364"/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30036655" y="121228"/>
    <xdr:ext cx="9899073" cy="6806045"/>
    <xdr:graphicFrame macro="">
      <xdr:nvGraphicFramePr>
        <xdr:cNvPr id="7" name="Graphique 4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39994113" y="122463"/>
    <xdr:ext cx="9916886" cy="6844393"/>
    <xdr:graphicFrame macro="">
      <xdr:nvGraphicFramePr>
        <xdr:cNvPr id="8" name="Graphique 4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50056473" y="121227"/>
    <xdr:ext cx="9587345" cy="6875317"/>
    <xdr:graphicFrame macro="">
      <xdr:nvGraphicFramePr>
        <xdr:cNvPr id="9" name="Graphique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  <xdr:absoluteAnchor>
    <xdr:pos x="63665100" y="0"/>
    <xdr:ext cx="10639424" cy="7890092"/>
    <xdr:graphicFrame macro="">
      <xdr:nvGraphicFramePr>
        <xdr:cNvPr id="10" name="Graphique 4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absoluteAnchor>
  <xdr:absoluteAnchor>
    <xdr:pos x="74371200" y="0"/>
    <xdr:ext cx="10639424" cy="7890092"/>
    <xdr:graphicFrame macro="">
      <xdr:nvGraphicFramePr>
        <xdr:cNvPr id="11" name="Graphique 4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absoluteAnchor>
  <xdr:absoluteAnchor>
    <xdr:pos x="53340000" y="0"/>
    <xdr:ext cx="10639424" cy="7890092"/>
    <xdr:graphicFrame macro="">
      <xdr:nvGraphicFramePr>
        <xdr:cNvPr id="12" name="Graphique 4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absoluteAnchor>
  <xdr:absoluteAnchor>
    <xdr:pos x="53492400" y="152400"/>
    <xdr:ext cx="10639424" cy="7890092"/>
    <xdr:graphicFrame macro="">
      <xdr:nvGraphicFramePr>
        <xdr:cNvPr id="16" name="Graphique 4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absoluteAnchor>
  <xdr:absoluteAnchor>
    <xdr:pos x="0" y="7048500"/>
    <xdr:ext cx="9888682" cy="6840682"/>
    <xdr:graphicFrame macro="">
      <xdr:nvGraphicFramePr>
        <xdr:cNvPr id="17" name="Graphique 4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absoluteAnchor>
  <xdr:absoluteAnchor>
    <xdr:pos x="9992591" y="7048500"/>
    <xdr:ext cx="9888682" cy="6840681"/>
    <xdr:graphicFrame macro="">
      <xdr:nvGraphicFramePr>
        <xdr:cNvPr id="18" name="Graphique 4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absoluteAnchor>
  <xdr:absoluteAnchor>
    <xdr:pos x="20019818" y="7048500"/>
    <xdr:ext cx="9888682" cy="6823364"/>
    <xdr:graphicFrame macro="">
      <xdr:nvGraphicFramePr>
        <xdr:cNvPr id="19" name="Graphique 4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absoluteAnchor>
  <xdr:absoluteAnchor>
    <xdr:pos x="30012410" y="6996546"/>
    <xdr:ext cx="9923318" cy="6840682"/>
    <xdr:graphicFrame macro="">
      <xdr:nvGraphicFramePr>
        <xdr:cNvPr id="20" name="Graphique 4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absoluteAnchor>
    <xdr:pos x="40002938" y="7048500"/>
    <xdr:ext cx="9921669" cy="6858000"/>
    <xdr:graphicFrame macro="">
      <xdr:nvGraphicFramePr>
        <xdr:cNvPr id="21" name="Graphique 4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absoluteAnchor>
  <xdr:absoluteAnchor>
    <xdr:pos x="0" y="13958454"/>
    <xdr:ext cx="9906000" cy="6858000"/>
    <xdr:graphicFrame macro="">
      <xdr:nvGraphicFramePr>
        <xdr:cNvPr id="22" name="Graphique 4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absoluteAnchor>
  <xdr:absoluteAnchor>
    <xdr:pos x="10025784" y="13955568"/>
    <xdr:ext cx="9924761" cy="6826250"/>
    <xdr:graphicFrame macro="">
      <xdr:nvGraphicFramePr>
        <xdr:cNvPr id="23" name="Graphique 4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absoluteAnchor>
    <xdr:pos x="20040023" y="13958455"/>
    <xdr:ext cx="9920432" cy="6823363"/>
    <xdr:graphicFrame macro="">
      <xdr:nvGraphicFramePr>
        <xdr:cNvPr id="24" name="Graphique 4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absoluteAnchor>
  <xdr:absoluteAnchor>
    <xdr:pos x="30019625" y="13966825"/>
    <xdr:ext cx="9928225" cy="6816725"/>
    <xdr:graphicFrame macro="">
      <xdr:nvGraphicFramePr>
        <xdr:cNvPr id="25" name="Graphique 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absoluteAnchor>
    <xdr:pos x="40050357" y="13947321"/>
    <xdr:ext cx="9928680" cy="6994071"/>
    <xdr:graphicFrame macro="">
      <xdr:nvGraphicFramePr>
        <xdr:cNvPr id="26" name="Graphique 1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absoluteAnchor>
    <xdr:pos x="0" y="24003000"/>
    <xdr:ext cx="12192000" cy="7620000"/>
    <xdr:graphicFrame macro="">
      <xdr:nvGraphicFramePr>
        <xdr:cNvPr id="27" name="Graphique 1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0.13829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66910" y="230075"/>
          <a:ext cx="913345" cy="8750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(a)</a:t>
          </a:r>
        </a:p>
      </cdr:txBody>
    </cdr:sp>
  </cdr:relSizeAnchor>
  <cdr:relSizeAnchor xmlns:cdr="http://schemas.openxmlformats.org/drawingml/2006/chartDrawing">
    <cdr:from>
      <cdr:x>0.17266</cdr:x>
      <cdr:y>0.62312</cdr:y>
    </cdr:from>
    <cdr:to>
      <cdr:x>0.43031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16349" y="4294910"/>
          <a:ext cx="2561241" cy="16282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400" b="1" i="1">
              <a:latin typeface="Arial" pitchFamily="34" charset="0"/>
              <a:cs typeface="Arial" pitchFamily="34" charset="0"/>
            </a:rPr>
            <a:t>pK</a:t>
          </a:r>
          <a:r>
            <a:rPr lang="fr-CA" sz="24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400" b="1">
              <a:latin typeface="Arial" pitchFamily="34" charset="0"/>
              <a:cs typeface="Arial" pitchFamily="34" charset="0"/>
            </a:rPr>
            <a:t>= 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400" b="1" i="1">
              <a:latin typeface="Arial" pitchFamily="34" charset="0"/>
              <a:cs typeface="Arial" pitchFamily="34" charset="0"/>
            </a:rPr>
            <a:t>pK</a:t>
          </a:r>
          <a:r>
            <a:rPr lang="fr-CA" sz="24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4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400" b="1" i="0">
              <a:latin typeface="Symbol" pitchFamily="18" charset="2"/>
              <a:cs typeface="Arial" pitchFamily="34" charset="0"/>
            </a:rPr>
            <a:t>G</a:t>
          </a:r>
          <a:r>
            <a:rPr lang="fr-CA" sz="24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400" b="1">
              <a:latin typeface="Arial" pitchFamily="34" charset="0"/>
              <a:cs typeface="Arial" pitchFamily="34" charset="0"/>
            </a:rPr>
            <a:t>=10 sites/nm</a:t>
          </a:r>
          <a:r>
            <a:rPr lang="fr-CA" sz="2400" b="1" baseline="30000">
              <a:latin typeface="Arial" pitchFamily="34" charset="0"/>
              <a:cs typeface="Arial" pitchFamily="34" charset="0"/>
            </a:rPr>
            <a:t>2</a:t>
          </a:r>
          <a:endParaRPr lang="fr-CA" sz="24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4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4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400" b="1">
              <a:latin typeface="+mn-lt"/>
              <a:ea typeface="+mn-ea"/>
              <a:cs typeface="+mn-cs"/>
            </a:rPr>
            <a:t> </a:t>
          </a:r>
          <a:r>
            <a:rPr lang="fr-CA" sz="24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4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(b)</a:t>
          </a:r>
        </a:p>
      </cdr:txBody>
    </cdr:sp>
  </cdr:relSizeAnchor>
  <cdr:relSizeAnchor xmlns:cdr="http://schemas.openxmlformats.org/drawingml/2006/chartDrawing">
    <cdr:from>
      <cdr:x>0.17266</cdr:x>
      <cdr:y>0.65316</cdr:y>
    </cdr:from>
    <cdr:to>
      <cdr:x>0.39331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15154" y="4468090"/>
          <a:ext cx="2191828" cy="14104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0.19371</cdr:x>
      <cdr:y>0.03133</cdr:y>
    </cdr:from>
    <cdr:to>
      <cdr:x>0.27994</cdr:x>
      <cdr:y>0.16497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922419" y="213763"/>
          <a:ext cx="855762" cy="91191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(c)</a:t>
          </a:r>
        </a:p>
      </cdr:txBody>
    </cdr:sp>
  </cdr:relSizeAnchor>
  <cdr:relSizeAnchor xmlns:cdr="http://schemas.openxmlformats.org/drawingml/2006/chartDrawing">
    <cdr:from>
      <cdr:x>0.51992</cdr:x>
      <cdr:y>0.03046</cdr:y>
    </cdr:from>
    <cdr:to>
      <cdr:x>0.73126</cdr:x>
      <cdr:y>0.22843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5159829" y="207818"/>
          <a:ext cx="2097356" cy="135081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2.4e-9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4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0.15266</cdr:x>
      <cdr:y>0.71772</cdr:y>
    </cdr:from>
    <cdr:to>
      <cdr:x>0.33072</cdr:x>
      <cdr:y>0.85568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230508" y="4300889"/>
          <a:ext cx="1435225" cy="82671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200" b="1" i="1">
              <a:latin typeface="Arial" pitchFamily="34" charset="0"/>
              <a:cs typeface="Arial" pitchFamily="34" charset="0"/>
            </a:rPr>
            <a:t>pK</a:t>
          </a:r>
          <a:r>
            <a:rPr lang="fr-CA" sz="12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2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200" b="1" i="1">
              <a:latin typeface="Arial" pitchFamily="34" charset="0"/>
              <a:cs typeface="Arial" pitchFamily="34" charset="0"/>
            </a:rPr>
            <a:t>pK</a:t>
          </a:r>
          <a:r>
            <a:rPr lang="fr-CA" sz="12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200" b="1">
              <a:latin typeface="Arial" pitchFamily="34" charset="0"/>
              <a:cs typeface="Arial" pitchFamily="34" charset="0"/>
            </a:rPr>
            <a:t>=7.8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200" b="1" i="0">
              <a:latin typeface="Symbol" pitchFamily="18" charset="2"/>
              <a:cs typeface="Arial" pitchFamily="34" charset="0"/>
            </a:rPr>
            <a:t>G</a:t>
          </a:r>
          <a:r>
            <a:rPr lang="fr-CA" sz="12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200" b="1">
              <a:latin typeface="Arial" pitchFamily="34" charset="0"/>
              <a:cs typeface="Arial" pitchFamily="34" charset="0"/>
            </a:rPr>
            <a:t>=10 sites/nm</a:t>
          </a:r>
          <a:r>
            <a:rPr lang="fr-CA" sz="1200" b="1" baseline="30000">
              <a:latin typeface="Arial" pitchFamily="34" charset="0"/>
              <a:cs typeface="Arial" pitchFamily="34" charset="0"/>
            </a:rPr>
            <a:t>2</a:t>
          </a:r>
          <a:endParaRPr lang="fr-CA" sz="1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2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2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200" b="1">
              <a:latin typeface="+mn-lt"/>
              <a:ea typeface="+mn-ea"/>
              <a:cs typeface="+mn-cs"/>
            </a:rPr>
            <a:t> </a:t>
          </a:r>
          <a:r>
            <a:rPr lang="fr-CA" sz="1200" b="1">
              <a:latin typeface="Arial" pitchFamily="34" charset="0"/>
              <a:ea typeface="+mn-ea"/>
              <a:cs typeface="Arial" pitchFamily="34" charset="0"/>
            </a:rPr>
            <a:t>= 2.4e-9 m</a:t>
          </a:r>
          <a:endParaRPr lang="fr-CA" sz="12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0.17276</cdr:x>
      <cdr:y>0.02625</cdr:y>
    </cdr:from>
    <cdr:to>
      <cdr:x>0.25899</cdr:x>
      <cdr:y>0.1374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710175" y="178627"/>
          <a:ext cx="853597" cy="75655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(d)</a:t>
          </a:r>
        </a:p>
      </cdr:txBody>
    </cdr:sp>
  </cdr:relSizeAnchor>
  <cdr:relSizeAnchor xmlns:cdr="http://schemas.openxmlformats.org/drawingml/2006/chartDrawing">
    <cdr:from>
      <cdr:x>0.17266</cdr:x>
      <cdr:y>0.6514</cdr:y>
    </cdr:from>
    <cdr:to>
      <cdr:x>0.38244</cdr:x>
      <cdr:y>0.85242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09174" y="4433454"/>
          <a:ext cx="2076580" cy="13681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0.17214</cdr:x>
      <cdr:y>0.03078</cdr:y>
    </cdr:from>
    <cdr:to>
      <cdr:x>0.25837</cdr:x>
      <cdr:y>0.15507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707129" y="210656"/>
          <a:ext cx="855133" cy="8507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(e)</a:t>
          </a:r>
        </a:p>
      </cdr:txBody>
    </cdr:sp>
  </cdr:relSizeAnchor>
  <cdr:relSizeAnchor xmlns:cdr="http://schemas.openxmlformats.org/drawingml/2006/chartDrawing">
    <cdr:from>
      <cdr:x>0.17266</cdr:x>
      <cdr:y>0.66004</cdr:y>
    </cdr:from>
    <cdr:to>
      <cdr:x>0.38392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12249" y="4517572"/>
          <a:ext cx="2095029" cy="136415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(f)</a:t>
          </a:r>
        </a:p>
      </cdr:txBody>
    </cdr:sp>
  </cdr:relSizeAnchor>
  <cdr:relSizeAnchor xmlns:cdr="http://schemas.openxmlformats.org/drawingml/2006/chartDrawing">
    <cdr:from>
      <cdr:x>0.17266</cdr:x>
      <cdr:y>0.68811</cdr:y>
    </cdr:from>
    <cdr:to>
      <cdr:x>0.35072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837003" y="5429250"/>
          <a:ext cx="1894456" cy="13511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8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800" b="1">
              <a:latin typeface="Arial" pitchFamily="34" charset="0"/>
              <a:cs typeface="Arial" pitchFamily="34" charset="0"/>
            </a:rPr>
            <a:t>=8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0">
              <a:latin typeface="Symbol" pitchFamily="18" charset="2"/>
              <a:cs typeface="Arial" pitchFamily="34" charset="0"/>
            </a:rPr>
            <a:t>G</a:t>
          </a:r>
          <a:r>
            <a:rPr lang="fr-CA" sz="18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800" b="1">
              <a:latin typeface="Arial" pitchFamily="34" charset="0"/>
              <a:cs typeface="Arial" pitchFamily="34" charset="0"/>
            </a:rPr>
            <a:t>=10 sites/nm</a:t>
          </a:r>
          <a:r>
            <a:rPr lang="fr-CA" sz="1800" b="1" baseline="30000">
              <a:latin typeface="Arial" pitchFamily="34" charset="0"/>
              <a:cs typeface="Arial" pitchFamily="34" charset="0"/>
            </a:rPr>
            <a:t>2</a:t>
          </a:r>
          <a:endParaRPr lang="fr-CA" sz="18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8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800" b="1">
              <a:latin typeface="+mn-lt"/>
              <a:ea typeface="+mn-ea"/>
              <a:cs typeface="+mn-cs"/>
            </a:rPr>
            <a:t> </a:t>
          </a:r>
          <a:r>
            <a:rPr lang="fr-CA" sz="1800" b="1">
              <a:latin typeface="Arial" pitchFamily="34" charset="0"/>
              <a:ea typeface="+mn-ea"/>
              <a:cs typeface="Arial" pitchFamily="34" charset="0"/>
            </a:rPr>
            <a:t>= 2.4e-9 m</a:t>
          </a:r>
          <a:endParaRPr lang="fr-CA" sz="18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(g)</a:t>
          </a:r>
        </a:p>
      </cdr:txBody>
    </cdr:sp>
  </cdr:relSizeAnchor>
  <cdr:relSizeAnchor xmlns:cdr="http://schemas.openxmlformats.org/drawingml/2006/chartDrawing">
    <cdr:from>
      <cdr:x>0.17266</cdr:x>
      <cdr:y>0.68811</cdr:y>
    </cdr:from>
    <cdr:to>
      <cdr:x>0.35072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837003" y="5429250"/>
          <a:ext cx="1894456" cy="13511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8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800" b="1">
              <a:latin typeface="Arial" pitchFamily="34" charset="0"/>
              <a:cs typeface="Arial" pitchFamily="34" charset="0"/>
            </a:rPr>
            <a:t>=8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0">
              <a:latin typeface="Symbol" pitchFamily="18" charset="2"/>
              <a:cs typeface="Arial" pitchFamily="34" charset="0"/>
            </a:rPr>
            <a:t>G</a:t>
          </a:r>
          <a:r>
            <a:rPr lang="fr-CA" sz="18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800" b="1">
              <a:latin typeface="Arial" pitchFamily="34" charset="0"/>
              <a:cs typeface="Arial" pitchFamily="34" charset="0"/>
            </a:rPr>
            <a:t>=10 sites/nm</a:t>
          </a:r>
          <a:r>
            <a:rPr lang="fr-CA" sz="1800" b="1" baseline="30000">
              <a:latin typeface="Arial" pitchFamily="34" charset="0"/>
              <a:cs typeface="Arial" pitchFamily="34" charset="0"/>
            </a:rPr>
            <a:t>2</a:t>
          </a:r>
          <a:endParaRPr lang="fr-CA" sz="18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8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800" b="1">
              <a:latin typeface="+mn-lt"/>
              <a:ea typeface="+mn-ea"/>
              <a:cs typeface="+mn-cs"/>
            </a:rPr>
            <a:t> </a:t>
          </a:r>
          <a:r>
            <a:rPr lang="fr-CA" sz="1800" b="1">
              <a:latin typeface="Arial" pitchFamily="34" charset="0"/>
              <a:ea typeface="+mn-ea"/>
              <a:cs typeface="Arial" pitchFamily="34" charset="0"/>
            </a:rPr>
            <a:t>= 2.4e-9 m</a:t>
          </a:r>
          <a:endParaRPr lang="fr-CA" sz="18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(h)</a:t>
          </a:r>
        </a:p>
      </cdr:txBody>
    </cdr:sp>
  </cdr:relSizeAnchor>
  <cdr:relSizeAnchor xmlns:cdr="http://schemas.openxmlformats.org/drawingml/2006/chartDrawing">
    <cdr:from>
      <cdr:x>0.17266</cdr:x>
      <cdr:y>0.68811</cdr:y>
    </cdr:from>
    <cdr:to>
      <cdr:x>0.35072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837003" y="5429250"/>
          <a:ext cx="1894456" cy="13511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8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800" b="1">
              <a:latin typeface="Arial" pitchFamily="34" charset="0"/>
              <a:cs typeface="Arial" pitchFamily="34" charset="0"/>
            </a:rPr>
            <a:t>=8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0">
              <a:latin typeface="Symbol" pitchFamily="18" charset="2"/>
              <a:cs typeface="Arial" pitchFamily="34" charset="0"/>
            </a:rPr>
            <a:t>G</a:t>
          </a:r>
          <a:r>
            <a:rPr lang="fr-CA" sz="18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800" b="1">
              <a:latin typeface="Arial" pitchFamily="34" charset="0"/>
              <a:cs typeface="Arial" pitchFamily="34" charset="0"/>
            </a:rPr>
            <a:t>=10 sites/nm</a:t>
          </a:r>
          <a:r>
            <a:rPr lang="fr-CA" sz="1800" b="1" baseline="30000">
              <a:latin typeface="Arial" pitchFamily="34" charset="0"/>
              <a:cs typeface="Arial" pitchFamily="34" charset="0"/>
            </a:rPr>
            <a:t>2</a:t>
          </a:r>
          <a:endParaRPr lang="fr-CA" sz="18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8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800" b="1">
              <a:latin typeface="+mn-lt"/>
              <a:ea typeface="+mn-ea"/>
              <a:cs typeface="+mn-cs"/>
            </a:rPr>
            <a:t> </a:t>
          </a:r>
          <a:r>
            <a:rPr lang="fr-CA" sz="1800" b="1">
              <a:latin typeface="Arial" pitchFamily="34" charset="0"/>
              <a:ea typeface="+mn-ea"/>
              <a:cs typeface="Arial" pitchFamily="34" charset="0"/>
            </a:rPr>
            <a:t>= 2.4e-9 m</a:t>
          </a:r>
          <a:endParaRPr lang="fr-CA" sz="18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(f)</a:t>
          </a:r>
        </a:p>
      </cdr:txBody>
    </cdr:sp>
  </cdr:relSizeAnchor>
  <cdr:relSizeAnchor xmlns:cdr="http://schemas.openxmlformats.org/drawingml/2006/chartDrawing">
    <cdr:from>
      <cdr:x>0.17266</cdr:x>
      <cdr:y>0.68811</cdr:y>
    </cdr:from>
    <cdr:to>
      <cdr:x>0.35072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837003" y="5429250"/>
          <a:ext cx="1894456" cy="13511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8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8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0">
              <a:latin typeface="Symbol" pitchFamily="18" charset="2"/>
              <a:cs typeface="Arial" pitchFamily="34" charset="0"/>
            </a:rPr>
            <a:t>G</a:t>
          </a:r>
          <a:r>
            <a:rPr lang="fr-CA" sz="18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800" b="1">
              <a:latin typeface="Arial" pitchFamily="34" charset="0"/>
              <a:cs typeface="Arial" pitchFamily="34" charset="0"/>
            </a:rPr>
            <a:t>=10 sites/nm</a:t>
          </a:r>
          <a:r>
            <a:rPr lang="fr-CA" sz="1800" b="1" baseline="30000">
              <a:latin typeface="Arial" pitchFamily="34" charset="0"/>
              <a:cs typeface="Arial" pitchFamily="34" charset="0"/>
            </a:rPr>
            <a:t>2</a:t>
          </a:r>
          <a:endParaRPr lang="fr-CA" sz="18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8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800" b="1">
              <a:latin typeface="+mn-lt"/>
              <a:ea typeface="+mn-ea"/>
              <a:cs typeface="+mn-cs"/>
            </a:rPr>
            <a:t> </a:t>
          </a:r>
          <a:r>
            <a:rPr lang="fr-CA" sz="18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18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(d)</a:t>
          </a:r>
        </a:p>
      </cdr:txBody>
    </cdr:sp>
  </cdr:relSizeAnchor>
  <cdr:relSizeAnchor xmlns:cdr="http://schemas.openxmlformats.org/drawingml/2006/chartDrawing">
    <cdr:from>
      <cdr:x>0.17266</cdr:x>
      <cdr:y>0.68811</cdr:y>
    </cdr:from>
    <cdr:to>
      <cdr:x>0.35072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837003" y="5429250"/>
          <a:ext cx="1894456" cy="13511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8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Arial" pitchFamily="34" charset="0"/>
              <a:cs typeface="Arial" pitchFamily="34" charset="0"/>
            </a:rPr>
            <a:t>pK</a:t>
          </a:r>
          <a:r>
            <a:rPr lang="fr-CA" sz="18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8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0">
              <a:latin typeface="Symbol" pitchFamily="18" charset="2"/>
              <a:cs typeface="Arial" pitchFamily="34" charset="0"/>
            </a:rPr>
            <a:t>G</a:t>
          </a:r>
          <a:r>
            <a:rPr lang="fr-CA" sz="18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800" b="1">
              <a:latin typeface="Arial" pitchFamily="34" charset="0"/>
              <a:cs typeface="Arial" pitchFamily="34" charset="0"/>
            </a:rPr>
            <a:t>=10 sites/nm</a:t>
          </a:r>
          <a:r>
            <a:rPr lang="fr-CA" sz="1800" b="1" baseline="30000">
              <a:latin typeface="Arial" pitchFamily="34" charset="0"/>
              <a:cs typeface="Arial" pitchFamily="34" charset="0"/>
            </a:rPr>
            <a:t>2</a:t>
          </a:r>
          <a:endParaRPr lang="fr-CA" sz="18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8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800" b="1">
              <a:latin typeface="+mn-lt"/>
              <a:ea typeface="+mn-ea"/>
              <a:cs typeface="+mn-cs"/>
            </a:rPr>
            <a:t> </a:t>
          </a:r>
          <a:r>
            <a:rPr lang="fr-CA" sz="18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18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0.17801</cdr:x>
      <cdr:y>0.02879</cdr:y>
    </cdr:from>
    <cdr:to>
      <cdr:x>0.26424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760297" y="196943"/>
          <a:ext cx="852701" cy="6949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(f)</a:t>
          </a:r>
        </a:p>
      </cdr:txBody>
    </cdr:sp>
  </cdr:relSizeAnchor>
  <cdr:relSizeAnchor xmlns:cdr="http://schemas.openxmlformats.org/drawingml/2006/chartDrawing">
    <cdr:from>
      <cdr:x>0.71206</cdr:x>
      <cdr:y>0.6557</cdr:y>
    </cdr:from>
    <cdr:to>
      <cdr:x>0.92644</cdr:x>
      <cdr:y>0.85682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041381" y="4485409"/>
          <a:ext cx="2119938" cy="13758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0.27145</cdr:x>
      <cdr:y>0.14937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742979" y="196943"/>
          <a:ext cx="941339" cy="82483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(g)</a:t>
          </a:r>
        </a:p>
      </cdr:txBody>
    </cdr:sp>
  </cdr:relSizeAnchor>
  <cdr:relSizeAnchor xmlns:cdr="http://schemas.openxmlformats.org/drawingml/2006/chartDrawing">
    <cdr:from>
      <cdr:x>0.71907</cdr:x>
      <cdr:y>0.65316</cdr:y>
    </cdr:from>
    <cdr:to>
      <cdr:x>0.92644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110653" y="4468091"/>
          <a:ext cx="2050665" cy="14104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(h)</a:t>
          </a:r>
        </a:p>
      </cdr:txBody>
    </cdr:sp>
  </cdr:relSizeAnchor>
  <cdr:relSizeAnchor xmlns:cdr="http://schemas.openxmlformats.org/drawingml/2006/chartDrawing">
    <cdr:from>
      <cdr:x>0.70578</cdr:x>
      <cdr:y>0.64975</cdr:y>
    </cdr:from>
    <cdr:to>
      <cdr:x>0.92368</cdr:x>
      <cdr:y>0.85277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6979227" y="4433455"/>
          <a:ext cx="2154751" cy="13853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0.76311</cdr:x>
      <cdr:y>0.6732</cdr:y>
    </cdr:from>
    <cdr:to>
      <cdr:x>0.99253</cdr:x>
      <cdr:y>0.86768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8016328" y="4034117"/>
          <a:ext cx="2410019" cy="116541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0.13942</cdr:x>
      <cdr:y>0.02129</cdr:y>
    </cdr:from>
    <cdr:to>
      <cdr:x>0.21276</cdr:x>
      <cdr:y>0.12601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64602" y="127576"/>
          <a:ext cx="770421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(c)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(i)</a:t>
          </a:r>
        </a:p>
      </cdr:txBody>
    </cdr:sp>
  </cdr:relSizeAnchor>
  <cdr:relSizeAnchor xmlns:cdr="http://schemas.openxmlformats.org/drawingml/2006/chartDrawing">
    <cdr:from>
      <cdr:x>0.7103</cdr:x>
      <cdr:y>0.65063</cdr:y>
    </cdr:from>
    <cdr:to>
      <cdr:x>0.92368</cdr:x>
      <cdr:y>0.85277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048499" y="4450772"/>
          <a:ext cx="2117471" cy="138275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4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(j)</a:t>
          </a:r>
        </a:p>
      </cdr:txBody>
    </cdr:sp>
  </cdr:relSizeAnchor>
  <cdr:relSizeAnchor xmlns:cdr="http://schemas.openxmlformats.org/drawingml/2006/chartDrawing">
    <cdr:from>
      <cdr:x>0.70377</cdr:x>
      <cdr:y>0.65278</cdr:y>
    </cdr:from>
    <cdr:to>
      <cdr:x>0.92368</cdr:x>
      <cdr:y>0.85277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6982526" y="4476750"/>
          <a:ext cx="2181921" cy="13715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4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(k)</a:t>
          </a:r>
        </a:p>
      </cdr:txBody>
    </cdr:sp>
  </cdr:relSizeAnchor>
  <cdr:relSizeAnchor xmlns:cdr="http://schemas.openxmlformats.org/drawingml/2006/chartDrawing">
    <cdr:from>
      <cdr:x>0.17266</cdr:x>
      <cdr:y>0.65657</cdr:y>
    </cdr:from>
    <cdr:to>
      <cdr:x>0.38287</cdr:x>
      <cdr:y>0.85935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10370" y="4502728"/>
          <a:ext cx="2082312" cy="13906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75305" y="227157"/>
          <a:ext cx="917437" cy="8015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(l)</a:t>
          </a:r>
        </a:p>
      </cdr:txBody>
    </cdr:sp>
  </cdr:relSizeAnchor>
  <cdr:relSizeAnchor xmlns:cdr="http://schemas.openxmlformats.org/drawingml/2006/chartDrawing">
    <cdr:from>
      <cdr:x>0.17261</cdr:x>
      <cdr:y>0.65375</cdr:y>
    </cdr:from>
    <cdr:to>
      <cdr:x>0.38229</cdr:x>
      <cdr:y>0.85285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1713114" y="4462692"/>
          <a:ext cx="2081024" cy="135910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0.02879</cdr:y>
    </cdr:from>
    <cdr:to>
      <cdr:x>0.08623</cdr:x>
      <cdr:y>0.13038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0" y="196445"/>
          <a:ext cx="855439" cy="6931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(m)</a:t>
          </a:r>
        </a:p>
      </cdr:txBody>
    </cdr:sp>
  </cdr:relSizeAnchor>
  <cdr:relSizeAnchor xmlns:cdr="http://schemas.openxmlformats.org/drawingml/2006/chartDrawing">
    <cdr:from>
      <cdr:x>0.71208</cdr:x>
      <cdr:y>0.64467</cdr:y>
    </cdr:from>
    <cdr:to>
      <cdr:x>0.92493</cdr:x>
      <cdr:y>0.85173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064184" y="4398840"/>
          <a:ext cx="2111564" cy="141284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4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0.17463</cdr:x>
      <cdr:y>0.02001</cdr:y>
    </cdr:from>
    <cdr:to>
      <cdr:x>0.26086</cdr:x>
      <cdr:y>0.1216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57987" y="157884"/>
          <a:ext cx="917437" cy="80155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(n)</a:t>
          </a:r>
        </a:p>
      </cdr:txBody>
    </cdr:sp>
  </cdr:relSizeAnchor>
  <cdr:relSizeAnchor xmlns:cdr="http://schemas.openxmlformats.org/drawingml/2006/chartDrawing">
    <cdr:from>
      <cdr:x>0.52381</cdr:x>
      <cdr:y>0.03385</cdr:y>
    </cdr:from>
    <cdr:to>
      <cdr:x>0.74238</cdr:x>
      <cdr:y>0.2328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5200464" y="230716"/>
          <a:ext cx="2170006" cy="13562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20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Arial" pitchFamily="34" charset="0"/>
              <a:cs typeface="Arial" pitchFamily="34" charset="0"/>
            </a:rPr>
            <a:t>pK</a:t>
          </a:r>
          <a:r>
            <a:rPr lang="fr-CA" sz="20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2000" b="1">
              <a:latin typeface="Arial" pitchFamily="34" charset="0"/>
              <a:cs typeface="Arial" pitchFamily="34" charset="0"/>
            </a:rPr>
            <a:t>=8.3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0">
              <a:latin typeface="Symbol" pitchFamily="18" charset="2"/>
              <a:cs typeface="Arial" pitchFamily="34" charset="0"/>
            </a:rPr>
            <a:t>G</a:t>
          </a:r>
          <a:r>
            <a:rPr lang="fr-CA" sz="20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2000" b="1">
              <a:latin typeface="Arial" pitchFamily="34" charset="0"/>
              <a:cs typeface="Arial" pitchFamily="34" charset="0"/>
            </a:rPr>
            <a:t>=10 sites/nm</a:t>
          </a:r>
          <a:r>
            <a:rPr lang="fr-CA" sz="2000" b="1" baseline="30000">
              <a:latin typeface="Arial" pitchFamily="34" charset="0"/>
              <a:cs typeface="Arial" pitchFamily="34" charset="0"/>
            </a:rPr>
            <a:t>2</a:t>
          </a:r>
          <a:endParaRPr lang="fr-CA" sz="20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20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20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2000" b="1">
              <a:latin typeface="+mn-lt"/>
              <a:ea typeface="+mn-ea"/>
              <a:cs typeface="+mn-cs"/>
            </a:rPr>
            <a:t> </a:t>
          </a:r>
          <a:r>
            <a:rPr lang="fr-CA" sz="2000" b="1">
              <a:latin typeface="Arial" pitchFamily="34" charset="0"/>
              <a:ea typeface="+mn-ea"/>
              <a:cs typeface="Arial" pitchFamily="34" charset="0"/>
            </a:rPr>
            <a:t>= 3.5e-9 m</a:t>
          </a:r>
          <a:endParaRPr lang="fr-CA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fr-CA" sz="20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0.15715</cdr:x>
      <cdr:y>0.03825</cdr:y>
    </cdr:from>
    <cdr:to>
      <cdr:x>0.24349</cdr:x>
      <cdr:y>0.15564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560286" y="267522"/>
          <a:ext cx="857250" cy="8210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(o)</a:t>
          </a:r>
        </a:p>
      </cdr:txBody>
    </cdr:sp>
  </cdr:relSizeAnchor>
  <cdr:relSizeAnchor xmlns:cdr="http://schemas.openxmlformats.org/drawingml/2006/chartDrawing">
    <cdr:from>
      <cdr:x>0.25582</cdr:x>
      <cdr:y>0.06615</cdr:y>
    </cdr:from>
    <cdr:to>
      <cdr:x>0.49566</cdr:x>
      <cdr:y>0.14202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540001" y="462643"/>
          <a:ext cx="2381250" cy="5306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3200" b="1"/>
            <a:t>Cf = 0.001 M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4467225" y="9524"/>
    <xdr:ext cx="8153398" cy="5537417"/>
    <xdr:graphicFrame macro="">
      <xdr:nvGraphicFramePr>
        <xdr:cNvPr id="2" name="Graphiqu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0.00444</cdr:x>
      <cdr:y>0.0105</cdr:y>
    </cdr:from>
    <cdr:to>
      <cdr:x>0.09067</cdr:x>
      <cdr:y>0.11209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6168" y="58140"/>
          <a:ext cx="703068" cy="56254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3600" b="1">
              <a:latin typeface="Arial" pitchFamily="34" charset="0"/>
              <a:cs typeface="Arial" pitchFamily="34" charset="0"/>
            </a:rPr>
            <a:t>(a)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0.77262</cdr:x>
      <cdr:y>0.68157</cdr:y>
    </cdr:from>
    <cdr:to>
      <cdr:x>0.99263</cdr:x>
      <cdr:y>0.87044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8225601" y="4084262"/>
          <a:ext cx="2342386" cy="113179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0.14522</cdr:x>
      <cdr:y>0.02344</cdr:y>
    </cdr:from>
    <cdr:to>
      <cdr:x>0.21856</cdr:x>
      <cdr:y>0.12816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46117" y="140462"/>
          <a:ext cx="780809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(d)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0.75509</cdr:x>
      <cdr:y>0.6732</cdr:y>
    </cdr:from>
    <cdr:to>
      <cdr:x>0.99566</cdr:x>
      <cdr:y>0.86955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801451" y="4034117"/>
          <a:ext cx="2485550" cy="11766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0.13099</cdr:x>
      <cdr:y>0.04384</cdr:y>
    </cdr:from>
    <cdr:to>
      <cdr:x>0.20433</cdr:x>
      <cdr:y>0.14856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53365" y="269187"/>
          <a:ext cx="757736" cy="643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(a)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0.75622</cdr:x>
      <cdr:y>0.67694</cdr:y>
    </cdr:from>
    <cdr:to>
      <cdr:x>0.99242</cdr:x>
      <cdr:y>0.86768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7821655" y="4056530"/>
          <a:ext cx="2442933" cy="1143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25400">
          <a:solidFill>
            <a:sysClr val="windowText" lastClr="000000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Me</a:t>
          </a:r>
          <a:r>
            <a:rPr lang="fr-CA" sz="1600" b="1">
              <a:latin typeface="Arial" pitchFamily="34" charset="0"/>
              <a:cs typeface="Arial" pitchFamily="34" charset="0"/>
            </a:rPr>
            <a:t>=7.5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Arial" pitchFamily="34" charset="0"/>
              <a:cs typeface="Arial" pitchFamily="34" charset="0"/>
            </a:rPr>
            <a:t>pK</a:t>
          </a:r>
          <a:r>
            <a:rPr lang="fr-CA" sz="1600" b="1" i="1" baseline="-25000">
              <a:latin typeface="Arial" pitchFamily="34" charset="0"/>
              <a:cs typeface="Arial" pitchFamily="34" charset="0"/>
            </a:rPr>
            <a:t>(-)</a:t>
          </a:r>
          <a:r>
            <a:rPr lang="fr-CA" sz="1600" b="1">
              <a:latin typeface="Arial" pitchFamily="34" charset="0"/>
              <a:cs typeface="Arial" pitchFamily="34" charset="0"/>
            </a:rPr>
            <a:t>=7.7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0">
              <a:latin typeface="Symbol" pitchFamily="18" charset="2"/>
              <a:cs typeface="Arial" pitchFamily="34" charset="0"/>
            </a:rPr>
            <a:t>G</a:t>
          </a:r>
          <a:r>
            <a:rPr lang="fr-CA" sz="1600" b="1" baseline="-25000">
              <a:latin typeface="Arial" pitchFamily="34" charset="0"/>
              <a:cs typeface="Arial" pitchFamily="34" charset="0"/>
            </a:rPr>
            <a:t>o</a:t>
          </a:r>
          <a:r>
            <a:rPr lang="fr-CA" sz="1600" b="1">
              <a:latin typeface="Arial" pitchFamily="34" charset="0"/>
              <a:cs typeface="Arial" pitchFamily="34" charset="0"/>
            </a:rPr>
            <a:t>=10 sites/nm</a:t>
          </a:r>
          <a:r>
            <a:rPr lang="fr-CA" sz="1600" b="1" baseline="30000">
              <a:latin typeface="Arial" pitchFamily="34" charset="0"/>
              <a:cs typeface="Arial" pitchFamily="34" charset="0"/>
            </a:rPr>
            <a:t>2</a:t>
          </a:r>
          <a:endParaRPr lang="fr-CA" sz="16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600" b="1" i="1">
              <a:latin typeface="Symbol" pitchFamily="18" charset="2"/>
              <a:ea typeface="+mn-ea"/>
              <a:cs typeface="+mn-cs"/>
            </a:rPr>
            <a:t>c</a:t>
          </a:r>
          <a:r>
            <a:rPr lang="fr-CA" sz="1600" b="1" i="1" baseline="-25000">
              <a:latin typeface="Symbol" panose="05050102010706020507" pitchFamily="18" charset="2"/>
              <a:ea typeface="+mn-ea"/>
              <a:cs typeface="+mn-cs"/>
            </a:rPr>
            <a:t>z</a:t>
          </a:r>
          <a:r>
            <a:rPr lang="fr-CA" sz="1600" b="1">
              <a:latin typeface="+mn-lt"/>
              <a:ea typeface="+mn-ea"/>
              <a:cs typeface="+mn-cs"/>
            </a:rPr>
            <a:t> </a:t>
          </a:r>
          <a:r>
            <a:rPr lang="fr-CA" sz="1600" b="1">
              <a:latin typeface="Arial" pitchFamily="34" charset="0"/>
              <a:ea typeface="+mn-ea"/>
              <a:cs typeface="Arial" pitchFamily="34" charset="0"/>
            </a:rPr>
            <a:t>= 5e-9 m</a:t>
          </a:r>
          <a:endParaRPr lang="fr-CA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0.12718</cdr:x>
      <cdr:y>0.02157</cdr:y>
    </cdr:from>
    <cdr:to>
      <cdr:x>0.20052</cdr:x>
      <cdr:y>0.12629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15460" y="129256"/>
          <a:ext cx="758558" cy="627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600" b="1">
              <a:latin typeface="Arial" panose="020B0604020202020204" pitchFamily="34" charset="0"/>
              <a:cs typeface="Arial" panose="020B0604020202020204" pitchFamily="34" charset="0"/>
            </a:rPr>
            <a:t>(b)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136071"/>
    <xdr:ext cx="10639424" cy="7890092"/>
    <xdr:graphicFrame macro="">
      <xdr:nvGraphicFramePr>
        <xdr:cNvPr id="3" name="Graphiqu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025002" y="0"/>
    <xdr:ext cx="10639424" cy="8039770"/>
    <xdr:graphicFrame macro="">
      <xdr:nvGraphicFramePr>
        <xdr:cNvPr id="4" name="Graphiqu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21954879" y="0"/>
    <xdr:ext cx="10639424" cy="8012556"/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32816223" y="0"/>
    <xdr:ext cx="10639424" cy="8026163"/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43628211" y="0"/>
    <xdr:ext cx="10639424" cy="8066985"/>
    <xdr:graphicFrame macro="">
      <xdr:nvGraphicFramePr>
        <xdr:cNvPr id="7" name="Graphique 4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54496607" y="0"/>
    <xdr:ext cx="10639424" cy="8053377"/>
    <xdr:graphicFrame macro="">
      <xdr:nvGraphicFramePr>
        <xdr:cNvPr id="9" name="Graphique 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0.17626</cdr:x>
      <cdr:y>0.02879</cdr:y>
    </cdr:from>
    <cdr:to>
      <cdr:x>0.26249</cdr:x>
      <cdr:y>0.13829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866910" y="230075"/>
          <a:ext cx="913345" cy="8750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CA" sz="4800" b="1">
              <a:latin typeface="Arial" pitchFamily="34" charset="0"/>
              <a:cs typeface="Arial" pitchFamily="34" charset="0"/>
            </a:rPr>
            <a:t>(a)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2"/>
  <sheetViews>
    <sheetView tabSelected="1" workbookViewId="0">
      <selection activeCell="A3" sqref="A3"/>
    </sheetView>
  </sheetViews>
  <sheetFormatPr defaultRowHeight="14.5" x14ac:dyDescent="0.35"/>
  <sheetData>
    <row r="1" spans="1:17" ht="21" x14ac:dyDescent="0.5">
      <c r="A1" s="143" t="s">
        <v>156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21" x14ac:dyDescent="0.5">
      <c r="A2" s="145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XFD6:XFD8"/>
  <sheetViews>
    <sheetView zoomScale="70" zoomScaleNormal="70" workbookViewId="0">
      <selection activeCell="R41" sqref="R41"/>
    </sheetView>
  </sheetViews>
  <sheetFormatPr defaultRowHeight="14.5" x14ac:dyDescent="0.35"/>
  <sheetData>
    <row r="6" spans="16384:16384" x14ac:dyDescent="0.35">
      <c r="XFD6" s="90">
        <f>Control!XEP6</f>
        <v>0</v>
      </c>
    </row>
    <row r="7" spans="16384:16384" x14ac:dyDescent="0.35">
      <c r="XFD7" s="90">
        <v>1</v>
      </c>
    </row>
    <row r="8" spans="16384:16384" x14ac:dyDescent="0.35">
      <c r="XFD8" s="90">
        <v>0.32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L1"/>
  <sheetViews>
    <sheetView topLeftCell="A38" zoomScale="56" zoomScaleNormal="56" workbookViewId="0">
      <selection activeCell="BD72" sqref="BD72"/>
    </sheetView>
  </sheetViews>
  <sheetFormatPr defaultRowHeight="14.5" x14ac:dyDescent="0.35"/>
  <sheetData>
    <row r="1" spans="38:38" x14ac:dyDescent="0.35">
      <c r="AL1" t="s">
        <v>142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E4:I34"/>
  <sheetViews>
    <sheetView zoomScale="55" zoomScaleNormal="55" workbookViewId="0">
      <selection activeCell="AJ12" sqref="AJ12"/>
    </sheetView>
  </sheetViews>
  <sheetFormatPr defaultRowHeight="14.5" x14ac:dyDescent="0.35"/>
  <sheetData>
    <row r="4" spans="5:9" x14ac:dyDescent="0.35">
      <c r="E4" s="71"/>
      <c r="G4" s="83"/>
      <c r="I4" s="89"/>
    </row>
    <row r="5" spans="5:9" x14ac:dyDescent="0.35">
      <c r="E5" s="71"/>
      <c r="G5" s="83"/>
      <c r="I5" s="89"/>
    </row>
    <row r="6" spans="5:9" x14ac:dyDescent="0.35">
      <c r="E6" s="71"/>
      <c r="G6" s="83"/>
      <c r="I6" s="89"/>
    </row>
    <row r="7" spans="5:9" x14ac:dyDescent="0.35">
      <c r="E7" s="71"/>
      <c r="G7" s="83"/>
      <c r="I7" s="89"/>
    </row>
    <row r="8" spans="5:9" x14ac:dyDescent="0.35">
      <c r="E8" s="71"/>
      <c r="G8" s="83"/>
      <c r="I8" s="89"/>
    </row>
    <row r="9" spans="5:9" x14ac:dyDescent="0.35">
      <c r="E9" s="71"/>
      <c r="G9" s="83"/>
      <c r="I9" s="89"/>
    </row>
    <row r="10" spans="5:9" x14ac:dyDescent="0.35">
      <c r="E10" s="71"/>
      <c r="G10" s="83"/>
      <c r="I10" s="89"/>
    </row>
    <row r="11" spans="5:9" x14ac:dyDescent="0.35">
      <c r="E11" s="71"/>
      <c r="G11" s="83"/>
      <c r="I11" s="89"/>
    </row>
    <row r="12" spans="5:9" x14ac:dyDescent="0.35">
      <c r="E12" s="71"/>
      <c r="G12" s="83"/>
      <c r="I12" s="89"/>
    </row>
    <row r="13" spans="5:9" x14ac:dyDescent="0.35">
      <c r="E13" s="71"/>
      <c r="G13" s="83"/>
      <c r="I13" s="89"/>
    </row>
    <row r="14" spans="5:9" x14ac:dyDescent="0.35">
      <c r="E14" s="71"/>
      <c r="G14" s="83"/>
      <c r="I14" s="89"/>
    </row>
    <row r="15" spans="5:9" x14ac:dyDescent="0.35">
      <c r="E15" s="71"/>
      <c r="G15" s="83"/>
      <c r="I15" s="89"/>
    </row>
    <row r="16" spans="5:9" x14ac:dyDescent="0.35">
      <c r="E16" s="71"/>
      <c r="G16" s="83"/>
      <c r="I16" s="89"/>
    </row>
    <row r="17" spans="5:9" x14ac:dyDescent="0.35">
      <c r="E17" s="71"/>
      <c r="G17" s="83"/>
      <c r="I17" s="89"/>
    </row>
    <row r="18" spans="5:9" x14ac:dyDescent="0.35">
      <c r="E18" s="71"/>
      <c r="G18" s="83"/>
      <c r="I18" s="89"/>
    </row>
    <row r="19" spans="5:9" x14ac:dyDescent="0.35">
      <c r="E19" s="71"/>
      <c r="G19" s="83"/>
      <c r="I19" s="89"/>
    </row>
    <row r="20" spans="5:9" x14ac:dyDescent="0.35">
      <c r="E20" s="71"/>
      <c r="G20" s="83"/>
      <c r="I20" s="89"/>
    </row>
    <row r="21" spans="5:9" x14ac:dyDescent="0.35">
      <c r="E21" s="71"/>
      <c r="G21" s="83"/>
      <c r="I21" s="89"/>
    </row>
    <row r="22" spans="5:9" x14ac:dyDescent="0.35">
      <c r="E22" s="71"/>
      <c r="G22" s="83"/>
      <c r="I22" s="89"/>
    </row>
    <row r="23" spans="5:9" x14ac:dyDescent="0.35">
      <c r="E23" s="71"/>
      <c r="G23" s="83"/>
      <c r="I23" s="89"/>
    </row>
    <row r="24" spans="5:9" x14ac:dyDescent="0.35">
      <c r="E24" s="71"/>
      <c r="G24" s="83"/>
      <c r="I24" s="89"/>
    </row>
    <row r="25" spans="5:9" x14ac:dyDescent="0.35">
      <c r="E25" s="71"/>
      <c r="G25" s="83"/>
      <c r="I25" s="89"/>
    </row>
    <row r="26" spans="5:9" x14ac:dyDescent="0.35">
      <c r="E26" s="71"/>
      <c r="G26" s="83"/>
      <c r="I26" s="89"/>
    </row>
    <row r="27" spans="5:9" x14ac:dyDescent="0.35">
      <c r="E27" s="71"/>
      <c r="G27" s="83"/>
      <c r="I27" s="89"/>
    </row>
    <row r="28" spans="5:9" x14ac:dyDescent="0.35">
      <c r="E28" s="71"/>
      <c r="G28" s="83"/>
      <c r="I28" s="89"/>
    </row>
    <row r="29" spans="5:9" x14ac:dyDescent="0.35">
      <c r="E29" s="71"/>
      <c r="G29" s="83"/>
      <c r="I29" s="89"/>
    </row>
    <row r="30" spans="5:9" x14ac:dyDescent="0.35">
      <c r="E30" s="71"/>
      <c r="G30" s="83"/>
      <c r="I30" s="89"/>
    </row>
    <row r="31" spans="5:9" x14ac:dyDescent="0.35">
      <c r="E31" s="71"/>
      <c r="G31" s="83"/>
      <c r="I31" s="89"/>
    </row>
    <row r="32" spans="5:9" x14ac:dyDescent="0.35">
      <c r="E32" s="71"/>
      <c r="G32" s="83"/>
      <c r="I32" s="89"/>
    </row>
    <row r="33" spans="5:9" x14ac:dyDescent="0.35">
      <c r="E33" s="71"/>
      <c r="G33" s="83"/>
      <c r="I33" s="89"/>
    </row>
    <row r="34" spans="5:9" x14ac:dyDescent="0.35">
      <c r="E34" s="71"/>
      <c r="G34" s="83"/>
      <c r="I34" s="89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</sheetPr>
  <dimension ref="A1:K21"/>
  <sheetViews>
    <sheetView workbookViewId="0">
      <selection activeCell="D25" sqref="D25"/>
    </sheetView>
  </sheetViews>
  <sheetFormatPr defaultRowHeight="14.5" x14ac:dyDescent="0.35"/>
  <cols>
    <col min="1" max="10" width="13.54296875" customWidth="1"/>
  </cols>
  <sheetData>
    <row r="1" spans="1:11" x14ac:dyDescent="0.35">
      <c r="A1" t="s">
        <v>120</v>
      </c>
      <c r="B1" t="s">
        <v>121</v>
      </c>
      <c r="C1" t="s">
        <v>122</v>
      </c>
      <c r="D1" t="s">
        <v>123</v>
      </c>
      <c r="E1" t="s">
        <v>124</v>
      </c>
      <c r="F1" t="s">
        <v>16</v>
      </c>
      <c r="G1" t="s">
        <v>125</v>
      </c>
      <c r="H1" t="s">
        <v>126</v>
      </c>
      <c r="I1" t="s">
        <v>127</v>
      </c>
      <c r="K1" t="s">
        <v>129</v>
      </c>
    </row>
    <row r="2" spans="1:11" x14ac:dyDescent="0.35">
      <c r="A2" t="s">
        <v>114</v>
      </c>
      <c r="B2" t="s">
        <v>115</v>
      </c>
      <c r="C2" t="s">
        <v>116</v>
      </c>
      <c r="D2">
        <v>0.5</v>
      </c>
      <c r="E2">
        <v>1.86</v>
      </c>
      <c r="F2">
        <v>7.43</v>
      </c>
      <c r="G2">
        <v>21</v>
      </c>
      <c r="H2">
        <v>-2.5</v>
      </c>
      <c r="I2">
        <v>-9.4009797899999992</v>
      </c>
      <c r="J2">
        <v>6</v>
      </c>
      <c r="K2">
        <f>-1*H2</f>
        <v>2.5</v>
      </c>
    </row>
    <row r="3" spans="1:11" x14ac:dyDescent="0.35">
      <c r="A3" t="s">
        <v>114</v>
      </c>
      <c r="B3" t="s">
        <v>115</v>
      </c>
      <c r="C3" t="s">
        <v>116</v>
      </c>
      <c r="D3">
        <v>0.5</v>
      </c>
      <c r="E3">
        <v>2.66</v>
      </c>
      <c r="F3">
        <v>7.42</v>
      </c>
      <c r="G3">
        <v>40</v>
      </c>
      <c r="H3">
        <v>-2.6</v>
      </c>
      <c r="I3">
        <v>-10.22648491</v>
      </c>
      <c r="J3">
        <v>7</v>
      </c>
      <c r="K3">
        <f t="shared" ref="K3:K21" si="0">-1*H3</f>
        <v>2.6</v>
      </c>
    </row>
    <row r="4" spans="1:11" x14ac:dyDescent="0.35">
      <c r="A4" t="s">
        <v>114</v>
      </c>
      <c r="B4" t="s">
        <v>115</v>
      </c>
      <c r="C4" t="s">
        <v>116</v>
      </c>
      <c r="D4">
        <v>0.5</v>
      </c>
      <c r="E4">
        <v>3.16</v>
      </c>
      <c r="F4">
        <v>7.2</v>
      </c>
      <c r="G4">
        <v>76</v>
      </c>
      <c r="H4">
        <v>-2.8</v>
      </c>
      <c r="I4">
        <v>-8.7463933009999995</v>
      </c>
      <c r="J4">
        <v>8</v>
      </c>
      <c r="K4">
        <f t="shared" si="0"/>
        <v>2.8</v>
      </c>
    </row>
    <row r="5" spans="1:11" x14ac:dyDescent="0.35">
      <c r="A5" t="s">
        <v>114</v>
      </c>
      <c r="B5" t="s">
        <v>115</v>
      </c>
      <c r="C5" t="s">
        <v>116</v>
      </c>
      <c r="D5">
        <v>0.5</v>
      </c>
      <c r="E5">
        <v>4.4800000000000004</v>
      </c>
      <c r="G5">
        <v>120</v>
      </c>
      <c r="H5">
        <v>-2.4</v>
      </c>
      <c r="I5">
        <v>-10.53335994</v>
      </c>
      <c r="J5">
        <v>9</v>
      </c>
      <c r="K5">
        <f t="shared" si="0"/>
        <v>2.4</v>
      </c>
    </row>
    <row r="6" spans="1:11" x14ac:dyDescent="0.35">
      <c r="A6" t="s">
        <v>114</v>
      </c>
      <c r="B6" t="s">
        <v>115</v>
      </c>
      <c r="C6" t="s">
        <v>116</v>
      </c>
      <c r="D6">
        <v>0.5</v>
      </c>
      <c r="E6">
        <v>4.83</v>
      </c>
      <c r="G6">
        <v>150</v>
      </c>
      <c r="H6">
        <v>-2.2999999999999998</v>
      </c>
      <c r="I6">
        <v>-10.786559430000001</v>
      </c>
      <c r="J6">
        <v>10</v>
      </c>
      <c r="K6">
        <f t="shared" si="0"/>
        <v>2.2999999999999998</v>
      </c>
    </row>
    <row r="7" spans="1:11" x14ac:dyDescent="0.35">
      <c r="A7" t="s">
        <v>117</v>
      </c>
      <c r="B7" t="s">
        <v>115</v>
      </c>
      <c r="C7" t="s">
        <v>116</v>
      </c>
      <c r="D7">
        <v>0.5</v>
      </c>
      <c r="E7">
        <v>1.4</v>
      </c>
      <c r="F7">
        <v>7.23</v>
      </c>
      <c r="G7">
        <v>21</v>
      </c>
      <c r="H7">
        <v>-2.8</v>
      </c>
      <c r="I7">
        <v>-8.4912075530000006</v>
      </c>
      <c r="J7">
        <v>16</v>
      </c>
      <c r="K7">
        <f t="shared" si="0"/>
        <v>2.8</v>
      </c>
    </row>
    <row r="8" spans="1:11" x14ac:dyDescent="0.35">
      <c r="A8" t="s">
        <v>117</v>
      </c>
      <c r="B8" t="s">
        <v>115</v>
      </c>
      <c r="C8" t="s">
        <v>116</v>
      </c>
      <c r="D8">
        <v>0.5</v>
      </c>
      <c r="E8">
        <v>2.13</v>
      </c>
      <c r="F8">
        <v>7.3</v>
      </c>
      <c r="G8">
        <v>40</v>
      </c>
      <c r="H8">
        <v>-2.8</v>
      </c>
      <c r="I8">
        <v>-9.4487042460000001</v>
      </c>
      <c r="J8">
        <v>17</v>
      </c>
      <c r="K8">
        <f t="shared" si="0"/>
        <v>2.8</v>
      </c>
    </row>
    <row r="9" spans="1:11" x14ac:dyDescent="0.35">
      <c r="A9" t="s">
        <v>117</v>
      </c>
      <c r="B9" t="s">
        <v>115</v>
      </c>
      <c r="C9" t="s">
        <v>116</v>
      </c>
      <c r="D9">
        <v>0.5</v>
      </c>
      <c r="E9">
        <v>2.73</v>
      </c>
      <c r="F9">
        <v>7.12</v>
      </c>
      <c r="G9">
        <v>76</v>
      </c>
      <c r="H9">
        <v>-2.8</v>
      </c>
      <c r="I9">
        <v>-9.175409428</v>
      </c>
      <c r="J9">
        <v>18</v>
      </c>
      <c r="K9">
        <f t="shared" si="0"/>
        <v>2.8</v>
      </c>
    </row>
    <row r="10" spans="1:11" x14ac:dyDescent="0.35">
      <c r="A10" t="s">
        <v>117</v>
      </c>
      <c r="B10" t="s">
        <v>115</v>
      </c>
      <c r="C10" t="s">
        <v>116</v>
      </c>
      <c r="D10">
        <v>0.5</v>
      </c>
      <c r="E10">
        <v>3.39</v>
      </c>
      <c r="G10">
        <v>120</v>
      </c>
      <c r="H10">
        <v>-2.2999999999999998</v>
      </c>
      <c r="I10">
        <v>-8.7296564080000003</v>
      </c>
      <c r="J10">
        <v>19</v>
      </c>
      <c r="K10">
        <f t="shared" si="0"/>
        <v>2.2999999999999998</v>
      </c>
    </row>
    <row r="11" spans="1:11" x14ac:dyDescent="0.35">
      <c r="A11" t="s">
        <v>117</v>
      </c>
      <c r="B11" t="s">
        <v>115</v>
      </c>
      <c r="C11" t="s">
        <v>116</v>
      </c>
      <c r="D11">
        <v>0.5</v>
      </c>
      <c r="E11">
        <v>3.8</v>
      </c>
      <c r="G11">
        <v>150</v>
      </c>
      <c r="H11">
        <v>-2.2999999999999998</v>
      </c>
      <c r="I11">
        <v>-9.0924857669999994</v>
      </c>
      <c r="J11">
        <v>20</v>
      </c>
      <c r="K11">
        <f t="shared" si="0"/>
        <v>2.2999999999999998</v>
      </c>
    </row>
    <row r="12" spans="1:11" x14ac:dyDescent="0.35">
      <c r="A12" t="s">
        <v>118</v>
      </c>
      <c r="B12" t="s">
        <v>115</v>
      </c>
      <c r="C12" t="s">
        <v>116</v>
      </c>
      <c r="D12">
        <v>0.5</v>
      </c>
      <c r="E12">
        <v>1.1200000000000001</v>
      </c>
      <c r="F12">
        <v>7.54</v>
      </c>
      <c r="G12">
        <v>22</v>
      </c>
      <c r="H12">
        <v>-2.5</v>
      </c>
      <c r="I12">
        <v>-9.9376204329999993</v>
      </c>
      <c r="J12">
        <v>26</v>
      </c>
      <c r="K12">
        <f t="shared" si="0"/>
        <v>2.5</v>
      </c>
    </row>
    <row r="13" spans="1:11" x14ac:dyDescent="0.35">
      <c r="A13" t="s">
        <v>118</v>
      </c>
      <c r="B13" t="s">
        <v>115</v>
      </c>
      <c r="C13" t="s">
        <v>116</v>
      </c>
      <c r="D13">
        <v>0.5</v>
      </c>
      <c r="E13">
        <v>1.89</v>
      </c>
      <c r="F13">
        <v>7.48</v>
      </c>
      <c r="G13">
        <v>39</v>
      </c>
      <c r="H13">
        <v>-2.6</v>
      </c>
      <c r="I13">
        <v>-10.52158595</v>
      </c>
      <c r="J13">
        <v>27</v>
      </c>
      <c r="K13">
        <f t="shared" si="0"/>
        <v>2.6</v>
      </c>
    </row>
    <row r="14" spans="1:11" x14ac:dyDescent="0.35">
      <c r="A14" t="s">
        <v>118</v>
      </c>
      <c r="B14" t="s">
        <v>115</v>
      </c>
      <c r="C14" t="s">
        <v>116</v>
      </c>
      <c r="D14">
        <v>0.5</v>
      </c>
      <c r="E14">
        <v>2.42</v>
      </c>
      <c r="F14">
        <v>7.38</v>
      </c>
      <c r="G14">
        <v>77</v>
      </c>
      <c r="H14">
        <v>-2.5</v>
      </c>
      <c r="I14">
        <v>-10.56341799</v>
      </c>
      <c r="J14">
        <v>28</v>
      </c>
      <c r="K14">
        <f t="shared" si="0"/>
        <v>2.5</v>
      </c>
    </row>
    <row r="15" spans="1:11" x14ac:dyDescent="0.35">
      <c r="A15" t="s">
        <v>118</v>
      </c>
      <c r="B15" t="s">
        <v>115</v>
      </c>
      <c r="C15" t="s">
        <v>116</v>
      </c>
      <c r="D15">
        <v>0.5</v>
      </c>
      <c r="E15">
        <v>3.2</v>
      </c>
      <c r="G15">
        <v>118</v>
      </c>
      <c r="H15">
        <v>-2.6</v>
      </c>
      <c r="I15">
        <v>-10.38665651</v>
      </c>
      <c r="J15">
        <v>29</v>
      </c>
      <c r="K15">
        <f t="shared" si="0"/>
        <v>2.6</v>
      </c>
    </row>
    <row r="16" spans="1:11" x14ac:dyDescent="0.35">
      <c r="A16" t="s">
        <v>118</v>
      </c>
      <c r="B16" t="s">
        <v>115</v>
      </c>
      <c r="C16" t="s">
        <v>116</v>
      </c>
      <c r="D16">
        <v>0.5</v>
      </c>
      <c r="E16">
        <v>4</v>
      </c>
      <c r="G16">
        <v>147</v>
      </c>
      <c r="H16">
        <v>-2.5</v>
      </c>
      <c r="I16">
        <v>-9.6244044239999997</v>
      </c>
      <c r="J16">
        <v>30</v>
      </c>
      <c r="K16">
        <f t="shared" si="0"/>
        <v>2.5</v>
      </c>
    </row>
    <row r="17" spans="1:11" x14ac:dyDescent="0.35">
      <c r="A17" t="s">
        <v>119</v>
      </c>
      <c r="B17" t="s">
        <v>115</v>
      </c>
      <c r="C17" t="s">
        <v>116</v>
      </c>
      <c r="D17">
        <v>0.5</v>
      </c>
      <c r="E17">
        <v>2.48</v>
      </c>
      <c r="F17">
        <v>7.31</v>
      </c>
      <c r="G17">
        <v>21</v>
      </c>
      <c r="H17">
        <v>-2.7</v>
      </c>
      <c r="I17">
        <v>-9.6695792130000005</v>
      </c>
      <c r="J17">
        <v>37</v>
      </c>
      <c r="K17">
        <f t="shared" si="0"/>
        <v>2.7</v>
      </c>
    </row>
    <row r="18" spans="1:11" x14ac:dyDescent="0.35">
      <c r="A18" t="s">
        <v>119</v>
      </c>
      <c r="B18" t="s">
        <v>115</v>
      </c>
      <c r="C18" t="s">
        <v>116</v>
      </c>
      <c r="D18">
        <v>0.5</v>
      </c>
      <c r="E18">
        <v>3.05</v>
      </c>
      <c r="F18">
        <v>7.27</v>
      </c>
      <c r="G18">
        <v>40</v>
      </c>
      <c r="H18">
        <v>-3.1</v>
      </c>
      <c r="I18">
        <v>-9.9863065770000006</v>
      </c>
      <c r="J18">
        <v>38</v>
      </c>
      <c r="K18">
        <f t="shared" si="0"/>
        <v>3.1</v>
      </c>
    </row>
    <row r="19" spans="1:11" x14ac:dyDescent="0.35">
      <c r="A19" t="s">
        <v>119</v>
      </c>
      <c r="B19" t="s">
        <v>115</v>
      </c>
      <c r="C19" t="s">
        <v>116</v>
      </c>
      <c r="D19">
        <v>0.5</v>
      </c>
      <c r="E19">
        <v>3.46</v>
      </c>
      <c r="F19">
        <v>7.14</v>
      </c>
      <c r="G19">
        <v>76</v>
      </c>
      <c r="H19">
        <v>-3</v>
      </c>
      <c r="I19">
        <v>-10.26080046</v>
      </c>
      <c r="J19">
        <v>39</v>
      </c>
      <c r="K19">
        <f t="shared" si="0"/>
        <v>3</v>
      </c>
    </row>
    <row r="20" spans="1:11" x14ac:dyDescent="0.35">
      <c r="A20" t="s">
        <v>119</v>
      </c>
      <c r="B20" t="s">
        <v>115</v>
      </c>
      <c r="C20" t="s">
        <v>116</v>
      </c>
      <c r="D20">
        <v>0.5</v>
      </c>
      <c r="E20">
        <v>4.5199999999999996</v>
      </c>
      <c r="G20">
        <v>120</v>
      </c>
      <c r="H20">
        <v>-3.1</v>
      </c>
      <c r="I20">
        <v>-9.8050488639999998</v>
      </c>
      <c r="J20">
        <v>40</v>
      </c>
      <c r="K20">
        <f t="shared" si="0"/>
        <v>3.1</v>
      </c>
    </row>
    <row r="21" spans="1:11" x14ac:dyDescent="0.35">
      <c r="A21" t="s">
        <v>119</v>
      </c>
      <c r="B21" t="s">
        <v>115</v>
      </c>
      <c r="C21" t="s">
        <v>116</v>
      </c>
      <c r="D21">
        <v>0.5</v>
      </c>
      <c r="E21">
        <v>5.04</v>
      </c>
      <c r="G21">
        <v>150</v>
      </c>
      <c r="H21">
        <v>-3</v>
      </c>
      <c r="I21">
        <v>-10.486528209999999</v>
      </c>
      <c r="J21">
        <v>41</v>
      </c>
      <c r="K21">
        <f t="shared" si="0"/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</sheetPr>
  <dimension ref="A1:K29"/>
  <sheetViews>
    <sheetView workbookViewId="0">
      <selection activeCell="I29" sqref="I29"/>
    </sheetView>
  </sheetViews>
  <sheetFormatPr defaultRowHeight="14.5" x14ac:dyDescent="0.35"/>
  <cols>
    <col min="1" max="10" width="13.54296875" customWidth="1"/>
  </cols>
  <sheetData>
    <row r="1" spans="1:11" x14ac:dyDescent="0.35">
      <c r="A1" t="s">
        <v>120</v>
      </c>
      <c r="B1" t="s">
        <v>121</v>
      </c>
      <c r="C1" t="s">
        <v>122</v>
      </c>
      <c r="D1" t="s">
        <v>123</v>
      </c>
      <c r="E1" t="s">
        <v>124</v>
      </c>
      <c r="F1" t="s">
        <v>16</v>
      </c>
      <c r="G1" t="s">
        <v>125</v>
      </c>
      <c r="H1" t="s">
        <v>126</v>
      </c>
      <c r="I1" t="s">
        <v>127</v>
      </c>
      <c r="K1" t="s">
        <v>129</v>
      </c>
    </row>
    <row r="2" spans="1:11" x14ac:dyDescent="0.35">
      <c r="A2" t="s">
        <v>114</v>
      </c>
      <c r="B2" t="s">
        <v>115</v>
      </c>
      <c r="C2" t="s">
        <v>116</v>
      </c>
      <c r="D2">
        <v>0.01</v>
      </c>
      <c r="E2">
        <v>0.20300000000000001</v>
      </c>
      <c r="F2">
        <v>6.88</v>
      </c>
      <c r="G2">
        <v>22</v>
      </c>
      <c r="H2">
        <v>-43.8</v>
      </c>
      <c r="I2">
        <v>-21.748319859999999</v>
      </c>
      <c r="J2">
        <v>1</v>
      </c>
      <c r="K2">
        <f>-1*H2</f>
        <v>43.8</v>
      </c>
    </row>
    <row r="3" spans="1:11" x14ac:dyDescent="0.35">
      <c r="A3" t="s">
        <v>114</v>
      </c>
      <c r="B3" t="s">
        <v>115</v>
      </c>
      <c r="C3" t="s">
        <v>116</v>
      </c>
      <c r="D3">
        <v>0.01</v>
      </c>
      <c r="E3">
        <v>0.22</v>
      </c>
      <c r="F3">
        <v>6.41</v>
      </c>
      <c r="G3">
        <v>39</v>
      </c>
      <c r="H3">
        <v>-39.4</v>
      </c>
      <c r="I3">
        <v>-15.60977027</v>
      </c>
      <c r="J3">
        <v>2</v>
      </c>
      <c r="K3">
        <f t="shared" ref="K3:K22" si="0">-1*H3</f>
        <v>39.4</v>
      </c>
    </row>
    <row r="4" spans="1:11" x14ac:dyDescent="0.35">
      <c r="A4" t="s">
        <v>114</v>
      </c>
      <c r="B4" t="s">
        <v>115</v>
      </c>
      <c r="C4" t="s">
        <v>116</v>
      </c>
      <c r="D4">
        <v>0.01</v>
      </c>
      <c r="E4">
        <v>0.25</v>
      </c>
      <c r="F4">
        <v>5.85</v>
      </c>
      <c r="G4">
        <v>78</v>
      </c>
      <c r="H4">
        <v>-37.9</v>
      </c>
      <c r="I4">
        <v>-11.23004117</v>
      </c>
      <c r="J4">
        <v>3</v>
      </c>
      <c r="K4">
        <f t="shared" si="0"/>
        <v>37.9</v>
      </c>
    </row>
    <row r="5" spans="1:11" x14ac:dyDescent="0.35">
      <c r="A5" t="s">
        <v>114</v>
      </c>
      <c r="B5" t="s">
        <v>115</v>
      </c>
      <c r="C5" t="s">
        <v>116</v>
      </c>
      <c r="D5">
        <v>0.01</v>
      </c>
      <c r="E5">
        <v>0.34</v>
      </c>
      <c r="G5">
        <v>118</v>
      </c>
      <c r="H5">
        <v>-36.5</v>
      </c>
      <c r="I5">
        <v>-10.66352348</v>
      </c>
      <c r="J5">
        <v>4</v>
      </c>
      <c r="K5">
        <f t="shared" si="0"/>
        <v>36.5</v>
      </c>
    </row>
    <row r="6" spans="1:11" x14ac:dyDescent="0.35">
      <c r="A6" t="s">
        <v>114</v>
      </c>
      <c r="B6" t="s">
        <v>115</v>
      </c>
      <c r="C6" t="s">
        <v>116</v>
      </c>
      <c r="D6">
        <v>0.01</v>
      </c>
      <c r="E6">
        <v>0.36</v>
      </c>
      <c r="G6">
        <v>147</v>
      </c>
      <c r="H6">
        <v>-36.1</v>
      </c>
      <c r="I6">
        <v>-9.1503950110000005</v>
      </c>
      <c r="J6">
        <v>5</v>
      </c>
      <c r="K6">
        <f t="shared" si="0"/>
        <v>36.1</v>
      </c>
    </row>
    <row r="7" spans="1:11" x14ac:dyDescent="0.35">
      <c r="A7" t="s">
        <v>117</v>
      </c>
      <c r="B7" t="s">
        <v>115</v>
      </c>
      <c r="C7" t="s">
        <v>116</v>
      </c>
      <c r="D7">
        <v>0.01</v>
      </c>
      <c r="E7">
        <v>0.18</v>
      </c>
      <c r="F7">
        <v>6.73</v>
      </c>
      <c r="G7">
        <v>22</v>
      </c>
      <c r="H7">
        <v>-42</v>
      </c>
      <c r="I7">
        <v>-22.45545701</v>
      </c>
      <c r="J7">
        <v>11</v>
      </c>
      <c r="K7">
        <f t="shared" si="0"/>
        <v>42</v>
      </c>
    </row>
    <row r="8" spans="1:11" x14ac:dyDescent="0.35">
      <c r="A8" t="s">
        <v>117</v>
      </c>
      <c r="B8" t="s">
        <v>115</v>
      </c>
      <c r="C8" t="s">
        <v>116</v>
      </c>
      <c r="D8">
        <v>0.01</v>
      </c>
      <c r="E8">
        <v>0.23</v>
      </c>
      <c r="F8">
        <v>6.36</v>
      </c>
      <c r="G8">
        <v>39</v>
      </c>
      <c r="H8">
        <v>-36.4</v>
      </c>
      <c r="I8">
        <v>-18.361140049999999</v>
      </c>
      <c r="J8">
        <v>12</v>
      </c>
      <c r="K8">
        <f t="shared" si="0"/>
        <v>36.4</v>
      </c>
    </row>
    <row r="9" spans="1:11" x14ac:dyDescent="0.35">
      <c r="A9" t="s">
        <v>117</v>
      </c>
      <c r="B9" t="s">
        <v>115</v>
      </c>
      <c r="C9" t="s">
        <v>116</v>
      </c>
      <c r="D9">
        <v>0.01</v>
      </c>
      <c r="E9">
        <v>0.28000000000000003</v>
      </c>
      <c r="F9">
        <v>5.96</v>
      </c>
      <c r="G9">
        <v>78</v>
      </c>
      <c r="H9">
        <v>-26.7</v>
      </c>
      <c r="I9">
        <v>-10.52608843</v>
      </c>
      <c r="J9">
        <v>13</v>
      </c>
      <c r="K9">
        <f t="shared" si="0"/>
        <v>26.7</v>
      </c>
    </row>
    <row r="10" spans="1:11" x14ac:dyDescent="0.35">
      <c r="A10" t="s">
        <v>117</v>
      </c>
      <c r="B10" t="s">
        <v>115</v>
      </c>
      <c r="C10" t="s">
        <v>116</v>
      </c>
      <c r="D10">
        <v>0.01</v>
      </c>
      <c r="E10">
        <v>0.39</v>
      </c>
      <c r="G10">
        <v>118</v>
      </c>
      <c r="H10">
        <v>-22.3</v>
      </c>
      <c r="I10">
        <v>-12.053138710000001</v>
      </c>
      <c r="J10">
        <v>14</v>
      </c>
      <c r="K10">
        <f t="shared" si="0"/>
        <v>22.3</v>
      </c>
    </row>
    <row r="11" spans="1:11" x14ac:dyDescent="0.35">
      <c r="A11" t="s">
        <v>117</v>
      </c>
      <c r="B11" t="s">
        <v>115</v>
      </c>
      <c r="C11" t="s">
        <v>116</v>
      </c>
      <c r="D11">
        <v>0.01</v>
      </c>
      <c r="E11">
        <v>0.36</v>
      </c>
      <c r="G11">
        <v>147</v>
      </c>
      <c r="H11">
        <v>-21</v>
      </c>
      <c r="I11">
        <v>-10.44771785</v>
      </c>
      <c r="J11">
        <v>15</v>
      </c>
      <c r="K11">
        <f t="shared" si="0"/>
        <v>21</v>
      </c>
    </row>
    <row r="12" spans="1:11" x14ac:dyDescent="0.35">
      <c r="A12" t="s">
        <v>118</v>
      </c>
      <c r="B12" t="s">
        <v>115</v>
      </c>
      <c r="C12" t="s">
        <v>116</v>
      </c>
      <c r="D12">
        <v>0.01</v>
      </c>
      <c r="E12">
        <v>6.7000000000000004E-2</v>
      </c>
      <c r="F12">
        <v>6.75</v>
      </c>
      <c r="G12">
        <v>21</v>
      </c>
      <c r="H12">
        <v>-72.3</v>
      </c>
      <c r="I12">
        <v>-21.32082647</v>
      </c>
      <c r="J12">
        <v>21</v>
      </c>
      <c r="K12">
        <f t="shared" si="0"/>
        <v>72.3</v>
      </c>
    </row>
    <row r="13" spans="1:11" x14ac:dyDescent="0.35">
      <c r="A13" t="s">
        <v>118</v>
      </c>
      <c r="B13" t="s">
        <v>115</v>
      </c>
      <c r="C13" t="s">
        <v>116</v>
      </c>
      <c r="D13">
        <v>0.01</v>
      </c>
      <c r="E13">
        <v>8.3000000000000004E-2</v>
      </c>
      <c r="F13">
        <v>6.33</v>
      </c>
      <c r="G13">
        <v>43</v>
      </c>
      <c r="H13">
        <v>-59.928600000000003</v>
      </c>
      <c r="I13">
        <v>-15.623324200000001</v>
      </c>
      <c r="J13">
        <v>22</v>
      </c>
      <c r="K13">
        <f t="shared" si="0"/>
        <v>59.928600000000003</v>
      </c>
    </row>
    <row r="14" spans="1:11" x14ac:dyDescent="0.35">
      <c r="A14" t="s">
        <v>118</v>
      </c>
      <c r="B14" t="s">
        <v>115</v>
      </c>
      <c r="C14" t="s">
        <v>116</v>
      </c>
      <c r="D14">
        <v>0.01</v>
      </c>
      <c r="E14">
        <v>0.122</v>
      </c>
      <c r="F14">
        <v>5.95</v>
      </c>
      <c r="G14">
        <v>82</v>
      </c>
      <c r="H14">
        <v>-45.753399999999999</v>
      </c>
      <c r="I14">
        <v>-11.48827146</v>
      </c>
      <c r="J14">
        <v>23</v>
      </c>
      <c r="K14">
        <f t="shared" si="0"/>
        <v>45.753399999999999</v>
      </c>
    </row>
    <row r="15" spans="1:11" x14ac:dyDescent="0.35">
      <c r="A15" t="s">
        <v>118</v>
      </c>
      <c r="B15" t="s">
        <v>115</v>
      </c>
      <c r="C15" t="s">
        <v>116</v>
      </c>
      <c r="D15">
        <v>0.01</v>
      </c>
      <c r="E15">
        <v>0.18</v>
      </c>
      <c r="G15">
        <v>118</v>
      </c>
      <c r="H15">
        <v>-44.090800000000002</v>
      </c>
      <c r="I15">
        <v>-10.83271549</v>
      </c>
      <c r="J15">
        <v>24</v>
      </c>
      <c r="K15">
        <f t="shared" si="0"/>
        <v>44.090800000000002</v>
      </c>
    </row>
    <row r="16" spans="1:11" x14ac:dyDescent="0.35">
      <c r="A16" t="s">
        <v>118</v>
      </c>
      <c r="B16" t="s">
        <v>115</v>
      </c>
      <c r="C16" t="s">
        <v>116</v>
      </c>
      <c r="D16">
        <v>0.01</v>
      </c>
      <c r="E16">
        <v>0.24</v>
      </c>
      <c r="G16">
        <v>146</v>
      </c>
      <c r="H16">
        <v>-43.553699999999999</v>
      </c>
      <c r="I16">
        <v>-9.9464604330000004</v>
      </c>
      <c r="J16">
        <v>25</v>
      </c>
      <c r="K16">
        <f t="shared" si="0"/>
        <v>43.553699999999999</v>
      </c>
    </row>
    <row r="17" spans="1:11" x14ac:dyDescent="0.35">
      <c r="A17" t="s">
        <v>119</v>
      </c>
      <c r="B17" t="s">
        <v>115</v>
      </c>
      <c r="C17" t="s">
        <v>116</v>
      </c>
      <c r="D17">
        <v>0.01</v>
      </c>
      <c r="E17">
        <v>7.0999999999999994E-2</v>
      </c>
      <c r="F17">
        <v>6.71</v>
      </c>
      <c r="G17">
        <v>22</v>
      </c>
      <c r="H17">
        <v>-223.2</v>
      </c>
      <c r="I17">
        <v>-21.66664389</v>
      </c>
      <c r="J17">
        <v>31</v>
      </c>
      <c r="K17">
        <f t="shared" si="0"/>
        <v>223.2</v>
      </c>
    </row>
    <row r="18" spans="1:11" x14ac:dyDescent="0.35">
      <c r="A18" t="s">
        <v>119</v>
      </c>
      <c r="B18" t="s">
        <v>115</v>
      </c>
      <c r="C18" t="s">
        <v>116</v>
      </c>
      <c r="D18">
        <v>0.01</v>
      </c>
      <c r="E18">
        <v>0.11799999999999999</v>
      </c>
      <c r="F18">
        <v>6.38</v>
      </c>
      <c r="G18">
        <v>38</v>
      </c>
      <c r="H18">
        <v>-141.4</v>
      </c>
      <c r="I18">
        <v>-17.251154</v>
      </c>
      <c r="J18">
        <v>32</v>
      </c>
      <c r="K18">
        <f t="shared" si="0"/>
        <v>141.4</v>
      </c>
    </row>
    <row r="19" spans="1:11" x14ac:dyDescent="0.35">
      <c r="A19" t="s">
        <v>119</v>
      </c>
      <c r="B19" t="s">
        <v>115</v>
      </c>
      <c r="C19" t="s">
        <v>116</v>
      </c>
      <c r="D19">
        <v>0.01</v>
      </c>
      <c r="E19">
        <v>0.15</v>
      </c>
      <c r="F19">
        <v>6.03</v>
      </c>
      <c r="G19">
        <v>70</v>
      </c>
      <c r="H19">
        <v>-93.5</v>
      </c>
      <c r="I19">
        <v>-14.323206109999999</v>
      </c>
      <c r="J19">
        <v>33</v>
      </c>
      <c r="K19">
        <f t="shared" si="0"/>
        <v>93.5</v>
      </c>
    </row>
    <row r="20" spans="1:11" x14ac:dyDescent="0.35">
      <c r="A20" t="s">
        <v>119</v>
      </c>
      <c r="B20" t="s">
        <v>115</v>
      </c>
      <c r="C20" t="s">
        <v>116</v>
      </c>
      <c r="D20">
        <v>0.01</v>
      </c>
      <c r="E20">
        <v>0.16</v>
      </c>
      <c r="F20">
        <v>5.83</v>
      </c>
      <c r="G20">
        <v>78</v>
      </c>
      <c r="H20">
        <v>-85.35</v>
      </c>
      <c r="I20">
        <v>-13.74557624</v>
      </c>
      <c r="J20">
        <v>34</v>
      </c>
      <c r="K20">
        <f t="shared" si="0"/>
        <v>85.35</v>
      </c>
    </row>
    <row r="21" spans="1:11" x14ac:dyDescent="0.35">
      <c r="A21" t="s">
        <v>119</v>
      </c>
      <c r="B21" t="s">
        <v>115</v>
      </c>
      <c r="C21" t="s">
        <v>116</v>
      </c>
      <c r="D21">
        <v>0.01</v>
      </c>
      <c r="E21">
        <v>0.22</v>
      </c>
      <c r="G21">
        <v>118</v>
      </c>
      <c r="H21">
        <v>-83.3</v>
      </c>
      <c r="I21">
        <v>-11.63812156</v>
      </c>
      <c r="J21">
        <v>35</v>
      </c>
      <c r="K21">
        <f t="shared" si="0"/>
        <v>83.3</v>
      </c>
    </row>
    <row r="22" spans="1:11" x14ac:dyDescent="0.35">
      <c r="A22" t="s">
        <v>119</v>
      </c>
      <c r="B22" t="s">
        <v>115</v>
      </c>
      <c r="C22" t="s">
        <v>116</v>
      </c>
      <c r="D22">
        <v>0.01</v>
      </c>
      <c r="E22">
        <v>0.28999999999999998</v>
      </c>
      <c r="G22">
        <v>147</v>
      </c>
      <c r="H22">
        <v>-82</v>
      </c>
      <c r="I22">
        <v>-10.05311345</v>
      </c>
      <c r="J22">
        <v>36</v>
      </c>
      <c r="K22">
        <f t="shared" si="0"/>
        <v>82</v>
      </c>
    </row>
    <row r="23" spans="1:11" ht="15" thickBot="1" x14ac:dyDescent="0.4"/>
    <row r="24" spans="1:11" x14ac:dyDescent="0.35">
      <c r="A24" s="58"/>
      <c r="B24" s="61" t="s">
        <v>135</v>
      </c>
      <c r="C24" s="61" t="s">
        <v>137</v>
      </c>
      <c r="D24" s="61" t="s">
        <v>2</v>
      </c>
      <c r="E24" s="61" t="s">
        <v>95</v>
      </c>
      <c r="F24" s="62" t="s">
        <v>0</v>
      </c>
    </row>
    <row r="25" spans="1:11" x14ac:dyDescent="0.35">
      <c r="A25" s="57"/>
      <c r="B25" s="63" t="s">
        <v>136</v>
      </c>
      <c r="C25" s="63" t="s">
        <v>138</v>
      </c>
      <c r="D25" s="63"/>
      <c r="E25" s="63"/>
      <c r="F25" s="64"/>
    </row>
    <row r="26" spans="1:11" x14ac:dyDescent="0.35">
      <c r="A26" s="59" t="s">
        <v>132</v>
      </c>
      <c r="B26" s="13" t="s">
        <v>140</v>
      </c>
      <c r="C26" s="13">
        <v>70</v>
      </c>
      <c r="D26" s="13">
        <v>18</v>
      </c>
      <c r="E26" s="13">
        <v>0.19</v>
      </c>
      <c r="F26" s="14">
        <f>-1*LOG(D26)/LOG(E26)</f>
        <v>1.7404211747353329</v>
      </c>
    </row>
    <row r="27" spans="1:11" x14ac:dyDescent="0.35">
      <c r="A27" s="59" t="s">
        <v>133</v>
      </c>
      <c r="B27" s="13" t="s">
        <v>140</v>
      </c>
      <c r="C27" s="13">
        <v>30</v>
      </c>
      <c r="D27" s="13">
        <v>21.5</v>
      </c>
      <c r="E27" s="13">
        <v>0.19</v>
      </c>
      <c r="F27" s="14">
        <f t="shared" ref="F27:F29" si="1">-1*LOG(D27)/LOG(E27)</f>
        <v>1.8474109010122921</v>
      </c>
    </row>
    <row r="28" spans="1:11" x14ac:dyDescent="0.35">
      <c r="A28" s="59" t="s">
        <v>134</v>
      </c>
      <c r="B28" s="13" t="s">
        <v>140</v>
      </c>
      <c r="C28" s="13">
        <v>2</v>
      </c>
      <c r="D28" s="13">
        <v>45</v>
      </c>
      <c r="E28" s="13">
        <v>0.13</v>
      </c>
      <c r="F28" s="14">
        <f t="shared" si="1"/>
        <v>1.8658090519149773</v>
      </c>
    </row>
    <row r="29" spans="1:11" ht="15" thickBot="1" x14ac:dyDescent="0.4">
      <c r="A29" s="60" t="s">
        <v>119</v>
      </c>
      <c r="B29" s="65" t="s">
        <v>139</v>
      </c>
      <c r="C29" s="65">
        <v>850</v>
      </c>
      <c r="D29" s="65">
        <v>10</v>
      </c>
      <c r="E29" s="65">
        <v>0.18</v>
      </c>
      <c r="F29" s="16">
        <f t="shared" si="1"/>
        <v>1.3427730369196542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"/>
  <sheetViews>
    <sheetView zoomScale="55" zoomScaleNormal="55" workbookViewId="0">
      <selection activeCell="S113" sqref="S1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>
      <selection activeCell="B28" sqref="B28"/>
    </sheetView>
  </sheetViews>
  <sheetFormatPr defaultRowHeight="14.5" x14ac:dyDescent="0.35"/>
  <cols>
    <col min="1" max="1" width="13.81640625" customWidth="1"/>
    <col min="2" max="3" width="12.26953125" customWidth="1"/>
  </cols>
  <sheetData>
    <row r="1" spans="1:3" x14ac:dyDescent="0.35">
      <c r="A1" s="151" t="s">
        <v>99</v>
      </c>
      <c r="B1" s="151" t="s">
        <v>163</v>
      </c>
      <c r="C1" s="151" t="s">
        <v>165</v>
      </c>
    </row>
    <row r="2" spans="1:3" x14ac:dyDescent="0.35">
      <c r="A2" s="151" t="s">
        <v>100</v>
      </c>
      <c r="B2" s="151" t="s">
        <v>164</v>
      </c>
      <c r="C2" s="151" t="s">
        <v>164</v>
      </c>
    </row>
    <row r="3" spans="1:3" x14ac:dyDescent="0.35">
      <c r="A3" s="4">
        <f>'1e-5M'!B5</f>
        <v>1.0000000000000001E-5</v>
      </c>
      <c r="B3" s="2">
        <f>'1e-5M'!X$37</f>
        <v>-98.11843514886192</v>
      </c>
      <c r="C3" s="2">
        <f>'1e-5M'!AI$37</f>
        <v>-92.282701565576261</v>
      </c>
    </row>
    <row r="4" spans="1:3" x14ac:dyDescent="0.35">
      <c r="A4" s="4">
        <f>'0.0001M'!B5</f>
        <v>1E-4</v>
      </c>
      <c r="B4" s="2">
        <f>'0.0001M'!X$37</f>
        <v>-136.42414493280927</v>
      </c>
      <c r="C4" s="2">
        <f>'0.0001M'!AJ$37</f>
        <v>-181.11491316415942</v>
      </c>
    </row>
    <row r="5" spans="1:3" x14ac:dyDescent="0.35">
      <c r="A5" s="4">
        <f>'0.001M'!B5</f>
        <v>1E-3</v>
      </c>
      <c r="B5" s="2">
        <f>'0.001M'!X$37</f>
        <v>-123.48264541471647</v>
      </c>
      <c r="C5" s="2">
        <f>'0.001M'!AI$37</f>
        <v>-120.23761655841439</v>
      </c>
    </row>
    <row r="6" spans="1:3" x14ac:dyDescent="0.35">
      <c r="A6" s="4">
        <f>'0.01M'!B5</f>
        <v>0.01</v>
      </c>
      <c r="B6" s="2">
        <f>'0.01M'!X$37</f>
        <v>-68.353572502699862</v>
      </c>
      <c r="C6" s="2">
        <f>'0.01M'!AI$37</f>
        <v>-80.027520017357745</v>
      </c>
    </row>
    <row r="7" spans="1:3" x14ac:dyDescent="0.35">
      <c r="A7" s="4">
        <f>'0.1M'!B5</f>
        <v>0.1</v>
      </c>
      <c r="B7" s="2">
        <f>'0.1M'!X$37</f>
        <v>-2.7261165272274988</v>
      </c>
      <c r="C7" s="2">
        <f>'0.1M'!AI$37</f>
        <v>-42.230729725326356</v>
      </c>
    </row>
    <row r="8" spans="1:3" x14ac:dyDescent="0.35">
      <c r="A8" s="4">
        <f>'0.5M'!B5</f>
        <v>0.5</v>
      </c>
      <c r="B8" s="2">
        <f>'0.5M'!X$37</f>
        <v>-2.6460297628551396E-3</v>
      </c>
      <c r="C8" s="2">
        <f>'0.5M'!AI$37</f>
        <v>-45.691425272715641</v>
      </c>
    </row>
    <row r="9" spans="1:3" x14ac:dyDescent="0.35">
      <c r="A9" s="4">
        <f>'1M'!B5</f>
        <v>1</v>
      </c>
      <c r="B9" s="2">
        <f>'1M'!X$37</f>
        <v>-9.0580141067300226E-6</v>
      </c>
      <c r="C9" s="2">
        <f>'1M'!AI$37</f>
        <v>-51.630414955822644</v>
      </c>
    </row>
    <row r="10" spans="1:3" x14ac:dyDescent="0.35">
      <c r="A10" s="1"/>
    </row>
    <row r="11" spans="1:3" ht="15.5" x14ac:dyDescent="0.35">
      <c r="A11" s="155" t="s">
        <v>143</v>
      </c>
      <c r="B11" s="154" t="s">
        <v>162</v>
      </c>
      <c r="C11" s="151" t="s">
        <v>166</v>
      </c>
    </row>
    <row r="12" spans="1:3" ht="18.5" x14ac:dyDescent="0.45">
      <c r="A12" s="152"/>
      <c r="B12" s="153"/>
      <c r="C12" s="151" t="s">
        <v>167</v>
      </c>
    </row>
    <row r="13" spans="1:3" x14ac:dyDescent="0.35">
      <c r="A13" s="57" t="s">
        <v>26</v>
      </c>
      <c r="B13" s="66">
        <v>2.4E-9</v>
      </c>
      <c r="C13" s="156">
        <f>Control!D23</f>
        <v>2.4E-9</v>
      </c>
    </row>
    <row r="14" spans="1:3" x14ac:dyDescent="0.35">
      <c r="A14" s="68" t="s">
        <v>23</v>
      </c>
      <c r="B14" s="66">
        <v>3.4999999999999999E-9</v>
      </c>
      <c r="C14" s="156">
        <f>Control!D22</f>
        <v>5.0000000000000001E-9</v>
      </c>
    </row>
    <row r="15" spans="1:3" x14ac:dyDescent="0.35">
      <c r="A15" s="57" t="s">
        <v>45</v>
      </c>
      <c r="B15" s="66">
        <v>5.0000000000000001E-9</v>
      </c>
      <c r="C15" s="156">
        <f>Control!D25</f>
        <v>5.0000000000000001E-9</v>
      </c>
    </row>
    <row r="16" spans="1:3" x14ac:dyDescent="0.35">
      <c r="A16" s="57" t="s">
        <v>19</v>
      </c>
      <c r="B16" s="67">
        <v>7.5</v>
      </c>
      <c r="C16" s="156">
        <f>Control!D18</f>
        <v>7.5</v>
      </c>
    </row>
    <row r="17" spans="1:3" x14ac:dyDescent="0.35">
      <c r="A17" s="57" t="s">
        <v>18</v>
      </c>
      <c r="B17" s="67">
        <v>8</v>
      </c>
      <c r="C17" s="156">
        <f>Control!D20</f>
        <v>7.7</v>
      </c>
    </row>
    <row r="18" spans="1:3" x14ac:dyDescent="0.35">
      <c r="A18" s="57" t="s">
        <v>14</v>
      </c>
      <c r="B18" s="67">
        <v>7</v>
      </c>
      <c r="C18" s="156">
        <f>Control!D14</f>
        <v>10</v>
      </c>
    </row>
    <row r="19" spans="1:3" x14ac:dyDescent="0.35">
      <c r="A19" s="68" t="s">
        <v>149</v>
      </c>
      <c r="B19" s="67">
        <v>-9.4999999999999998E-3</v>
      </c>
      <c r="C19" s="156">
        <f>Control!D30</f>
        <v>-9.4999999999999998E-3</v>
      </c>
    </row>
    <row r="21" spans="1:3" x14ac:dyDescent="0.35">
      <c r="A21" t="s">
        <v>168</v>
      </c>
    </row>
    <row r="22" spans="1:3" x14ac:dyDescent="0.35">
      <c r="A22" t="s">
        <v>169</v>
      </c>
    </row>
    <row r="23" spans="1:3" x14ac:dyDescent="0.35">
      <c r="A23" t="s">
        <v>170</v>
      </c>
    </row>
    <row r="24" spans="1:3" x14ac:dyDescent="0.35">
      <c r="A24" t="s">
        <v>171</v>
      </c>
    </row>
  </sheetData>
  <sortState xmlns:xlrd2="http://schemas.microsoft.com/office/spreadsheetml/2017/richdata2" ref="A12:B17">
    <sortCondition ref="B11"/>
  </sortState>
  <pageMargins left="0.7" right="0.7" top="0.75" bottom="0.75" header="0.3" footer="0.3"/>
  <pageSetup paperSize="0" orientation="portrait" horizontalDpi="0" verticalDpi="0" copie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J28"/>
  <sheetViews>
    <sheetView workbookViewId="0">
      <selection activeCell="I20" sqref="I20"/>
    </sheetView>
  </sheetViews>
  <sheetFormatPr defaultColWidth="11.453125" defaultRowHeight="14.5" x14ac:dyDescent="0.35"/>
  <cols>
    <col min="3" max="3" width="43.453125" customWidth="1"/>
  </cols>
  <sheetData>
    <row r="1" spans="1:10" ht="19" thickBot="1" x14ac:dyDescent="0.5">
      <c r="A1" s="139" t="s">
        <v>152</v>
      </c>
      <c r="B1" s="140"/>
      <c r="C1" s="140"/>
      <c r="D1" s="140"/>
      <c r="E1" s="140"/>
      <c r="F1" s="140"/>
    </row>
    <row r="2" spans="1:10" ht="16" thickBot="1" x14ac:dyDescent="0.4">
      <c r="A2" s="157" t="s">
        <v>54</v>
      </c>
      <c r="B2" s="158"/>
      <c r="C2" s="2"/>
      <c r="D2" s="159" t="s">
        <v>55</v>
      </c>
      <c r="E2" s="160"/>
      <c r="F2" s="161"/>
    </row>
    <row r="3" spans="1:10" ht="15.5" x14ac:dyDescent="0.35">
      <c r="A3" s="9" t="s">
        <v>20</v>
      </c>
      <c r="B3" s="137">
        <v>9.9999999999999995E-7</v>
      </c>
      <c r="C3" s="138" t="s">
        <v>150</v>
      </c>
      <c r="D3" s="10" t="s">
        <v>56</v>
      </c>
      <c r="E3" s="11"/>
      <c r="F3" s="12"/>
    </row>
    <row r="4" spans="1:10" ht="15.5" x14ac:dyDescent="0.35">
      <c r="A4" s="9" t="s">
        <v>51</v>
      </c>
      <c r="B4" s="137">
        <v>9.9999999999999995E-7</v>
      </c>
      <c r="C4" s="138" t="s">
        <v>151</v>
      </c>
      <c r="D4" s="9" t="s">
        <v>57</v>
      </c>
      <c r="E4" s="13" t="e">
        <f>(-$B$19/2+SQRT($B$20))^(1/3)</f>
        <v>#NUM!</v>
      </c>
      <c r="F4" s="27"/>
      <c r="H4" s="1"/>
    </row>
    <row r="5" spans="1:10" x14ac:dyDescent="0.35">
      <c r="A5" s="9" t="s">
        <v>58</v>
      </c>
      <c r="B5" s="29">
        <v>1E-14</v>
      </c>
      <c r="C5" s="2"/>
      <c r="D5" s="9" t="s">
        <v>59</v>
      </c>
      <c r="E5" s="13" t="e">
        <f>(-$B$19/2-SQRT($B$20))^(1/3)</f>
        <v>#NUM!</v>
      </c>
      <c r="F5" s="27"/>
      <c r="H5" s="1"/>
      <c r="I5" s="1"/>
      <c r="J5" s="1"/>
    </row>
    <row r="6" spans="1:10" x14ac:dyDescent="0.35">
      <c r="A6" s="9" t="s">
        <v>60</v>
      </c>
      <c r="B6" s="14">
        <v>0</v>
      </c>
      <c r="C6" s="141" t="s">
        <v>154</v>
      </c>
      <c r="D6" s="9" t="s">
        <v>61</v>
      </c>
      <c r="E6" s="13" t="e">
        <f>E4+E5</f>
        <v>#NUM!</v>
      </c>
      <c r="F6" s="27" t="s">
        <v>62</v>
      </c>
    </row>
    <row r="7" spans="1:10" ht="15" thickBot="1" x14ac:dyDescent="0.4">
      <c r="A7" s="15" t="s">
        <v>63</v>
      </c>
      <c r="B7" s="16">
        <v>0</v>
      </c>
      <c r="C7" s="141" t="s">
        <v>155</v>
      </c>
      <c r="D7" s="15" t="s">
        <v>84</v>
      </c>
      <c r="E7" s="17" t="e">
        <f>E6-($B$14/3)</f>
        <v>#NUM!</v>
      </c>
      <c r="F7" s="18" t="e">
        <f>-LOG10(E7)</f>
        <v>#NUM!</v>
      </c>
    </row>
    <row r="8" spans="1:10" ht="16" thickBot="1" x14ac:dyDescent="0.4">
      <c r="A8" s="157" t="s">
        <v>64</v>
      </c>
      <c r="B8" s="158"/>
      <c r="C8" s="2"/>
      <c r="D8" s="2"/>
      <c r="E8" s="2"/>
      <c r="F8" s="2"/>
    </row>
    <row r="9" spans="1:10" x14ac:dyDescent="0.35">
      <c r="A9" s="9" t="s">
        <v>65</v>
      </c>
      <c r="B9" s="14">
        <v>1</v>
      </c>
      <c r="C9" s="2"/>
      <c r="D9" s="10" t="s">
        <v>66</v>
      </c>
      <c r="E9" s="11"/>
      <c r="F9" s="12"/>
    </row>
    <row r="10" spans="1:10" x14ac:dyDescent="0.35">
      <c r="A10" s="9" t="s">
        <v>67</v>
      </c>
      <c r="B10" s="14">
        <f>B4-B3</f>
        <v>0</v>
      </c>
      <c r="C10" s="2"/>
      <c r="D10" s="9" t="s">
        <v>57</v>
      </c>
      <c r="E10" s="13" t="e">
        <f>(-$B$19/2+SQRT($B$20))^(1/3)</f>
        <v>#NUM!</v>
      </c>
      <c r="F10" s="27"/>
    </row>
    <row r="11" spans="1:10" x14ac:dyDescent="0.35">
      <c r="A11" s="9" t="s">
        <v>68</v>
      </c>
      <c r="B11" s="14">
        <f>-(B5+B6)</f>
        <v>-1E-14</v>
      </c>
      <c r="C11" s="2"/>
      <c r="D11" s="9" t="s">
        <v>59</v>
      </c>
      <c r="E11" s="13" t="e">
        <f>(-$B$19/2-SQRT($B$20))^(1/3)</f>
        <v>#NUM!</v>
      </c>
      <c r="F11" s="27"/>
    </row>
    <row r="12" spans="1:10" x14ac:dyDescent="0.35">
      <c r="A12" s="9" t="s">
        <v>69</v>
      </c>
      <c r="B12" s="14">
        <f>-2*B6*B7</f>
        <v>0</v>
      </c>
      <c r="C12" s="2"/>
      <c r="D12" s="9" t="s">
        <v>61</v>
      </c>
      <c r="E12" s="13" t="e">
        <f>E10+E11</f>
        <v>#NUM!</v>
      </c>
      <c r="F12" s="27"/>
    </row>
    <row r="13" spans="1:10" x14ac:dyDescent="0.35">
      <c r="A13" s="9"/>
      <c r="B13" s="14"/>
      <c r="C13" s="2"/>
      <c r="D13" s="9" t="s">
        <v>84</v>
      </c>
      <c r="E13" s="19" t="e">
        <f>E12-($B$14/3)</f>
        <v>#NUM!</v>
      </c>
      <c r="F13" s="20" t="e">
        <f>-LOG10(E13)</f>
        <v>#NUM!</v>
      </c>
    </row>
    <row r="14" spans="1:10" x14ac:dyDescent="0.35">
      <c r="A14" s="9" t="s">
        <v>70</v>
      </c>
      <c r="B14" s="14">
        <f>B10/B9</f>
        <v>0</v>
      </c>
      <c r="C14" s="2"/>
      <c r="D14" s="21" t="s">
        <v>89</v>
      </c>
      <c r="E14" s="13" t="e">
        <f>-0.5*(E10+E11)</f>
        <v>#NUM!</v>
      </c>
      <c r="F14" s="27"/>
    </row>
    <row r="15" spans="1:10" ht="15" thickBot="1" x14ac:dyDescent="0.4">
      <c r="A15" s="9" t="s">
        <v>71</v>
      </c>
      <c r="B15" s="14">
        <f>B11/B9</f>
        <v>-1E-14</v>
      </c>
      <c r="C15" s="2"/>
      <c r="D15" s="15" t="s">
        <v>88</v>
      </c>
      <c r="E15" s="17" t="e">
        <f>E14-($B$14/3)</f>
        <v>#NUM!</v>
      </c>
      <c r="F15" s="28" t="e">
        <f>-LOG10(E15)</f>
        <v>#NUM!</v>
      </c>
    </row>
    <row r="16" spans="1:10" ht="15" thickBot="1" x14ac:dyDescent="0.4">
      <c r="A16" s="9" t="s">
        <v>72</v>
      </c>
      <c r="B16" s="14">
        <f>B12/B9</f>
        <v>0</v>
      </c>
      <c r="C16" s="2"/>
      <c r="D16" s="2"/>
      <c r="E16" s="2"/>
      <c r="F16" s="2"/>
    </row>
    <row r="17" spans="1:6" x14ac:dyDescent="0.35">
      <c r="A17" s="9"/>
      <c r="B17" s="14"/>
      <c r="C17" s="2"/>
      <c r="D17" s="10" t="s">
        <v>73</v>
      </c>
      <c r="E17" s="11"/>
      <c r="F17" s="12"/>
    </row>
    <row r="18" spans="1:6" x14ac:dyDescent="0.35">
      <c r="A18" s="9" t="s">
        <v>74</v>
      </c>
      <c r="B18" s="14">
        <f>(3*B15-B14^2)/3</f>
        <v>-1E-14</v>
      </c>
      <c r="C18" s="2"/>
      <c r="D18" s="9" t="s">
        <v>75</v>
      </c>
      <c r="E18" s="13">
        <f>ACOS(1*(SQRT(($B$19^2/4)/(-$B$18^3/27))))</f>
        <v>1.5707963267948966</v>
      </c>
      <c r="F18" s="27"/>
    </row>
    <row r="19" spans="1:6" x14ac:dyDescent="0.35">
      <c r="A19" s="9" t="s">
        <v>76</v>
      </c>
      <c r="B19" s="14">
        <f>(2*B14^3-9*B14*B15+27*B16)/27</f>
        <v>0</v>
      </c>
      <c r="C19" s="2"/>
      <c r="D19" s="9" t="s">
        <v>77</v>
      </c>
      <c r="E19" s="13">
        <f>ACOS(-1*(SQRT(($B$19^2/4)/(-$B$18^3/27))))</f>
        <v>1.5707963267948966</v>
      </c>
      <c r="F19" s="27"/>
    </row>
    <row r="20" spans="1:6" ht="15" thickBot="1" x14ac:dyDescent="0.4">
      <c r="A20" s="9" t="s">
        <v>78</v>
      </c>
      <c r="B20" s="14">
        <f>(B18^3/27)+(B19^2/4)</f>
        <v>-3.7037037037037039E-44</v>
      </c>
      <c r="C20" s="2"/>
      <c r="D20" s="9" t="s">
        <v>61</v>
      </c>
      <c r="E20" s="13">
        <f>IF($B$19&lt;0,(2*SQRT($B$18/-3))*COS(E18+2*F20*PI()/3),(2*SQRT($B$18/-3))*COS(E19+2*F20*PI()/3))</f>
        <v>7.0733979023874581E-24</v>
      </c>
      <c r="F20" s="14">
        <v>0</v>
      </c>
    </row>
    <row r="21" spans="1:6" ht="15.5" x14ac:dyDescent="0.35">
      <c r="A21" s="157" t="s">
        <v>79</v>
      </c>
      <c r="B21" s="158"/>
      <c r="C21" s="2"/>
      <c r="D21" s="9" t="s">
        <v>80</v>
      </c>
      <c r="E21" s="13">
        <f>IF($B$19&lt;0,(2*SQRT($B$18/-3))*COS(E18+2*F21*PI()/3),(2*SQRT($B$18/-3))*COS(E19+2*F21*PI()/3))</f>
        <v>-1.0000000000000002E-7</v>
      </c>
      <c r="F21" s="14">
        <v>1</v>
      </c>
    </row>
    <row r="22" spans="1:6" x14ac:dyDescent="0.35">
      <c r="A22" s="9" t="s">
        <v>81</v>
      </c>
      <c r="B22" s="14" t="e">
        <f>F7</f>
        <v>#NUM!</v>
      </c>
      <c r="C22" s="2"/>
      <c r="D22" s="9" t="s">
        <v>82</v>
      </c>
      <c r="E22" s="13">
        <f>IF($B$19&lt;0,(2*SQRT($B$18/-3))*COS(E18+2*F22*PI()/3),(2*SQRT($B$18/-3))*COS(E19+2*F22*PI()/3))</f>
        <v>9.9999999999999969E-8</v>
      </c>
      <c r="F22" s="14">
        <v>2</v>
      </c>
    </row>
    <row r="23" spans="1:6" x14ac:dyDescent="0.35">
      <c r="A23" s="9" t="s">
        <v>83</v>
      </c>
      <c r="B23" s="22" t="e">
        <f>F13</f>
        <v>#NUM!</v>
      </c>
      <c r="C23" s="2"/>
      <c r="D23" s="9" t="s">
        <v>84</v>
      </c>
      <c r="E23" s="19">
        <f>E20-($B$14/3)</f>
        <v>7.0733979023874581E-24</v>
      </c>
      <c r="F23" s="20">
        <f>IF(E23&lt;0,"Error",-LOG10(E23))</f>
        <v>23.150371910707229</v>
      </c>
    </row>
    <row r="24" spans="1:6" x14ac:dyDescent="0.35">
      <c r="A24" s="9" t="s">
        <v>85</v>
      </c>
      <c r="B24" s="22">
        <f>IF(B3&gt;B4,MIN(F23:F25),IF(B4&gt;B3,MAX(F23:F25),F25))</f>
        <v>7</v>
      </c>
      <c r="C24" s="2"/>
      <c r="D24" s="9" t="s">
        <v>86</v>
      </c>
      <c r="E24" s="19">
        <f>E21-($B$14/3)</f>
        <v>-1.0000000000000002E-7</v>
      </c>
      <c r="F24" s="20" t="str">
        <f>IF(E24&lt;0,"Error",-LOG10(E24))</f>
        <v>Error</v>
      </c>
    </row>
    <row r="25" spans="1:6" ht="19" thickBot="1" x14ac:dyDescent="0.5">
      <c r="A25" s="23" t="s">
        <v>16</v>
      </c>
      <c r="B25" s="24">
        <f>IF(B20&gt;0,B22,IF(B20&lt;0,B24,B23))</f>
        <v>7</v>
      </c>
      <c r="C25" s="142" t="s">
        <v>153</v>
      </c>
      <c r="D25" s="15" t="s">
        <v>87</v>
      </c>
      <c r="E25" s="17">
        <f>E22-($B$14/3)</f>
        <v>9.9999999999999969E-8</v>
      </c>
      <c r="F25" s="18">
        <f>IF(E25&lt;0,"Error",-LOG10(E25))</f>
        <v>7</v>
      </c>
    </row>
    <row r="26" spans="1:6" x14ac:dyDescent="0.35">
      <c r="A26" s="25"/>
      <c r="B26" s="25"/>
      <c r="C26" s="2"/>
      <c r="D26" s="25"/>
      <c r="E26" s="25"/>
      <c r="F26" s="2"/>
    </row>
    <row r="27" spans="1:6" x14ac:dyDescent="0.35">
      <c r="A27" s="25"/>
      <c r="B27" s="13"/>
      <c r="C27" s="2"/>
      <c r="D27" s="25"/>
      <c r="E27" s="26"/>
      <c r="F27" s="2"/>
    </row>
    <row r="28" spans="1:6" x14ac:dyDescent="0.35">
      <c r="A28" s="2"/>
      <c r="B28" s="13"/>
      <c r="C28" s="2"/>
      <c r="D28" s="2"/>
      <c r="E28" s="2"/>
      <c r="F28" s="2"/>
    </row>
  </sheetData>
  <mergeCells count="4">
    <mergeCell ref="A2:B2"/>
    <mergeCell ref="D2:F2"/>
    <mergeCell ref="A8:B8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F51"/>
  <sheetViews>
    <sheetView topLeftCell="A5" zoomScale="85" zoomScaleNormal="85" workbookViewId="0">
      <selection activeCell="B24" sqref="B24"/>
    </sheetView>
  </sheetViews>
  <sheetFormatPr defaultRowHeight="21" x14ac:dyDescent="0.5"/>
  <cols>
    <col min="1" max="2" width="29.7265625" style="92" customWidth="1"/>
    <col min="3" max="3" width="23.54296875" style="92" customWidth="1"/>
    <col min="4" max="4" width="34.1796875" style="92" customWidth="1"/>
    <col min="5" max="6" width="29.7265625" style="92" customWidth="1"/>
  </cols>
  <sheetData>
    <row r="1" spans="1:4" x14ac:dyDescent="0.5">
      <c r="A1" s="147" t="s">
        <v>161</v>
      </c>
      <c r="B1" s="148"/>
      <c r="C1" s="149">
        <v>1</v>
      </c>
      <c r="D1" s="92">
        <v>0</v>
      </c>
    </row>
    <row r="2" spans="1:4" x14ac:dyDescent="0.5">
      <c r="A2" s="147" t="s">
        <v>159</v>
      </c>
      <c r="B2" s="150"/>
      <c r="C2" s="148"/>
    </row>
    <row r="3" spans="1:4" ht="23.5" x14ac:dyDescent="0.55000000000000004">
      <c r="A3" s="147" t="s">
        <v>160</v>
      </c>
      <c r="B3" s="150"/>
      <c r="C3" s="148"/>
      <c r="D3" s="146" t="s">
        <v>157</v>
      </c>
    </row>
    <row r="4" spans="1:4" ht="21.5" thickBot="1" x14ac:dyDescent="0.55000000000000004">
      <c r="B4" s="93"/>
      <c r="C4" s="91"/>
    </row>
    <row r="5" spans="1:4" x14ac:dyDescent="0.5">
      <c r="A5" s="94" t="s">
        <v>99</v>
      </c>
      <c r="B5" s="95">
        <v>1E-3</v>
      </c>
      <c r="C5" s="96" t="s">
        <v>100</v>
      </c>
      <c r="D5" s="97"/>
    </row>
    <row r="6" spans="1:4" x14ac:dyDescent="0.5">
      <c r="A6" s="98" t="s">
        <v>34</v>
      </c>
      <c r="B6" s="99">
        <f>0.000000052*$C$1</f>
        <v>5.2000000000000002E-8</v>
      </c>
      <c r="C6" s="100" t="s">
        <v>39</v>
      </c>
      <c r="D6" s="101"/>
    </row>
    <row r="7" spans="1:4" x14ac:dyDescent="0.5">
      <c r="A7" s="98" t="s">
        <v>35</v>
      </c>
      <c r="B7" s="99">
        <f>0.000000363*$C$1</f>
        <v>3.6300000000000001E-7</v>
      </c>
      <c r="C7" s="100" t="s">
        <v>39</v>
      </c>
      <c r="D7" s="101"/>
    </row>
    <row r="8" spans="1:4" x14ac:dyDescent="0.5">
      <c r="A8" s="98" t="s">
        <v>36</v>
      </c>
      <c r="B8" s="99">
        <f>0.000000079*$C$1</f>
        <v>7.9000000000000006E-8</v>
      </c>
      <c r="C8" s="100" t="s">
        <v>39</v>
      </c>
      <c r="D8" s="101"/>
    </row>
    <row r="9" spans="1:4" x14ac:dyDescent="0.5">
      <c r="A9" s="98" t="s">
        <v>37</v>
      </c>
      <c r="B9" s="99">
        <f>0.000000205*$C$1</f>
        <v>2.05E-7</v>
      </c>
      <c r="C9" s="100" t="s">
        <v>39</v>
      </c>
      <c r="D9" s="101"/>
    </row>
    <row r="10" spans="1:4" x14ac:dyDescent="0.5">
      <c r="A10" s="98" t="s">
        <v>3</v>
      </c>
      <c r="B10" s="102">
        <v>8.8500000000000005E-12</v>
      </c>
      <c r="C10" s="100" t="s">
        <v>4</v>
      </c>
      <c r="D10" s="101"/>
    </row>
    <row r="11" spans="1:4" x14ac:dyDescent="0.5">
      <c r="A11" s="98" t="s">
        <v>22</v>
      </c>
      <c r="B11" s="102">
        <v>1.3809999999999999E-23</v>
      </c>
      <c r="C11" s="100" t="s">
        <v>24</v>
      </c>
      <c r="D11" s="101"/>
    </row>
    <row r="12" spans="1:4" x14ac:dyDescent="0.5">
      <c r="A12" s="98" t="s">
        <v>21</v>
      </c>
      <c r="B12" s="102">
        <v>6.0220000000000003E+23</v>
      </c>
      <c r="C12" s="100" t="s">
        <v>12</v>
      </c>
      <c r="D12" s="101"/>
    </row>
    <row r="13" spans="1:4" x14ac:dyDescent="0.5">
      <c r="A13" s="98" t="s">
        <v>13</v>
      </c>
      <c r="B13" s="102">
        <v>1.602E-19</v>
      </c>
      <c r="C13" s="100" t="s">
        <v>96</v>
      </c>
      <c r="D13" s="128" t="s">
        <v>158</v>
      </c>
    </row>
    <row r="14" spans="1:4" x14ac:dyDescent="0.5">
      <c r="A14" s="98" t="s">
        <v>14</v>
      </c>
      <c r="B14" s="103">
        <f>IF(Sensitivity!$B$11="on",Sensitivity!B18,Control!D14)</f>
        <v>10</v>
      </c>
      <c r="C14" s="100" t="s">
        <v>112</v>
      </c>
      <c r="D14" s="104">
        <v>10</v>
      </c>
    </row>
    <row r="15" spans="1:4" x14ac:dyDescent="0.5">
      <c r="A15" s="98" t="s">
        <v>14</v>
      </c>
      <c r="B15" s="105">
        <f>B14*1000000000000000000</f>
        <v>1E+19</v>
      </c>
      <c r="C15" s="100" t="s">
        <v>113</v>
      </c>
      <c r="D15" s="101"/>
    </row>
    <row r="16" spans="1:4" x14ac:dyDescent="0.5">
      <c r="A16" s="98" t="s">
        <v>20</v>
      </c>
      <c r="B16" s="106">
        <v>0</v>
      </c>
      <c r="C16" s="105" t="s">
        <v>52</v>
      </c>
      <c r="D16" s="101"/>
    </row>
    <row r="17" spans="1:4" x14ac:dyDescent="0.5">
      <c r="A17" s="98" t="s">
        <v>51</v>
      </c>
      <c r="B17" s="106">
        <v>0</v>
      </c>
      <c r="C17" s="105" t="s">
        <v>53</v>
      </c>
      <c r="D17" s="101"/>
    </row>
    <row r="18" spans="1:4" x14ac:dyDescent="0.5">
      <c r="A18" s="98" t="s">
        <v>19</v>
      </c>
      <c r="B18" s="103">
        <f>IF(Sensitivity!$B$11="on",Sensitivity!B16,Control!D18)</f>
        <v>7.5</v>
      </c>
      <c r="C18" s="100" t="s">
        <v>1</v>
      </c>
      <c r="D18" s="107">
        <v>7.5</v>
      </c>
    </row>
    <row r="19" spans="1:4" x14ac:dyDescent="0.5">
      <c r="A19" s="98" t="s">
        <v>15</v>
      </c>
      <c r="B19" s="108">
        <f>10^-B18</f>
        <v>3.1622776601683699E-8</v>
      </c>
      <c r="C19" s="100" t="s">
        <v>1</v>
      </c>
      <c r="D19" s="101"/>
    </row>
    <row r="20" spans="1:4" x14ac:dyDescent="0.5">
      <c r="A20" s="98" t="s">
        <v>18</v>
      </c>
      <c r="B20" s="103">
        <f>IF(Sensitivity!$B$11="on",Sensitivity!B17,Control!D20)</f>
        <v>7.7</v>
      </c>
      <c r="C20" s="100" t="s">
        <v>1</v>
      </c>
      <c r="D20" s="107">
        <v>7.7</v>
      </c>
    </row>
    <row r="21" spans="1:4" x14ac:dyDescent="0.5">
      <c r="A21" s="98" t="s">
        <v>17</v>
      </c>
      <c r="B21" s="100">
        <f>10^-B20</f>
        <v>1.9952623149688773E-8</v>
      </c>
      <c r="C21" s="100" t="s">
        <v>1</v>
      </c>
      <c r="D21" s="101"/>
    </row>
    <row r="22" spans="1:4" x14ac:dyDescent="0.5">
      <c r="A22" s="109" t="s">
        <v>23</v>
      </c>
      <c r="B22" s="103">
        <f>IF(Sensitivity!$B$11="on",Sensitivity!B14,Control!D22)</f>
        <v>5.0000000000000001E-9</v>
      </c>
      <c r="C22" s="108" t="s">
        <v>9</v>
      </c>
      <c r="D22" s="110">
        <v>5.0000000000000001E-9</v>
      </c>
    </row>
    <row r="23" spans="1:4" x14ac:dyDescent="0.5">
      <c r="A23" s="98" t="s">
        <v>26</v>
      </c>
      <c r="B23" s="103">
        <f>IF(Sensitivity!$B$11="on",Sensitivity!B13,Control!D23)</f>
        <v>2.4E-9</v>
      </c>
      <c r="C23" s="100" t="s">
        <v>8</v>
      </c>
      <c r="D23" s="110">
        <v>2.4E-9</v>
      </c>
    </row>
    <row r="24" spans="1:4" x14ac:dyDescent="0.5">
      <c r="A24" s="111" t="s">
        <v>141</v>
      </c>
      <c r="B24" s="112" t="s">
        <v>142</v>
      </c>
      <c r="C24" s="100"/>
      <c r="D24" s="101"/>
    </row>
    <row r="25" spans="1:4" x14ac:dyDescent="0.5">
      <c r="A25" s="98" t="s">
        <v>45</v>
      </c>
      <c r="B25" s="113">
        <f>IF(Sensitivity!$B$11="on",Sensitivity!B15,Control!D25)</f>
        <v>5.0000000000000001E-9</v>
      </c>
      <c r="C25" s="100" t="s">
        <v>39</v>
      </c>
      <c r="D25" s="110">
        <v>5.0000000000000001E-9</v>
      </c>
    </row>
    <row r="26" spans="1:4" x14ac:dyDescent="0.5">
      <c r="A26" s="98" t="s">
        <v>31</v>
      </c>
      <c r="B26" s="114">
        <v>1.2999999999999999E-4</v>
      </c>
      <c r="C26" s="100" t="s">
        <v>9</v>
      </c>
      <c r="D26" s="101"/>
    </row>
    <row r="27" spans="1:4" x14ac:dyDescent="0.5">
      <c r="A27" s="98" t="s">
        <v>0</v>
      </c>
      <c r="B27" s="115">
        <v>1.84</v>
      </c>
      <c r="C27" s="100" t="s">
        <v>1</v>
      </c>
      <c r="D27" s="101"/>
    </row>
    <row r="28" spans="1:4" x14ac:dyDescent="0.5">
      <c r="A28" s="98" t="s">
        <v>2</v>
      </c>
      <c r="B28" s="116">
        <f>$B$29^-$B$27</f>
        <v>21.237010131998339</v>
      </c>
      <c r="C28" s="100" t="s">
        <v>1</v>
      </c>
      <c r="D28" s="101"/>
    </row>
    <row r="29" spans="1:4" x14ac:dyDescent="0.5">
      <c r="A29" s="98" t="s">
        <v>32</v>
      </c>
      <c r="B29" s="117">
        <v>0.19</v>
      </c>
      <c r="C29" s="100" t="s">
        <v>1</v>
      </c>
      <c r="D29" s="101"/>
    </row>
    <row r="30" spans="1:4" x14ac:dyDescent="0.5">
      <c r="A30" s="98" t="s">
        <v>44</v>
      </c>
      <c r="B30" s="113">
        <f>IF(Sensitivity!$B$11="on",Sensitivity!B19,Control!D30)</f>
        <v>-9.4999999999999998E-3</v>
      </c>
      <c r="C30" s="100" t="s">
        <v>5</v>
      </c>
      <c r="D30" s="107">
        <v>-9.4999999999999998E-3</v>
      </c>
    </row>
    <row r="31" spans="1:4" x14ac:dyDescent="0.5">
      <c r="A31" s="98"/>
      <c r="B31" s="118">
        <v>-9.4999999999999998E-3</v>
      </c>
      <c r="C31" s="100" t="s">
        <v>5</v>
      </c>
      <c r="D31" s="101"/>
    </row>
    <row r="32" spans="1:4" ht="21.5" thickBot="1" x14ac:dyDescent="0.55000000000000004">
      <c r="A32" s="119" t="s">
        <v>92</v>
      </c>
      <c r="B32" s="120">
        <f>0.001002*10^((1/(96+B2))*((20-B2)*(1.2378-0.001303*(20-B2)+0.00000306*(20-B2)^2+0.0000000255*(20-B2)^3)))</f>
        <v>1.7931270201288403E-3</v>
      </c>
      <c r="C32" s="121" t="s">
        <v>6</v>
      </c>
      <c r="D32" s="122">
        <v>0.5</v>
      </c>
    </row>
    <row r="40" spans="1:6" ht="21.5" thickBot="1" x14ac:dyDescent="0.55000000000000004"/>
    <row r="41" spans="1:6" x14ac:dyDescent="0.5">
      <c r="A41" s="131" t="s">
        <v>146</v>
      </c>
      <c r="B41" s="132">
        <v>7.5</v>
      </c>
    </row>
    <row r="42" spans="1:6" x14ac:dyDescent="0.5">
      <c r="A42" s="133" t="s">
        <v>147</v>
      </c>
      <c r="B42" s="134">
        <v>1</v>
      </c>
    </row>
    <row r="43" spans="1:6" ht="21.5" thickBot="1" x14ac:dyDescent="0.55000000000000004">
      <c r="A43" s="135" t="s">
        <v>148</v>
      </c>
      <c r="B43" s="136">
        <v>0.32</v>
      </c>
    </row>
    <row r="44" spans="1:6" x14ac:dyDescent="0.5">
      <c r="B44" s="91">
        <v>1</v>
      </c>
    </row>
    <row r="45" spans="1:6" ht="21.5" thickBot="1" x14ac:dyDescent="0.55000000000000004"/>
    <row r="46" spans="1:6" x14ac:dyDescent="0.5">
      <c r="A46" s="123"/>
      <c r="B46" s="124" t="str">
        <f>Vinogradov0.01M!B24</f>
        <v>gs</v>
      </c>
      <c r="C46" s="124" t="str">
        <f>Vinogradov0.01M!C24</f>
        <v>k</v>
      </c>
      <c r="D46" s="124" t="str">
        <f>Vinogradov0.01M!D24</f>
        <v>F</v>
      </c>
      <c r="E46" s="124" t="str">
        <f>Vinogradov0.01M!E24</f>
        <v>phi</v>
      </c>
      <c r="F46" s="125" t="str">
        <f>Vinogradov0.01M!F24</f>
        <v>m</v>
      </c>
    </row>
    <row r="47" spans="1:6" x14ac:dyDescent="0.5">
      <c r="A47" s="126"/>
      <c r="B47" s="127" t="str">
        <f>Vinogradov0.01M!B25</f>
        <v>micron</v>
      </c>
      <c r="C47" s="127" t="str">
        <f>Vinogradov0.01M!C25</f>
        <v>mD</v>
      </c>
      <c r="D47" s="127"/>
      <c r="E47" s="127"/>
      <c r="F47" s="128"/>
    </row>
    <row r="48" spans="1:6" x14ac:dyDescent="0.5">
      <c r="A48" s="126" t="str">
        <f>Vinogradov0.01M!A26</f>
        <v>St Bees1</v>
      </c>
      <c r="B48" s="100" t="str">
        <f>Vinogradov0.01M!B26</f>
        <v>60-200</v>
      </c>
      <c r="C48" s="100">
        <f>Vinogradov0.01M!C26</f>
        <v>70</v>
      </c>
      <c r="D48" s="100">
        <f>Vinogradov0.01M!D26</f>
        <v>18</v>
      </c>
      <c r="E48" s="100">
        <f>Vinogradov0.01M!E26</f>
        <v>0.19</v>
      </c>
      <c r="F48" s="101">
        <f>Vinogradov0.01M!F26</f>
        <v>1.7404211747353329</v>
      </c>
    </row>
    <row r="49" spans="1:6" x14ac:dyDescent="0.5">
      <c r="A49" s="126" t="str">
        <f>Vinogradov0.01M!A27</f>
        <v>St Bees2</v>
      </c>
      <c r="B49" s="100" t="str">
        <f>Vinogradov0.01M!B27</f>
        <v>60-200</v>
      </c>
      <c r="C49" s="100">
        <f>Vinogradov0.01M!C27</f>
        <v>30</v>
      </c>
      <c r="D49" s="100">
        <f>Vinogradov0.01M!D27</f>
        <v>21.5</v>
      </c>
      <c r="E49" s="100">
        <f>Vinogradov0.01M!E27</f>
        <v>0.19</v>
      </c>
      <c r="F49" s="101">
        <f>Vinogradov0.01M!F27</f>
        <v>1.8474109010122921</v>
      </c>
    </row>
    <row r="50" spans="1:6" x14ac:dyDescent="0.5">
      <c r="A50" s="126" t="str">
        <f>Vinogradov0.01M!A28</f>
        <v>Stainton</v>
      </c>
      <c r="B50" s="100" t="str">
        <f>Vinogradov0.01M!B28</f>
        <v>60-200</v>
      </c>
      <c r="C50" s="100">
        <f>Vinogradov0.01M!C28</f>
        <v>2</v>
      </c>
      <c r="D50" s="100">
        <f>Vinogradov0.01M!D28</f>
        <v>45</v>
      </c>
      <c r="E50" s="100">
        <f>Vinogradov0.01M!E28</f>
        <v>0.13</v>
      </c>
      <c r="F50" s="101">
        <f>Vinogradov0.01M!F28</f>
        <v>1.8658090519149773</v>
      </c>
    </row>
    <row r="51" spans="1:6" ht="21.5" thickBot="1" x14ac:dyDescent="0.55000000000000004">
      <c r="A51" s="129" t="str">
        <f>Vinogradov0.01M!A29</f>
        <v>Doddington</v>
      </c>
      <c r="B51" s="130" t="str">
        <f>Vinogradov0.01M!B29</f>
        <v>100-200</v>
      </c>
      <c r="C51" s="130">
        <f>Vinogradov0.01M!C29</f>
        <v>850</v>
      </c>
      <c r="D51" s="130">
        <f>Vinogradov0.01M!D29</f>
        <v>10</v>
      </c>
      <c r="E51" s="130">
        <f>Vinogradov0.01M!E29</f>
        <v>0.18</v>
      </c>
      <c r="F51" s="122">
        <f>Vinogradov0.01M!F29</f>
        <v>1.3427730369196542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V72"/>
  <sheetViews>
    <sheetView topLeftCell="E12" workbookViewId="0">
      <selection activeCell="G5" sqref="G5:G35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2.453125" customWidth="1"/>
    <col min="5" max="10" width="13.81640625" style="2" customWidth="1"/>
    <col min="11" max="11" width="13.81640625" style="41" customWidth="1"/>
    <col min="12" max="12" width="13.81640625" style="2" customWidth="1"/>
    <col min="13" max="13" width="13.81640625" style="5" customWidth="1"/>
    <col min="14" max="48" width="13.81640625" style="2" customWidth="1"/>
  </cols>
  <sheetData>
    <row r="1" spans="1:48" ht="18.5" x14ac:dyDescent="0.45">
      <c r="A1" s="7" t="s">
        <v>33</v>
      </c>
      <c r="B1" s="8"/>
      <c r="C1" s="52">
        <v>1</v>
      </c>
      <c r="E1" s="44" t="s">
        <v>102</v>
      </c>
      <c r="F1" s="44" t="s">
        <v>102</v>
      </c>
      <c r="G1" s="44" t="s">
        <v>97</v>
      </c>
      <c r="H1" s="44" t="s">
        <v>101</v>
      </c>
      <c r="I1" s="44" t="s">
        <v>101</v>
      </c>
      <c r="J1" s="44" t="s">
        <v>103</v>
      </c>
      <c r="K1" s="45" t="s">
        <v>104</v>
      </c>
      <c r="L1" s="44" t="s">
        <v>105</v>
      </c>
      <c r="M1" s="46" t="s">
        <v>106</v>
      </c>
      <c r="N1" s="44" t="s">
        <v>43</v>
      </c>
      <c r="O1" s="44" t="s">
        <v>58</v>
      </c>
      <c r="P1" s="44" t="s">
        <v>16</v>
      </c>
      <c r="Q1" s="44" t="s">
        <v>108</v>
      </c>
      <c r="R1" s="44" t="s">
        <v>107</v>
      </c>
      <c r="S1" s="44" t="s">
        <v>28</v>
      </c>
      <c r="T1" s="53"/>
      <c r="U1" s="44" t="s">
        <v>46</v>
      </c>
      <c r="V1" s="44" t="s">
        <v>109</v>
      </c>
      <c r="W1" s="44" t="s">
        <v>110</v>
      </c>
      <c r="X1" s="44" t="s">
        <v>110</v>
      </c>
      <c r="Y1" s="54"/>
      <c r="Z1" s="44" t="s">
        <v>25</v>
      </c>
      <c r="AA1" s="44" t="s">
        <v>38</v>
      </c>
      <c r="AB1" s="44" t="s">
        <v>40</v>
      </c>
      <c r="AC1" s="44" t="s">
        <v>41</v>
      </c>
      <c r="AD1" s="44" t="s">
        <v>42</v>
      </c>
      <c r="AE1" s="44" t="s">
        <v>27</v>
      </c>
      <c r="AF1" s="44" t="s">
        <v>26</v>
      </c>
      <c r="AG1" s="44" t="s">
        <v>29</v>
      </c>
      <c r="AH1" s="44" t="s">
        <v>10</v>
      </c>
      <c r="AI1" s="44" t="s">
        <v>10</v>
      </c>
      <c r="AJ1" s="54"/>
      <c r="AK1" s="55" t="s">
        <v>90</v>
      </c>
      <c r="AL1" s="44" t="s">
        <v>91</v>
      </c>
      <c r="AM1" s="44" t="s">
        <v>131</v>
      </c>
      <c r="AN1" s="87"/>
      <c r="AO1" s="44" t="s">
        <v>47</v>
      </c>
      <c r="AP1" s="44" t="s">
        <v>48</v>
      </c>
      <c r="AQ1" s="44" t="s">
        <v>49</v>
      </c>
      <c r="AR1" s="44" t="s">
        <v>50</v>
      </c>
      <c r="AS1" s="44" t="s">
        <v>27</v>
      </c>
      <c r="AT1" s="54"/>
      <c r="AU1" s="44" t="s">
        <v>110</v>
      </c>
      <c r="AV1" s="44" t="s">
        <v>10</v>
      </c>
    </row>
    <row r="2" spans="1:48" x14ac:dyDescent="0.35">
      <c r="B2" s="4"/>
      <c r="E2" s="44" t="s">
        <v>96</v>
      </c>
      <c r="F2" s="44" t="s">
        <v>11</v>
      </c>
      <c r="G2" s="44" t="s">
        <v>98</v>
      </c>
      <c r="H2" s="44" t="s">
        <v>93</v>
      </c>
      <c r="I2" s="44" t="s">
        <v>98</v>
      </c>
      <c r="J2" s="44" t="s">
        <v>94</v>
      </c>
      <c r="K2" s="45" t="s">
        <v>1</v>
      </c>
      <c r="L2" s="44" t="s">
        <v>6</v>
      </c>
      <c r="M2" s="46" t="s">
        <v>7</v>
      </c>
      <c r="N2" s="44" t="s">
        <v>1</v>
      </c>
      <c r="O2" s="44" t="s">
        <v>1</v>
      </c>
      <c r="P2" s="44" t="s">
        <v>1</v>
      </c>
      <c r="Q2" s="44" t="s">
        <v>1</v>
      </c>
      <c r="R2" s="44" t="s">
        <v>100</v>
      </c>
      <c r="S2" s="44" t="s">
        <v>9</v>
      </c>
      <c r="T2" s="53"/>
      <c r="U2" s="44" t="s">
        <v>1</v>
      </c>
      <c r="V2" s="44" t="s">
        <v>5</v>
      </c>
      <c r="W2" s="44" t="s">
        <v>5</v>
      </c>
      <c r="X2" s="44" t="s">
        <v>111</v>
      </c>
      <c r="Y2" s="54"/>
      <c r="Z2" s="44" t="s">
        <v>8</v>
      </c>
      <c r="AA2" s="44" t="s">
        <v>39</v>
      </c>
      <c r="AB2" s="44" t="s">
        <v>39</v>
      </c>
      <c r="AC2" s="44" t="s">
        <v>39</v>
      </c>
      <c r="AD2" s="44" t="s">
        <v>39</v>
      </c>
      <c r="AE2" s="44" t="s">
        <v>8</v>
      </c>
      <c r="AF2" s="44" t="s">
        <v>8</v>
      </c>
      <c r="AG2" s="44" t="s">
        <v>8</v>
      </c>
      <c r="AH2" s="44" t="s">
        <v>30</v>
      </c>
      <c r="AI2" s="44" t="s">
        <v>130</v>
      </c>
      <c r="AJ2" s="54"/>
      <c r="AK2" s="56" t="s">
        <v>9</v>
      </c>
      <c r="AL2" s="56" t="s">
        <v>9</v>
      </c>
      <c r="AM2" s="56" t="s">
        <v>9</v>
      </c>
      <c r="AN2" s="87"/>
      <c r="AO2" s="44" t="s">
        <v>8</v>
      </c>
      <c r="AP2" s="44" t="s">
        <v>8</v>
      </c>
      <c r="AQ2" s="44" t="s">
        <v>8</v>
      </c>
      <c r="AR2" s="44" t="s">
        <v>8</v>
      </c>
      <c r="AS2" s="44" t="s">
        <v>8</v>
      </c>
      <c r="AT2" s="54"/>
      <c r="AU2" s="44" t="s">
        <v>111</v>
      </c>
      <c r="AV2" s="44" t="s">
        <v>130</v>
      </c>
    </row>
    <row r="3" spans="1:48" x14ac:dyDescent="0.35">
      <c r="B3" s="4"/>
      <c r="E3" s="44"/>
      <c r="F3" s="44"/>
      <c r="G3" s="44"/>
      <c r="H3" s="44"/>
      <c r="I3" s="44"/>
      <c r="J3" s="44"/>
      <c r="K3" s="45"/>
      <c r="L3" s="44"/>
      <c r="M3" s="46"/>
      <c r="N3" s="44"/>
      <c r="O3" s="44"/>
      <c r="P3" s="44"/>
      <c r="Q3" s="44"/>
      <c r="R3" s="44"/>
      <c r="S3" s="44"/>
      <c r="T3" s="53"/>
      <c r="U3" s="44"/>
      <c r="V3" s="44"/>
      <c r="W3" s="44"/>
      <c r="X3" s="44"/>
      <c r="Y3" s="54"/>
      <c r="Z3" s="44"/>
      <c r="AA3" s="44"/>
      <c r="AB3" s="44"/>
      <c r="AC3" s="44"/>
      <c r="AD3" s="44"/>
      <c r="AE3" s="2" t="s">
        <v>128</v>
      </c>
      <c r="AJ3" s="54"/>
      <c r="AL3" s="56"/>
      <c r="AM3" s="56"/>
      <c r="AN3" s="88"/>
      <c r="AT3" s="54"/>
      <c r="AU3" s="44"/>
    </row>
    <row r="4" spans="1:48" x14ac:dyDescent="0.35">
      <c r="B4" s="4"/>
      <c r="T4" s="54"/>
      <c r="Y4" s="54"/>
      <c r="AJ4" s="54"/>
      <c r="AK4" s="5"/>
      <c r="AN4" s="88"/>
      <c r="AO4" s="5"/>
      <c r="AT4" s="54"/>
    </row>
    <row r="5" spans="1:48" x14ac:dyDescent="0.35">
      <c r="A5" t="s">
        <v>99</v>
      </c>
      <c r="B5" s="4">
        <v>1.0000000000000001E-5</v>
      </c>
      <c r="C5" s="2" t="s">
        <v>100</v>
      </c>
      <c r="E5" s="2">
        <v>0</v>
      </c>
      <c r="F5" s="2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42">
        <f>(($B$5*58.44)+(($G5/1000)*(1000-($B$5*58.44/2.16))))/1000</f>
        <v>0.99983983388786313</v>
      </c>
      <c r="I5" s="42">
        <f>H5*1000</f>
        <v>999.83983388786316</v>
      </c>
      <c r="J5" s="5">
        <f t="shared" ref="J5:J35" si="0">$B$5/($H5-($B$5*58.44/1000))</f>
        <v>1.0001607763570187E-5</v>
      </c>
      <c r="K5" s="41">
        <f t="shared" ref="K5:K35" si="1">(295.68-1.2283*$F5+0.002094*$F5^2-0.00000141*$F5^3)-13*$B$5+1.065*$B$5^2-0.03006*$B$5^3</f>
        <v>87.669234107072754</v>
      </c>
      <c r="L5" s="5">
        <f>(0.0495166+0.6034658*EXP(-0.06653081*$E5)+0.09703832*EXP(0.1447269*$J5)+1.025107*EXP(-0.02062455*$E5+0.1301095*$J5))*0.001</f>
        <v>1.775129194440131E-3</v>
      </c>
      <c r="M5" s="5">
        <f t="shared" ref="M5:M35" si="2">((5.6+0.27*$E5-0.00015*$E5^2)*$B$5)-((2.36+0.099*$E5)*($B$5^(3/2))/(1+0.214*SQRT($B$5)))</f>
        <v>5.5925420717065695E-5</v>
      </c>
      <c r="N5" s="42">
        <f>-LOG10(6.997844909E-16 + 5.017799566E-16*$E5 - 2.443366453E-17*$E5^2 + 7.194759186E-19*$E5^3)</f>
        <v>15.155035686876243</v>
      </c>
      <c r="O5" s="2">
        <f>10^(-1*$N5)</f>
        <v>6.9978449090000084E-16</v>
      </c>
      <c r="P5" s="83">
        <f>IF($B$31="on",$P$41+($P$41-$N5/2)*LN(P$40/$P$42)*$P$43,7)</f>
        <v>7.7855862891866634</v>
      </c>
      <c r="Q5" s="5">
        <f>10^(-1*P5)</f>
        <v>1.6383765028734783E-8</v>
      </c>
      <c r="R5" s="5">
        <f t="shared" ref="R5:R35" si="3">(2*$B$5+2*$Q5)/2</f>
        <v>1.0016383765028736E-5</v>
      </c>
      <c r="S5" s="2">
        <f t="shared" ref="S5:S35" si="4">(($K5*$B$17*$F5*$B$18)/(2*$B$19*$B$20^2*$R5*1000))^0.5</f>
        <v>9.7227545089137452E-8</v>
      </c>
      <c r="T5" s="54"/>
      <c r="U5" s="5">
        <f t="shared" ref="U5:U35" si="5">((10^-$P5+$B$5*$B$26)*SQRT(8000*$B$19*$B$17*$K5*$B$18*$F5)/(2*$B$20*$B$22*$B$28))*(($B$23+$B$24+$B$5+(10^-$P5)+10^($P5-$N5))/SQRT($R5))</f>
        <v>9.6725527321095812E-5</v>
      </c>
      <c r="V5" s="5">
        <f t="shared" ref="V5:V35" si="6">(2*$B$18*$F5*LN($U5))/(3*$B$20)</f>
        <v>-0.1451054808312616</v>
      </c>
      <c r="W5" s="4">
        <f t="shared" ref="W5:W35" si="7">$V5*EXP(-$B$29/$S5)+$B$37</f>
        <v>-0.14733194815284906</v>
      </c>
      <c r="X5" s="3">
        <f>W5*1000</f>
        <v>-147.33194815284907</v>
      </c>
      <c r="Y5" s="54"/>
      <c r="Z5" s="5">
        <f t="shared" ref="Z5:Z35" si="8">($B$20*$B$32*$B$22*$B$26*$B$5)/(10^-$P5+$B$28*$U5^(2/3)+$B$26*$B$5)</f>
        <v>1.5420462920370199E-13</v>
      </c>
      <c r="AA5" s="5">
        <f t="shared" ref="AA5:AA35" si="9">$B$6+((2*$B$17*$K5*$B$18*$F5)/($L5*$B$20*1))</f>
        <v>7.2583673475334153E-8</v>
      </c>
      <c r="AB5" s="5">
        <f t="shared" ref="AB5:AB35" si="10">$B$7+((2*$B$17*$K5*$B$18*$F5)/($L5*$B$20*1))</f>
        <v>3.8358367347533417E-7</v>
      </c>
      <c r="AC5" s="5">
        <f t="shared" ref="AC5:AC35" si="11">$B$8+((2*$B$17*$K5*$B$18*$F5)/($L5*$B$20*1))</f>
        <v>9.9583673475334143E-8</v>
      </c>
      <c r="AD5" s="5">
        <f t="shared" ref="AD5:AD35" si="12">$B$9+((2*$B$17*$K5*$B$18*$F5)/($L5*$B$20*1))</f>
        <v>2.2558367347533413E-7</v>
      </c>
      <c r="AE5" s="5">
        <f t="shared" ref="AE5:AE35" si="13">(SQRT((2000*$B$19*$B$17*$K5*$B$18*$F5)/($B$5+10^-$P5))*((($AA5*$B$5+$AB5*10^(-1*$P5))*($U5^(-1/3)-1)+($AC5*$B$5+$AD5*10^($P5-$N5))*($U5^(1/3)-1))))</f>
        <v>2.6746728831366321E-10</v>
      </c>
      <c r="AF5" s="5">
        <f>$B$30</f>
        <v>2.4E-9</v>
      </c>
      <c r="AG5" s="5">
        <f>$Z5+$AE5+$AF5</f>
        <v>2.6676214929428668E-9</v>
      </c>
      <c r="AH5" s="4">
        <f t="shared" ref="AH5:AH35" si="14">-1*($B$33*$K5*$B$17*$W5)/($L5*($B$33*$M5+4*$AF5*$B$34*$B$35))</f>
        <v>2.1891824080148211E-5</v>
      </c>
      <c r="AI5" s="4">
        <f>AH5*1000000*1000</f>
        <v>21891.82408014821</v>
      </c>
      <c r="AJ5" s="54"/>
      <c r="AK5" s="5">
        <f>$B$20^2/(4*PI()*$K5*$B$17*$B$18*$F5)</f>
        <v>6.9779811646922775E-10</v>
      </c>
      <c r="AL5" s="4">
        <f>$B$29</f>
        <v>5.0000000000000001E-9</v>
      </c>
      <c r="AM5" s="4">
        <f>2*S5</f>
        <v>1.944550901782749E-7</v>
      </c>
      <c r="AN5" s="88"/>
      <c r="AO5" s="5">
        <f>(SQRT((2000*$B$19*$B$17*$K5*$B$18*$F5)/($B$5+10^-$B$13))*((($AA5*$B$5)*($U5^(-1/3)-1))))</f>
        <v>8.956947679296283E-13</v>
      </c>
      <c r="AP5" s="5">
        <f>(SQRT((2000*$B$19*$B$17*$K5*$B$18*$F5)/($B$5+10^-$P5))*((($AB5*10^(-1*$P5))*($U5^(-1/3)-1))))</f>
        <v>2.4504261114502911E-12</v>
      </c>
      <c r="AQ5" s="5">
        <f>(SQRT((2000*$B$19*$B$17*$K5*$B$18*$F5)/($B$5+10^-$P5))*((($AC5*$B$5)*($U5^(1/3)-1))))</f>
        <v>-1.7823909353788425E-11</v>
      </c>
      <c r="AR5" s="5">
        <f>(SQRT((2000*$B$19*$B$17*$K5*$B$18*$F5)/($B$5+10^-$P5))*((($AD5*10^($P5-$N5))*($U5^(1/3)-1))))</f>
        <v>-1.724539273201765E-13</v>
      </c>
      <c r="AS5" s="5">
        <f>SUM(AO5:AR5)</f>
        <v>-1.4650242401728682E-11</v>
      </c>
      <c r="AT5" s="54"/>
      <c r="AU5" s="3">
        <v>-101.14019575500507</v>
      </c>
      <c r="AV5" s="4">
        <v>15028.2637317391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E6" s="2">
        <v>5</v>
      </c>
      <c r="F6" s="2">
        <f t="shared" ref="F6:F35" si="15">E6+273.15</f>
        <v>278.14999999999998</v>
      </c>
      <c r="G6" s="71">
        <f t="shared" ref="G6:G35" si="16">(((((-0.00000000028054253*E6+0.00000010556302)*E6-0.000046170461)*E6-0.0079870401)*E6+16.945176)*E6+999.83952)/(1+0.01687985*E6)</f>
        <v>999.96382124947729</v>
      </c>
      <c r="H6" s="42">
        <f t="shared" ref="H6:H35" si="17">(($B$5*58.44)+(($G6/1000)*(1000-($B$5*58.44/2.16))))/1000</f>
        <v>0.99996413510371007</v>
      </c>
      <c r="I6" s="42">
        <f t="shared" ref="I6:I35" si="18">H6*1000</f>
        <v>999.96413510371008</v>
      </c>
      <c r="J6" s="5">
        <f t="shared" si="0"/>
        <v>1.0000364506248895E-5</v>
      </c>
      <c r="K6" s="41">
        <f t="shared" si="1"/>
        <v>85.692762233697763</v>
      </c>
      <c r="L6" s="5">
        <f t="shared" ref="L6:L35" si="19">(0.0495166+0.6034658*EXP(-0.06653081*$E6)+0.09703832*EXP(0.1447269*$J6)+1.025107*EXP(-0.02062455*$E6+0.1301095*$J6))*0.001</f>
        <v>1.5039153935108168E-3</v>
      </c>
      <c r="M6" s="5">
        <f t="shared" si="2"/>
        <v>6.9372278028484146E-5</v>
      </c>
      <c r="N6" s="42">
        <f t="shared" ref="N6:N35" si="20">-LOG10(6.997844909E-16 + 5.017799566E-16*$E6 - 2.443366453E-17*$E6^2 + 7.194759186E-19*$E6^3)</f>
        <v>14.570606742437821</v>
      </c>
      <c r="O6" s="2">
        <f t="shared" ref="O6:O35" si="21">10^(-1*$N6)</f>
        <v>2.6877771504749887E-15</v>
      </c>
      <c r="P6" s="83">
        <f t="shared" ref="P6:P35" si="22">IF($B$31="on",$P$41+($P$41-$N6/2)*LN(P$40/$P$42)*$P$43,7)</f>
        <v>6.7090283888841391</v>
      </c>
      <c r="Q6" s="5">
        <f t="shared" ref="Q6:Q35" si="23">10^(-1*P6)</f>
        <v>1.9542117090381504E-7</v>
      </c>
      <c r="R6" s="5">
        <f t="shared" si="3"/>
        <v>1.0195421170903817E-5</v>
      </c>
      <c r="S6" s="2">
        <f t="shared" si="4"/>
        <v>9.6145642756041906E-8</v>
      </c>
      <c r="T6" s="54"/>
      <c r="U6" s="5">
        <f t="shared" si="5"/>
        <v>1.1578793629739574E-3</v>
      </c>
      <c r="V6" s="5">
        <f t="shared" si="6"/>
        <v>-0.1080787994763665</v>
      </c>
      <c r="W6" s="4">
        <f t="shared" si="7"/>
        <v>-0.11210186901411313</v>
      </c>
      <c r="X6" s="3">
        <f t="shared" ref="X6:X35" si="24">W6*1000</f>
        <v>-112.10186901411313</v>
      </c>
      <c r="Y6" s="54"/>
      <c r="Z6" s="5">
        <f t="shared" si="8"/>
        <v>1.2947071272317533E-14</v>
      </c>
      <c r="AA6" s="5">
        <f t="shared" si="9"/>
        <v>7.6182669194788598E-8</v>
      </c>
      <c r="AB6" s="5">
        <f t="shared" si="10"/>
        <v>3.8718266919478862E-7</v>
      </c>
      <c r="AC6" s="5">
        <f t="shared" si="11"/>
        <v>1.0318266919478859E-7</v>
      </c>
      <c r="AD6" s="5">
        <f t="shared" si="12"/>
        <v>2.2918266919478858E-7</v>
      </c>
      <c r="AE6" s="5">
        <f t="shared" si="13"/>
        <v>1.152325514760532E-10</v>
      </c>
      <c r="AF6" s="5">
        <f t="shared" ref="AF6:AF35" si="25">$B$30</f>
        <v>2.4E-9</v>
      </c>
      <c r="AG6" s="5">
        <f t="shared" ref="AG6:AG35" si="26">$Z6+$AE6+$AF6</f>
        <v>2.5152454985473255E-9</v>
      </c>
      <c r="AH6" s="4">
        <f t="shared" si="14"/>
        <v>1.913024672814666E-5</v>
      </c>
      <c r="AI6" s="4">
        <f t="shared" ref="AI6:AI35" si="27">AH6*1000000*1000</f>
        <v>19130.24672814666</v>
      </c>
      <c r="AJ6" s="54"/>
      <c r="AK6" s="5">
        <f t="shared" ref="AK6:AK35" si="28">$B$20^2/(4*PI()*$K6*$B$17*$B$18*$F6)</f>
        <v>7.010597017434444E-10</v>
      </c>
      <c r="AL6" s="4">
        <f t="shared" ref="AL6:AL35" si="29">$B$29</f>
        <v>5.0000000000000001E-9</v>
      </c>
      <c r="AM6" s="4">
        <f t="shared" ref="AM6:AM35" si="30">2*S6</f>
        <v>1.9229128551208381E-7</v>
      </c>
      <c r="AN6" s="88"/>
      <c r="AO6" s="5">
        <f t="shared" ref="AO6:AO35" si="31">(SQRT((2000*$B$19*$B$17*$K6*$B$18*$F6)/($B$5+10^-$B$13))*((($AA6*$B$5)*($U6^(-1/3)-1))))</f>
        <v>3.8460742479770278E-13</v>
      </c>
      <c r="AP6" s="5">
        <f t="shared" ref="AP6:AP35" si="32">(SQRT((2000*$B$19*$B$17*$K6*$B$18*$F6)/($B$5+10^-$P6))*((($AB6*10^(-1*$P6))*($U6^(-1/3)-1))))</f>
        <v>1.1963233670319253E-11</v>
      </c>
      <c r="AQ6" s="5">
        <f t="shared" ref="AQ6:AQ35" si="33">(SQRT((2000*$B$19*$B$17*$K6*$B$18*$F6)/($B$5+10^-$P6))*((($AC6*$B$5)*($U6^(1/3)-1))))</f>
        <v>-1.7131245066590658E-11</v>
      </c>
      <c r="AR6" s="5">
        <f t="shared" ref="AR6:AR35" si="34">(SQRT((2000*$B$19*$B$17*$K6*$B$18*$F6)/($B$5+10^-$P6))*((($AD6*10^($P6-$N6))*($U6^(1/3)-1))))</f>
        <v>-5.2334199924452915E-14</v>
      </c>
      <c r="AS6" s="5">
        <f t="shared" ref="AS6:AS35" si="35">SUM(AO6:AR6)</f>
        <v>-4.8357381713981542E-12</v>
      </c>
      <c r="AT6" s="54"/>
      <c r="AU6" s="3">
        <v>-102.81544358397331</v>
      </c>
      <c r="AV6" s="4">
        <v>17545.513028216712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E7" s="2">
        <v>10</v>
      </c>
      <c r="F7" s="2">
        <f t="shared" si="15"/>
        <v>283.14999999999998</v>
      </c>
      <c r="G7" s="71">
        <f t="shared" si="16"/>
        <v>999.69963437234651</v>
      </c>
      <c r="H7" s="42">
        <f t="shared" si="17"/>
        <v>0.99969994829805664</v>
      </c>
      <c r="I7" s="42">
        <f t="shared" si="18"/>
        <v>999.6999482980566</v>
      </c>
      <c r="J7" s="5">
        <f t="shared" si="0"/>
        <v>1.0003007265111895E-5</v>
      </c>
      <c r="K7" s="41">
        <f t="shared" si="1"/>
        <v>83.762161635322727</v>
      </c>
      <c r="L7" s="5">
        <f t="shared" si="19"/>
        <v>1.290868224964121E-3</v>
      </c>
      <c r="M7" s="5">
        <f t="shared" si="2"/>
        <v>8.2744135339902594E-5</v>
      </c>
      <c r="N7" s="42">
        <f t="shared" si="20"/>
        <v>14.398625266103792</v>
      </c>
      <c r="O7" s="2">
        <f t="shared" si="21"/>
        <v>3.9936935224999789E-15</v>
      </c>
      <c r="P7" s="83">
        <f t="shared" si="22"/>
        <v>6.3922268019418649</v>
      </c>
      <c r="Q7" s="5">
        <f t="shared" si="23"/>
        <v>4.0529682170004099E-7</v>
      </c>
      <c r="R7" s="5">
        <f t="shared" si="3"/>
        <v>1.0405296821700043E-5</v>
      </c>
      <c r="S7" s="2">
        <f t="shared" si="4"/>
        <v>9.4934829342391494E-8</v>
      </c>
      <c r="T7" s="54"/>
      <c r="U7" s="5">
        <f t="shared" si="5"/>
        <v>2.4189974508323606E-3</v>
      </c>
      <c r="V7" s="5">
        <f t="shared" si="6"/>
        <v>-9.8032578330378276E-2</v>
      </c>
      <c r="W7" s="4">
        <f t="shared" si="7"/>
        <v>-0.10250303676519935</v>
      </c>
      <c r="X7" s="3">
        <f t="shared" si="24"/>
        <v>-102.50303676519935</v>
      </c>
      <c r="Y7" s="54"/>
      <c r="Z7" s="5">
        <f t="shared" si="8"/>
        <v>6.2441579131748879E-15</v>
      </c>
      <c r="AA7" s="5">
        <f t="shared" si="9"/>
        <v>8.0034122392015775E-8</v>
      </c>
      <c r="AB7" s="5">
        <f t="shared" si="10"/>
        <v>3.9103412239201579E-7</v>
      </c>
      <c r="AC7" s="5">
        <f t="shared" si="11"/>
        <v>1.0703412239201579E-7</v>
      </c>
      <c r="AD7" s="5">
        <f t="shared" si="12"/>
        <v>2.3303412239201578E-7</v>
      </c>
      <c r="AE7" s="5">
        <f t="shared" si="13"/>
        <v>9.6260661633781015E-11</v>
      </c>
      <c r="AF7" s="5">
        <f t="shared" si="25"/>
        <v>2.4E-9</v>
      </c>
      <c r="AG7" s="5">
        <f t="shared" si="26"/>
        <v>2.496266905791694E-9</v>
      </c>
      <c r="AH7" s="4">
        <f t="shared" si="14"/>
        <v>1.9830280284805658E-5</v>
      </c>
      <c r="AI7" s="4">
        <f t="shared" si="27"/>
        <v>19830.280284805656</v>
      </c>
      <c r="AJ7" s="54"/>
      <c r="AK7" s="5">
        <f t="shared" si="28"/>
        <v>7.0455316090213685E-10</v>
      </c>
      <c r="AL7" s="4">
        <f t="shared" si="29"/>
        <v>5.0000000000000001E-9</v>
      </c>
      <c r="AM7" s="4">
        <f t="shared" si="30"/>
        <v>1.8986965868478299E-7</v>
      </c>
      <c r="AN7" s="88"/>
      <c r="AO7" s="5">
        <f t="shared" si="31"/>
        <v>3.0498513326466181E-13</v>
      </c>
      <c r="AP7" s="5">
        <f t="shared" si="32"/>
        <v>1.8722604876075949E-11</v>
      </c>
      <c r="AQ7" s="5">
        <f t="shared" si="33"/>
        <v>-1.6973802329455528E-11</v>
      </c>
      <c r="AR7" s="5">
        <f t="shared" si="34"/>
        <v>-3.6414801047791465E-14</v>
      </c>
      <c r="AS7" s="5">
        <f t="shared" si="35"/>
        <v>2.01737287883729E-12</v>
      </c>
      <c r="AT7" s="54"/>
      <c r="AU7" s="3">
        <v>-104.50308728004093</v>
      </c>
      <c r="AV7" s="4">
        <v>20217.210892920091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E8" s="2">
        <v>15</v>
      </c>
      <c r="F8" s="2">
        <f t="shared" si="15"/>
        <v>288.14999999999998</v>
      </c>
      <c r="G8" s="71">
        <f t="shared" si="16"/>
        <v>999.09960879081439</v>
      </c>
      <c r="H8" s="42">
        <f t="shared" si="17"/>
        <v>0.99909992287886473</v>
      </c>
      <c r="I8" s="42">
        <f t="shared" si="18"/>
        <v>999.09992287886473</v>
      </c>
      <c r="J8" s="5">
        <f t="shared" si="0"/>
        <v>1.0009014734435782E-5</v>
      </c>
      <c r="K8" s="41">
        <f t="shared" si="1"/>
        <v>81.876374811947798</v>
      </c>
      <c r="L8" s="5">
        <f t="shared" si="19"/>
        <v>1.121348318582761E-3</v>
      </c>
      <c r="M8" s="5">
        <f t="shared" si="2"/>
        <v>9.6040992651321027E-5</v>
      </c>
      <c r="N8" s="42">
        <f t="shared" si="20"/>
        <v>14.287591032741444</v>
      </c>
      <c r="O8" s="2">
        <f t="shared" si="21"/>
        <v>5.1571405459249914E-15</v>
      </c>
      <c r="P8" s="83">
        <f t="shared" si="22"/>
        <v>6.1876941855001331</v>
      </c>
      <c r="Q8" s="5">
        <f t="shared" si="23"/>
        <v>6.4909133935563725E-7</v>
      </c>
      <c r="R8" s="5">
        <f t="shared" si="3"/>
        <v>1.0649091339355637E-5</v>
      </c>
      <c r="S8" s="2">
        <f t="shared" si="4"/>
        <v>9.3595060230690129E-8</v>
      </c>
      <c r="T8" s="54"/>
      <c r="U8" s="5">
        <f t="shared" si="5"/>
        <v>3.9081043800332322E-3</v>
      </c>
      <c r="V8" s="5">
        <f t="shared" si="6"/>
        <v>-9.1819898239019884E-2</v>
      </c>
      <c r="W8" s="4">
        <f t="shared" si="7"/>
        <v>-9.6543449000932133E-2</v>
      </c>
      <c r="X8" s="3">
        <f t="shared" si="24"/>
        <v>-96.543449000932128</v>
      </c>
      <c r="Y8" s="54"/>
      <c r="Z8" s="5">
        <f t="shared" si="8"/>
        <v>3.8993784910889532E-15</v>
      </c>
      <c r="AA8" s="5">
        <f t="shared" si="9"/>
        <v>8.4102667922956764E-8</v>
      </c>
      <c r="AB8" s="5">
        <f t="shared" si="10"/>
        <v>3.9510266792295677E-7</v>
      </c>
      <c r="AC8" s="5">
        <f t="shared" si="11"/>
        <v>1.1110266792295677E-7</v>
      </c>
      <c r="AD8" s="5">
        <f t="shared" si="12"/>
        <v>2.3710266792295676E-7</v>
      </c>
      <c r="AE8" s="5">
        <f t="shared" si="13"/>
        <v>8.9072570759292342E-11</v>
      </c>
      <c r="AF8" s="5">
        <f t="shared" si="25"/>
        <v>2.4E-9</v>
      </c>
      <c r="AG8" s="5">
        <f t="shared" si="26"/>
        <v>2.4890764701377835E-9</v>
      </c>
      <c r="AH8" s="4">
        <f t="shared" si="14"/>
        <v>2.0923095893916684E-5</v>
      </c>
      <c r="AI8" s="4">
        <f t="shared" si="27"/>
        <v>20923.095893916685</v>
      </c>
      <c r="AJ8" s="54"/>
      <c r="AK8" s="5">
        <f t="shared" si="28"/>
        <v>7.0827348016459412E-10</v>
      </c>
      <c r="AL8" s="4">
        <f t="shared" si="29"/>
        <v>5.0000000000000001E-9</v>
      </c>
      <c r="AM8" s="4">
        <f t="shared" si="30"/>
        <v>1.8719012046138026E-7</v>
      </c>
      <c r="AN8" s="88"/>
      <c r="AO8" s="5">
        <f t="shared" si="31"/>
        <v>2.6508805870290351E-13</v>
      </c>
      <c r="AP8" s="5">
        <f t="shared" si="32"/>
        <v>2.4770915857326655E-11</v>
      </c>
      <c r="AQ8" s="5">
        <f t="shared" si="33"/>
        <v>-1.6903351660584899E-11</v>
      </c>
      <c r="AR8" s="5">
        <f t="shared" si="34"/>
        <v>-2.8660775175670148E-14</v>
      </c>
      <c r="AS8" s="5">
        <f t="shared" si="35"/>
        <v>8.103991480268988E-12</v>
      </c>
      <c r="AT8" s="54"/>
      <c r="AU8" s="3">
        <v>-106.19517524277805</v>
      </c>
      <c r="AV8" s="4">
        <v>23014.837962944315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E9" s="2">
        <v>20</v>
      </c>
      <c r="F9" s="2">
        <f t="shared" si="15"/>
        <v>293.14999999999998</v>
      </c>
      <c r="G9" s="71">
        <f t="shared" si="16"/>
        <v>998.20413220058367</v>
      </c>
      <c r="H9" s="42">
        <f t="shared" si="17"/>
        <v>0.99820444653091012</v>
      </c>
      <c r="I9" s="42">
        <f t="shared" si="18"/>
        <v>998.2044465309101</v>
      </c>
      <c r="J9" s="5">
        <f t="shared" si="0"/>
        <v>1.0017993697853017E-5</v>
      </c>
      <c r="K9" s="41">
        <f t="shared" si="1"/>
        <v>80.034344263572777</v>
      </c>
      <c r="L9" s="5">
        <f t="shared" si="19"/>
        <v>9.8468057767325985E-4</v>
      </c>
      <c r="M9" s="5">
        <f t="shared" si="2"/>
        <v>1.0926284996273946E-4</v>
      </c>
      <c r="N9" s="42">
        <f t="shared" si="20"/>
        <v>14.172777768292415</v>
      </c>
      <c r="O9" s="2">
        <f t="shared" si="21"/>
        <v>6.7177251596999975E-15</v>
      </c>
      <c r="P9" s="83">
        <f t="shared" si="22"/>
        <v>5.9762003365414778</v>
      </c>
      <c r="Q9" s="5">
        <f t="shared" si="23"/>
        <v>1.0563301202439018E-6</v>
      </c>
      <c r="R9" s="5">
        <f t="shared" si="3"/>
        <v>1.1056330120243903E-5</v>
      </c>
      <c r="S9" s="2">
        <f t="shared" si="4"/>
        <v>9.1600582528469249E-8</v>
      </c>
      <c r="T9" s="54"/>
      <c r="U9" s="5">
        <f t="shared" si="5"/>
        <v>6.4614427902971779E-3</v>
      </c>
      <c r="V9" s="5">
        <f t="shared" si="6"/>
        <v>-8.4942348009639221E-2</v>
      </c>
      <c r="W9" s="4">
        <f t="shared" si="7"/>
        <v>-8.993005799289211E-2</v>
      </c>
      <c r="X9" s="3">
        <f t="shared" si="24"/>
        <v>-89.930057992892102</v>
      </c>
      <c r="Y9" s="54"/>
      <c r="Z9" s="5">
        <f t="shared" si="8"/>
        <v>2.3963388899593902E-15</v>
      </c>
      <c r="AA9" s="5">
        <f t="shared" si="9"/>
        <v>8.8355937737167411E-8</v>
      </c>
      <c r="AB9" s="5">
        <f t="shared" si="10"/>
        <v>3.993559377371674E-7</v>
      </c>
      <c r="AC9" s="5">
        <f t="shared" si="11"/>
        <v>1.1535593773716743E-7</v>
      </c>
      <c r="AD9" s="5">
        <f t="shared" si="12"/>
        <v>2.4135593773716739E-7</v>
      </c>
      <c r="AE9" s="5">
        <f t="shared" si="13"/>
        <v>8.4186576389484761E-11</v>
      </c>
      <c r="AF9" s="5">
        <f t="shared" si="25"/>
        <v>2.4E-9</v>
      </c>
      <c r="AG9" s="5">
        <f t="shared" si="26"/>
        <v>2.4841889727283746E-9</v>
      </c>
      <c r="AH9" s="4">
        <f t="shared" si="14"/>
        <v>2.1599782783243384E-5</v>
      </c>
      <c r="AI9" s="4">
        <f t="shared" si="27"/>
        <v>21599.782783243383</v>
      </c>
      <c r="AJ9" s="54"/>
      <c r="AK9" s="5">
        <f t="shared" si="28"/>
        <v>7.1221631934142391E-10</v>
      </c>
      <c r="AL9" s="4">
        <f t="shared" si="29"/>
        <v>5.0000000000000001E-9</v>
      </c>
      <c r="AM9" s="4">
        <f t="shared" si="30"/>
        <v>1.832011650569385E-7</v>
      </c>
      <c r="AN9" s="88"/>
      <c r="AO9" s="5">
        <f t="shared" si="31"/>
        <v>2.2685514161805214E-13</v>
      </c>
      <c r="AP9" s="5">
        <f t="shared" si="32"/>
        <v>3.2573870739156609E-11</v>
      </c>
      <c r="AQ9" s="5">
        <f t="shared" si="33"/>
        <v>-1.659049513805328E-11</v>
      </c>
      <c r="AR9" s="5">
        <f t="shared" si="34"/>
        <v>-2.2074961230433081E-14</v>
      </c>
      <c r="AS9" s="5">
        <f t="shared" si="35"/>
        <v>1.6188155781490951E-11</v>
      </c>
      <c r="AT9" s="54"/>
      <c r="AU9" s="3">
        <v>-107.88321445230413</v>
      </c>
      <c r="AV9" s="4">
        <v>25911.848054003487</v>
      </c>
    </row>
    <row r="10" spans="1:48" x14ac:dyDescent="0.35">
      <c r="B10" s="4"/>
      <c r="E10" s="2">
        <v>25</v>
      </c>
      <c r="F10" s="2">
        <f t="shared" si="15"/>
        <v>298.14999999999998</v>
      </c>
      <c r="G10" s="71">
        <f t="shared" si="16"/>
        <v>997.04489541791554</v>
      </c>
      <c r="H10" s="42">
        <f t="shared" si="17"/>
        <v>0.99704521006187996</v>
      </c>
      <c r="I10" s="42">
        <f t="shared" si="18"/>
        <v>997.04521006187997</v>
      </c>
      <c r="J10" s="5">
        <f t="shared" si="0"/>
        <v>1.0029641344650529E-5</v>
      </c>
      <c r="K10" s="41">
        <f t="shared" si="1"/>
        <v>78.235012490197775</v>
      </c>
      <c r="L10" s="5">
        <f t="shared" si="19"/>
        <v>8.7304984229625269E-4</v>
      </c>
      <c r="M10" s="5">
        <f t="shared" si="2"/>
        <v>1.2240970727415791E-4</v>
      </c>
      <c r="N10" s="42">
        <f t="shared" si="20"/>
        <v>14.035502101212563</v>
      </c>
      <c r="O10" s="2">
        <f t="shared" si="21"/>
        <v>9.215054302775012E-15</v>
      </c>
      <c r="P10" s="83">
        <f t="shared" si="22"/>
        <v>5.7233292128223745</v>
      </c>
      <c r="Q10" s="5">
        <f t="shared" si="23"/>
        <v>1.8909096890287391E-6</v>
      </c>
      <c r="R10" s="5">
        <f t="shared" si="3"/>
        <v>1.1890909689028741E-5</v>
      </c>
      <c r="S10" s="2">
        <f t="shared" si="4"/>
        <v>8.807061602283113E-8</v>
      </c>
      <c r="T10" s="54"/>
      <c r="U10" s="5">
        <f t="shared" si="5"/>
        <v>1.1958196215764529E-2</v>
      </c>
      <c r="V10" s="5">
        <f t="shared" si="6"/>
        <v>-7.5843668412544016E-2</v>
      </c>
      <c r="W10" s="4">
        <f t="shared" si="7"/>
        <v>-8.1157770761279127E-2</v>
      </c>
      <c r="X10" s="3">
        <f t="shared" si="24"/>
        <v>-81.157770761279124</v>
      </c>
      <c r="Y10" s="54"/>
      <c r="Z10" s="5">
        <f t="shared" si="8"/>
        <v>1.3388196672445363E-15</v>
      </c>
      <c r="AA10" s="5">
        <f t="shared" si="9"/>
        <v>9.2766306453252277E-8</v>
      </c>
      <c r="AB10" s="5">
        <f t="shared" si="10"/>
        <v>4.0376630645325227E-7</v>
      </c>
      <c r="AC10" s="5">
        <f t="shared" si="11"/>
        <v>1.1976630645325227E-7</v>
      </c>
      <c r="AD10" s="5">
        <f t="shared" si="12"/>
        <v>2.4576630645325226E-7</v>
      </c>
      <c r="AE10" s="5">
        <f t="shared" si="13"/>
        <v>8.1217168379639129E-11</v>
      </c>
      <c r="AF10" s="5">
        <f t="shared" si="25"/>
        <v>2.4E-9</v>
      </c>
      <c r="AG10" s="5">
        <f t="shared" si="26"/>
        <v>2.4812185071993063E-9</v>
      </c>
      <c r="AH10" s="4">
        <f t="shared" si="14"/>
        <v>2.1397027059881363E-5</v>
      </c>
      <c r="AI10" s="4">
        <f t="shared" si="27"/>
        <v>21397.027059881362</v>
      </c>
      <c r="AJ10" s="54"/>
      <c r="AK10" s="5">
        <f t="shared" si="28"/>
        <v>7.1637800016880238E-10</v>
      </c>
      <c r="AL10" s="4">
        <f t="shared" si="29"/>
        <v>5.0000000000000001E-9</v>
      </c>
      <c r="AM10" s="4">
        <f t="shared" si="30"/>
        <v>1.7614123204566226E-7</v>
      </c>
      <c r="AN10" s="88"/>
      <c r="AO10" s="5">
        <f t="shared" si="31"/>
        <v>1.8334728908058932E-13</v>
      </c>
      <c r="AP10" s="5">
        <f t="shared" si="32"/>
        <v>4.3760242611187576E-11</v>
      </c>
      <c r="AQ10" s="5">
        <f t="shared" si="33"/>
        <v>-1.5697677659389935E-11</v>
      </c>
      <c r="AR10" s="5">
        <f t="shared" si="34"/>
        <v>-1.5698212544730072E-14</v>
      </c>
      <c r="AS10" s="5">
        <f t="shared" si="35"/>
        <v>2.8230214028333505E-11</v>
      </c>
      <c r="AT10" s="54"/>
      <c r="AU10" s="3">
        <v>-109.5581862765943</v>
      </c>
      <c r="AV10" s="4">
        <v>28884.719903947</v>
      </c>
    </row>
    <row r="11" spans="1:48" x14ac:dyDescent="0.35">
      <c r="B11" s="4"/>
      <c r="E11" s="2">
        <v>30</v>
      </c>
      <c r="F11" s="2">
        <f t="shared" si="15"/>
        <v>303.14999999999998</v>
      </c>
      <c r="G11" s="71">
        <f t="shared" si="16"/>
        <v>995.64725885447808</v>
      </c>
      <c r="H11" s="42">
        <f t="shared" si="17"/>
        <v>0.99564757387658087</v>
      </c>
      <c r="I11" s="42">
        <f t="shared" si="18"/>
        <v>995.64757387658085</v>
      </c>
      <c r="J11" s="5">
        <f t="shared" si="0"/>
        <v>1.0043720420685523E-5</v>
      </c>
      <c r="K11" s="41">
        <f t="shared" si="1"/>
        <v>76.477321991822762</v>
      </c>
      <c r="L11" s="5">
        <f t="shared" si="19"/>
        <v>7.8070734689798555E-4</v>
      </c>
      <c r="M11" s="5">
        <f t="shared" si="2"/>
        <v>1.3548156458557636E-4</v>
      </c>
      <c r="N11" s="42">
        <f t="shared" si="20"/>
        <v>13.879796860721664</v>
      </c>
      <c r="O11" s="2">
        <f t="shared" si="21"/>
        <v>1.3188734914099951E-14</v>
      </c>
      <c r="P11" s="83">
        <f t="shared" si="22"/>
        <v>5.436509560298056</v>
      </c>
      <c r="Q11" s="5">
        <f t="shared" si="23"/>
        <v>3.6600788339150345E-6</v>
      </c>
      <c r="R11" s="5">
        <f t="shared" si="3"/>
        <v>1.3660078833915036E-5</v>
      </c>
      <c r="S11" s="2">
        <f t="shared" si="4"/>
        <v>8.1919842530287826E-8</v>
      </c>
      <c r="T11" s="54"/>
      <c r="U11" s="5">
        <f t="shared" si="5"/>
        <v>2.472965663516195E-2</v>
      </c>
      <c r="V11" s="5">
        <f t="shared" si="6"/>
        <v>-6.4457002252624074E-2</v>
      </c>
      <c r="W11" s="4">
        <f t="shared" si="7"/>
        <v>-7.0140506640420874E-2</v>
      </c>
      <c r="X11" s="3">
        <f t="shared" si="24"/>
        <v>-70.140506640420881</v>
      </c>
      <c r="Y11" s="54"/>
      <c r="Z11" s="5">
        <f t="shared" si="8"/>
        <v>6.9173719270951139E-16</v>
      </c>
      <c r="AA11" s="5">
        <f t="shared" si="9"/>
        <v>9.7311288399183205E-8</v>
      </c>
      <c r="AB11" s="5">
        <f t="shared" si="10"/>
        <v>4.0831128839918322E-7</v>
      </c>
      <c r="AC11" s="5">
        <f t="shared" si="11"/>
        <v>1.2431128839918322E-7</v>
      </c>
      <c r="AD11" s="5">
        <f t="shared" si="12"/>
        <v>2.5031128839918321E-7</v>
      </c>
      <c r="AE11" s="5">
        <f t="shared" si="13"/>
        <v>8.0933881571585432E-11</v>
      </c>
      <c r="AF11" s="5">
        <f t="shared" si="25"/>
        <v>2.4E-9</v>
      </c>
      <c r="AG11" s="5">
        <f t="shared" si="26"/>
        <v>2.4809345733087782E-9</v>
      </c>
      <c r="AH11" s="4">
        <f t="shared" si="14"/>
        <v>2.0127568233140482E-5</v>
      </c>
      <c r="AI11" s="4">
        <f t="shared" si="27"/>
        <v>20127.568233140482</v>
      </c>
      <c r="AJ11" s="54"/>
      <c r="AK11" s="5">
        <f t="shared" si="28"/>
        <v>7.2075550111180241E-10</v>
      </c>
      <c r="AL11" s="4">
        <f t="shared" si="29"/>
        <v>5.0000000000000001E-9</v>
      </c>
      <c r="AM11" s="4">
        <f t="shared" si="30"/>
        <v>1.6383968506057565E-7</v>
      </c>
      <c r="AN11" s="88"/>
      <c r="AO11" s="5">
        <f t="shared" si="31"/>
        <v>1.3827366739224805E-13</v>
      </c>
      <c r="AP11" s="5">
        <f t="shared" si="32"/>
        <v>5.7455770646677488E-11</v>
      </c>
      <c r="AQ11" s="5">
        <f t="shared" si="33"/>
        <v>-1.3924141372134121E-11</v>
      </c>
      <c r="AR11" s="5">
        <f t="shared" si="34"/>
        <v>-1.0103014855996319E-14</v>
      </c>
      <c r="AS11" s="5">
        <f t="shared" si="35"/>
        <v>4.3659799927079617E-11</v>
      </c>
      <c r="AT11" s="54"/>
      <c r="AU11" s="3">
        <v>-111.21061002095871</v>
      </c>
      <c r="AV11" s="4">
        <v>31913.073468350151</v>
      </c>
    </row>
    <row r="12" spans="1:48" x14ac:dyDescent="0.35">
      <c r="B12" s="4"/>
      <c r="E12" s="2">
        <v>35</v>
      </c>
      <c r="F12" s="2">
        <f t="shared" si="15"/>
        <v>308.14999999999998</v>
      </c>
      <c r="G12" s="71">
        <f t="shared" si="16"/>
        <v>994.03186567551825</v>
      </c>
      <c r="H12" s="42">
        <f t="shared" si="17"/>
        <v>0.99403218113467462</v>
      </c>
      <c r="I12" s="42">
        <f t="shared" si="18"/>
        <v>994.0321811346746</v>
      </c>
      <c r="J12" s="5">
        <f t="shared" si="0"/>
        <v>1.0060042389848886E-5</v>
      </c>
      <c r="K12" s="41">
        <f t="shared" si="1"/>
        <v>74.760215268447752</v>
      </c>
      <c r="L12" s="5">
        <f t="shared" si="19"/>
        <v>7.0340019101138159E-4</v>
      </c>
      <c r="M12" s="5">
        <f t="shared" si="2"/>
        <v>1.4847842189699481E-4</v>
      </c>
      <c r="N12" s="42">
        <f t="shared" si="20"/>
        <v>13.717188217917446</v>
      </c>
      <c r="O12" s="2">
        <f t="shared" si="21"/>
        <v>1.9178373932624932E-14</v>
      </c>
      <c r="P12" s="83">
        <f t="shared" si="22"/>
        <v>5.1369733707676684</v>
      </c>
      <c r="Q12" s="5">
        <f t="shared" si="23"/>
        <v>7.2950223909609705E-6</v>
      </c>
      <c r="R12" s="5">
        <f t="shared" si="3"/>
        <v>1.7295022390960972E-5</v>
      </c>
      <c r="S12" s="2">
        <f t="shared" si="4"/>
        <v>7.257321834632924E-8</v>
      </c>
      <c r="T12" s="54"/>
      <c r="U12" s="5">
        <f t="shared" si="5"/>
        <v>5.5279094082405472E-2</v>
      </c>
      <c r="V12" s="5">
        <f t="shared" si="6"/>
        <v>-5.1274888328918827E-2</v>
      </c>
      <c r="W12" s="4">
        <f t="shared" si="7"/>
        <v>-5.7361201536748077E-2</v>
      </c>
      <c r="X12" s="3">
        <f t="shared" si="24"/>
        <v>-57.361201536748077</v>
      </c>
      <c r="Y12" s="54"/>
      <c r="Z12" s="5">
        <f t="shared" si="8"/>
        <v>3.4708315050689553E-16</v>
      </c>
      <c r="AA12" s="5">
        <f t="shared" si="9"/>
        <v>1.0197291307946465E-7</v>
      </c>
      <c r="AB12" s="5">
        <f t="shared" si="10"/>
        <v>4.1297291307946466E-7</v>
      </c>
      <c r="AC12" s="5">
        <f t="shared" si="11"/>
        <v>1.2897291307946466E-7</v>
      </c>
      <c r="AD12" s="5">
        <f t="shared" si="12"/>
        <v>2.5497291307946465E-7</v>
      </c>
      <c r="AE12" s="5">
        <f t="shared" si="13"/>
        <v>8.0573774587764086E-11</v>
      </c>
      <c r="AF12" s="5">
        <f t="shared" si="25"/>
        <v>2.4E-9</v>
      </c>
      <c r="AG12" s="5">
        <f t="shared" si="26"/>
        <v>2.4805741216709148E-9</v>
      </c>
      <c r="AH12" s="4">
        <f t="shared" si="14"/>
        <v>1.778279269526631E-5</v>
      </c>
      <c r="AI12" s="4">
        <f t="shared" si="27"/>
        <v>17782.792695266307</v>
      </c>
      <c r="AJ12" s="54"/>
      <c r="AK12" s="5">
        <f t="shared" si="28"/>
        <v>7.25346458404465E-10</v>
      </c>
      <c r="AL12" s="4">
        <f t="shared" si="29"/>
        <v>5.0000000000000001E-9</v>
      </c>
      <c r="AM12" s="4">
        <f t="shared" si="30"/>
        <v>1.4514643669265848E-7</v>
      </c>
      <c r="AN12" s="88"/>
      <c r="AO12" s="5">
        <f t="shared" si="31"/>
        <v>9.6501435289423568E-14</v>
      </c>
      <c r="AP12" s="5">
        <f t="shared" si="32"/>
        <v>6.8554939243417683E-11</v>
      </c>
      <c r="AQ12" s="5">
        <f t="shared" si="33"/>
        <v>-1.1180023133185028E-11</v>
      </c>
      <c r="AR12" s="5">
        <f t="shared" si="34"/>
        <v>-5.8106322690205265E-15</v>
      </c>
      <c r="AS12" s="5">
        <f t="shared" si="35"/>
        <v>5.7465606913253052E-11</v>
      </c>
      <c r="AT12" s="54"/>
      <c r="AU12" s="3">
        <v>-112.83065736227873</v>
      </c>
      <c r="AV12" s="4">
        <v>34979.11717087272</v>
      </c>
    </row>
    <row r="13" spans="1:48" x14ac:dyDescent="0.35">
      <c r="B13" s="2"/>
      <c r="E13" s="2">
        <v>40</v>
      </c>
      <c r="F13" s="2">
        <f t="shared" si="15"/>
        <v>313.14999999999998</v>
      </c>
      <c r="G13" s="71">
        <f t="shared" si="16"/>
        <v>992.21576731538448</v>
      </c>
      <c r="H13" s="42">
        <f t="shared" si="17"/>
        <v>0.99221608326589639</v>
      </c>
      <c r="I13" s="42">
        <f t="shared" si="18"/>
        <v>992.21608326589637</v>
      </c>
      <c r="J13" s="5">
        <f t="shared" si="0"/>
        <v>1.0078455750217582E-5</v>
      </c>
      <c r="K13" s="41">
        <f t="shared" si="1"/>
        <v>73.082634820072769</v>
      </c>
      <c r="L13" s="5">
        <f t="shared" si="19"/>
        <v>6.3796086576992604E-4</v>
      </c>
      <c r="M13" s="5">
        <f t="shared" si="2"/>
        <v>1.6140027920841325E-4</v>
      </c>
      <c r="N13" s="42">
        <f t="shared" si="20"/>
        <v>13.557150715817892</v>
      </c>
      <c r="O13" s="2">
        <f t="shared" si="21"/>
        <v>2.7723578297299922E-14</v>
      </c>
      <c r="P13" s="83">
        <f t="shared" si="22"/>
        <v>4.8421733974441192</v>
      </c>
      <c r="Q13" s="5">
        <f t="shared" si="23"/>
        <v>1.4382242347900439E-5</v>
      </c>
      <c r="R13" s="5">
        <f t="shared" si="3"/>
        <v>2.438224234790044E-5</v>
      </c>
      <c r="S13" s="2">
        <f t="shared" si="4"/>
        <v>6.0921007061736875E-8</v>
      </c>
      <c r="T13" s="54"/>
      <c r="U13" s="5">
        <f t="shared" si="5"/>
        <v>0.12896516253224322</v>
      </c>
      <c r="V13" s="5">
        <f t="shared" si="6"/>
        <v>-3.6861027374032858E-2</v>
      </c>
      <c r="W13" s="4">
        <f t="shared" si="7"/>
        <v>-4.3456535143601885E-2</v>
      </c>
      <c r="X13" s="3">
        <f t="shared" si="24"/>
        <v>-43.456535143601883</v>
      </c>
      <c r="Y13" s="54"/>
      <c r="Z13" s="5">
        <f t="shared" si="8"/>
        <v>1.7605652975324276E-16</v>
      </c>
      <c r="AA13" s="5">
        <f t="shared" si="9"/>
        <v>1.0673649784437951E-7</v>
      </c>
      <c r="AB13" s="5">
        <f t="shared" si="10"/>
        <v>4.1773649784437949E-7</v>
      </c>
      <c r="AC13" s="5">
        <f t="shared" si="11"/>
        <v>1.3373649784437951E-7</v>
      </c>
      <c r="AD13" s="5">
        <f t="shared" si="12"/>
        <v>2.5973649784437948E-7</v>
      </c>
      <c r="AE13" s="5">
        <f t="shared" si="13"/>
        <v>7.36634064332745E-11</v>
      </c>
      <c r="AF13" s="5">
        <f t="shared" si="25"/>
        <v>2.4E-9</v>
      </c>
      <c r="AG13" s="5">
        <f t="shared" si="26"/>
        <v>2.4736635824898043E-9</v>
      </c>
      <c r="AH13" s="4">
        <f t="shared" si="14"/>
        <v>1.4459165818138009E-5</v>
      </c>
      <c r="AI13" s="4">
        <f t="shared" si="27"/>
        <v>14459.16581813801</v>
      </c>
      <c r="AJ13" s="54"/>
      <c r="AK13" s="5">
        <f t="shared" si="28"/>
        <v>7.3014917317142746E-10</v>
      </c>
      <c r="AL13" s="4">
        <f t="shared" si="29"/>
        <v>5.0000000000000001E-9</v>
      </c>
      <c r="AM13" s="4">
        <f t="shared" si="30"/>
        <v>1.2184201412347375E-7</v>
      </c>
      <c r="AN13" s="88"/>
      <c r="AO13" s="5">
        <f t="shared" si="31"/>
        <v>6.0667874416561774E-14</v>
      </c>
      <c r="AP13" s="5">
        <f t="shared" si="32"/>
        <v>6.9157646241652203E-11</v>
      </c>
      <c r="AQ13" s="5">
        <f t="shared" si="33"/>
        <v>-7.7777132809800153E-12</v>
      </c>
      <c r="AR13" s="5">
        <f t="shared" si="34"/>
        <v>-2.9117738747322615E-15</v>
      </c>
      <c r="AS13" s="5">
        <f t="shared" si="35"/>
        <v>6.1437689061214015E-11</v>
      </c>
      <c r="AT13" s="54"/>
      <c r="AU13" s="3">
        <v>-114.40831818799299</v>
      </c>
      <c r="AV13" s="4">
        <v>38066.745041873954</v>
      </c>
    </row>
    <row r="14" spans="1:48" x14ac:dyDescent="0.35">
      <c r="B14" s="3"/>
      <c r="E14" s="2">
        <v>45</v>
      </c>
      <c r="F14" s="2">
        <f t="shared" si="15"/>
        <v>318.14999999999998</v>
      </c>
      <c r="G14" s="71">
        <f t="shared" si="16"/>
        <v>990.21322507955676</v>
      </c>
      <c r="H14" s="42">
        <f t="shared" si="17"/>
        <v>0.99021354157186758</v>
      </c>
      <c r="I14" s="42">
        <f t="shared" si="18"/>
        <v>990.21354157186761</v>
      </c>
      <c r="J14" s="5">
        <f t="shared" si="0"/>
        <v>1.0098837757648466E-5</v>
      </c>
      <c r="K14" s="41">
        <f t="shared" si="1"/>
        <v>71.443523146697729</v>
      </c>
      <c r="L14" s="5">
        <f t="shared" si="19"/>
        <v>5.8201167990231761E-4</v>
      </c>
      <c r="M14" s="5">
        <f t="shared" si="2"/>
        <v>1.7424713651983169E-4</v>
      </c>
      <c r="N14" s="42">
        <f t="shared" si="20"/>
        <v>13.404901273924571</v>
      </c>
      <c r="O14" s="2">
        <f t="shared" si="21"/>
        <v>3.9363954947074921E-14</v>
      </c>
      <c r="P14" s="83">
        <f t="shared" si="22"/>
        <v>4.5617195611879389</v>
      </c>
      <c r="Q14" s="5">
        <f t="shared" si="23"/>
        <v>2.7433450719135371E-5</v>
      </c>
      <c r="R14" s="5">
        <f t="shared" si="3"/>
        <v>3.7433450719135373E-5</v>
      </c>
      <c r="S14" s="2">
        <f t="shared" si="4"/>
        <v>4.8999094355282846E-8</v>
      </c>
      <c r="T14" s="54"/>
      <c r="U14" s="5">
        <f t="shared" si="5"/>
        <v>0.30374962756918816</v>
      </c>
      <c r="V14" s="5">
        <f t="shared" si="6"/>
        <v>-2.1786359056022896E-2</v>
      </c>
      <c r="W14" s="4">
        <f t="shared" si="7"/>
        <v>-2.9172885954746423E-2</v>
      </c>
      <c r="X14" s="3">
        <f t="shared" si="24"/>
        <v>-29.172885954746423</v>
      </c>
      <c r="Y14" s="54"/>
      <c r="Z14" s="5">
        <f t="shared" si="8"/>
        <v>9.2301629042548629E-17</v>
      </c>
      <c r="AA14" s="5">
        <f t="shared" si="9"/>
        <v>1.1158919570199505E-7</v>
      </c>
      <c r="AB14" s="5">
        <f t="shared" si="10"/>
        <v>4.2258919570199504E-7</v>
      </c>
      <c r="AC14" s="5">
        <f t="shared" si="11"/>
        <v>1.3858919570199504E-7</v>
      </c>
      <c r="AD14" s="5">
        <f t="shared" si="12"/>
        <v>2.6458919570199503E-7</v>
      </c>
      <c r="AE14" s="5">
        <f t="shared" si="13"/>
        <v>5.4293738876332266E-11</v>
      </c>
      <c r="AF14" s="5">
        <f t="shared" si="25"/>
        <v>2.4E-9</v>
      </c>
      <c r="AG14" s="5">
        <f t="shared" si="26"/>
        <v>2.4542938311779611E-9</v>
      </c>
      <c r="AH14" s="4">
        <f t="shared" si="14"/>
        <v>1.0357413534916133E-5</v>
      </c>
      <c r="AI14" s="4">
        <f t="shared" si="27"/>
        <v>10357.413534916133</v>
      </c>
      <c r="AJ14" s="54"/>
      <c r="AK14" s="5">
        <f t="shared" si="28"/>
        <v>7.3516262454864836E-10</v>
      </c>
      <c r="AL14" s="4">
        <f t="shared" si="29"/>
        <v>5.0000000000000001E-9</v>
      </c>
      <c r="AM14" s="4">
        <f t="shared" si="30"/>
        <v>9.7998188710565691E-8</v>
      </c>
      <c r="AN14" s="88"/>
      <c r="AO14" s="5">
        <f t="shared" si="31"/>
        <v>3.147466300333041E-14</v>
      </c>
      <c r="AP14" s="5">
        <f t="shared" si="32"/>
        <v>5.3445360319872595E-11</v>
      </c>
      <c r="AQ14" s="5">
        <f t="shared" si="33"/>
        <v>-4.294828308240572E-12</v>
      </c>
      <c r="AR14" s="5">
        <f t="shared" si="34"/>
        <v>-1.1765403497816742E-15</v>
      </c>
      <c r="AS14" s="5">
        <f t="shared" si="35"/>
        <v>4.9180830134285573E-11</v>
      </c>
      <c r="AT14" s="54"/>
      <c r="AU14" s="3">
        <v>-115.93361434719435</v>
      </c>
      <c r="AV14" s="4">
        <v>41160.562184233684</v>
      </c>
    </row>
    <row r="15" spans="1:48" x14ac:dyDescent="0.35">
      <c r="B15" s="6"/>
      <c r="E15" s="2">
        <v>50</v>
      </c>
      <c r="F15" s="2">
        <f t="shared" si="15"/>
        <v>323.14999999999998</v>
      </c>
      <c r="G15" s="71">
        <f t="shared" si="16"/>
        <v>988.03629161147626</v>
      </c>
      <c r="H15" s="42">
        <f t="shared" si="17"/>
        <v>0.98803660869276844</v>
      </c>
      <c r="I15" s="42">
        <f t="shared" si="18"/>
        <v>988.03660869276848</v>
      </c>
      <c r="J15" s="5">
        <f t="shared" si="0"/>
        <v>1.0121088456423391E-5</v>
      </c>
      <c r="K15" s="41">
        <f t="shared" si="1"/>
        <v>69.841822748322798</v>
      </c>
      <c r="L15" s="5">
        <f t="shared" si="19"/>
        <v>5.3375169391624332E-4</v>
      </c>
      <c r="M15" s="5">
        <f t="shared" si="2"/>
        <v>1.8701899383125013E-4</v>
      </c>
      <c r="N15" s="42">
        <f t="shared" si="20"/>
        <v>13.262496376836017</v>
      </c>
      <c r="O15" s="2">
        <f t="shared" si="21"/>
        <v>5.4639110820899895E-14</v>
      </c>
      <c r="P15" s="83">
        <f t="shared" si="22"/>
        <v>4.2994000466235747</v>
      </c>
      <c r="Q15" s="5">
        <f t="shared" si="23"/>
        <v>5.0188007402402938E-5</v>
      </c>
      <c r="R15" s="5">
        <f t="shared" si="3"/>
        <v>6.0188007402402937E-5</v>
      </c>
      <c r="S15" s="2">
        <f t="shared" si="4"/>
        <v>3.8505739581845083E-8</v>
      </c>
      <c r="T15" s="54"/>
      <c r="U15" s="5">
        <f t="shared" si="5"/>
        <v>0.70212428317365116</v>
      </c>
      <c r="V15" s="5">
        <f t="shared" si="6"/>
        <v>-6.5676712376401816E-3</v>
      </c>
      <c r="W15" s="4">
        <f t="shared" si="7"/>
        <v>-1.5267902775603602E-2</v>
      </c>
      <c r="X15" s="3">
        <f t="shared" si="24"/>
        <v>-15.267902775603602</v>
      </c>
      <c r="Y15" s="54"/>
      <c r="Z15" s="5">
        <f t="shared" si="8"/>
        <v>5.0454067964272493E-17</v>
      </c>
      <c r="AA15" s="5">
        <f t="shared" si="9"/>
        <v>1.1651859365833467E-7</v>
      </c>
      <c r="AB15" s="5">
        <f t="shared" si="10"/>
        <v>4.2751859365833469E-7</v>
      </c>
      <c r="AC15" s="5">
        <f t="shared" si="11"/>
        <v>1.4351859365833469E-7</v>
      </c>
      <c r="AD15" s="5">
        <f t="shared" si="12"/>
        <v>2.6951859365833468E-7</v>
      </c>
      <c r="AE15" s="5">
        <f t="shared" si="13"/>
        <v>1.984097519438474E-11</v>
      </c>
      <c r="AF15" s="5">
        <f t="shared" si="25"/>
        <v>2.4E-9</v>
      </c>
      <c r="AG15" s="5">
        <f t="shared" si="26"/>
        <v>2.4198410256484526E-9</v>
      </c>
      <c r="AH15" s="4">
        <f t="shared" si="14"/>
        <v>5.7542334223676794E-6</v>
      </c>
      <c r="AI15" s="4">
        <f t="shared" si="27"/>
        <v>5754.2334223676799</v>
      </c>
      <c r="AJ15" s="54"/>
      <c r="AK15" s="5">
        <f t="shared" si="28"/>
        <v>7.4038648879099813E-10</v>
      </c>
      <c r="AL15" s="4">
        <f t="shared" si="29"/>
        <v>5.0000000000000001E-9</v>
      </c>
      <c r="AM15" s="4">
        <f t="shared" si="30"/>
        <v>7.7011479163690167E-8</v>
      </c>
      <c r="AN15" s="88"/>
      <c r="AO15" s="5">
        <f t="shared" si="31"/>
        <v>8.4023729074172879E-15</v>
      </c>
      <c r="AP15" s="5">
        <f t="shared" si="32"/>
        <v>1.9943843967206312E-11</v>
      </c>
      <c r="AQ15" s="5">
        <f t="shared" si="33"/>
        <v>-1.1856779437892669E-12</v>
      </c>
      <c r="AR15" s="5">
        <f t="shared" si="34"/>
        <v>-2.4241024621764919E-16</v>
      </c>
      <c r="AS15" s="5">
        <f t="shared" si="35"/>
        <v>1.8766325986078246E-11</v>
      </c>
      <c r="AT15" s="54"/>
      <c r="AU15" s="3">
        <v>-117.39685275233626</v>
      </c>
      <c r="AV15" s="4">
        <v>44245.03507379505</v>
      </c>
    </row>
    <row r="16" spans="1:48" x14ac:dyDescent="0.35">
      <c r="A16" s="43"/>
      <c r="B16" s="36"/>
      <c r="C16" s="6"/>
      <c r="E16" s="2">
        <v>55</v>
      </c>
      <c r="F16" s="2">
        <f t="shared" si="15"/>
        <v>328.15</v>
      </c>
      <c r="G16" s="71">
        <f t="shared" si="16"/>
        <v>985.69523966623524</v>
      </c>
      <c r="H16" s="42">
        <f t="shared" si="17"/>
        <v>0.98569555738091208</v>
      </c>
      <c r="I16" s="42">
        <f t="shared" si="18"/>
        <v>985.69555738091208</v>
      </c>
      <c r="J16" s="5">
        <f t="shared" si="0"/>
        <v>1.0145126305918221E-5</v>
      </c>
      <c r="K16" s="41">
        <f t="shared" si="1"/>
        <v>68.276476124947791</v>
      </c>
      <c r="L16" s="5">
        <f t="shared" si="19"/>
        <v>4.9180292525690175E-4</v>
      </c>
      <c r="M16" s="5">
        <f t="shared" si="2"/>
        <v>1.997158511426686E-4</v>
      </c>
      <c r="N16" s="42">
        <f t="shared" si="20"/>
        <v>13.130248301853779</v>
      </c>
      <c r="O16" s="2">
        <f t="shared" si="21"/>
        <v>7.4088652857724808E-14</v>
      </c>
      <c r="P16" s="83">
        <f t="shared" si="22"/>
        <v>4.0557900897985668</v>
      </c>
      <c r="Q16" s="5">
        <f t="shared" si="23"/>
        <v>8.7944748283901866E-5</v>
      </c>
      <c r="R16" s="5">
        <f t="shared" si="3"/>
        <v>9.7944748283901865E-5</v>
      </c>
      <c r="S16" s="2">
        <f t="shared" si="4"/>
        <v>3.0074731980015975E-8</v>
      </c>
      <c r="T16" s="54"/>
      <c r="U16" s="5">
        <f t="shared" si="5"/>
        <v>1.5637499693322201</v>
      </c>
      <c r="V16" s="5">
        <f t="shared" si="6"/>
        <v>8.4314860994763371E-3</v>
      </c>
      <c r="W16" s="4">
        <f t="shared" si="7"/>
        <v>-2.3599446900008517E-3</v>
      </c>
      <c r="X16" s="3">
        <f t="shared" si="24"/>
        <v>-2.3599446900008516</v>
      </c>
      <c r="Y16" s="54"/>
      <c r="Z16" s="5">
        <f t="shared" si="8"/>
        <v>2.8793196377960104E-17</v>
      </c>
      <c r="AA16" s="5">
        <f t="shared" si="9"/>
        <v>1.2151152755176048E-7</v>
      </c>
      <c r="AB16" s="5">
        <f t="shared" si="10"/>
        <v>4.3251152755176047E-7</v>
      </c>
      <c r="AC16" s="5">
        <f t="shared" si="11"/>
        <v>1.4851152755176047E-7</v>
      </c>
      <c r="AD16" s="5">
        <f t="shared" si="12"/>
        <v>2.7451152755176046E-7</v>
      </c>
      <c r="AE16" s="5">
        <f t="shared" si="13"/>
        <v>-3.0151137542129854E-11</v>
      </c>
      <c r="AF16" s="5">
        <f t="shared" si="25"/>
        <v>2.4E-9</v>
      </c>
      <c r="AG16" s="5">
        <f t="shared" si="26"/>
        <v>2.3698488912510667E-9</v>
      </c>
      <c r="AH16" s="4">
        <f t="shared" si="14"/>
        <v>9.3977242495212793E-7</v>
      </c>
      <c r="AI16" s="4">
        <f t="shared" si="27"/>
        <v>939.77242495212795</v>
      </c>
      <c r="AJ16" s="54"/>
      <c r="AK16" s="5">
        <f t="shared" si="28"/>
        <v>7.4582116442409342E-10</v>
      </c>
      <c r="AL16" s="4">
        <f t="shared" si="29"/>
        <v>5.0000000000000001E-9</v>
      </c>
      <c r="AM16" s="4">
        <f t="shared" si="30"/>
        <v>6.014946396003195E-8</v>
      </c>
      <c r="AN16" s="88"/>
      <c r="AO16" s="5">
        <f t="shared" si="31"/>
        <v>-9.6616671318653338E-15</v>
      </c>
      <c r="AP16" s="5">
        <f t="shared" si="32"/>
        <v>-3.0560030394181205E-11</v>
      </c>
      <c r="AQ16" s="5">
        <f t="shared" si="33"/>
        <v>1.3849330769396945E-12</v>
      </c>
      <c r="AR16" s="5">
        <f t="shared" si="34"/>
        <v>2.1566069333255797E-16</v>
      </c>
      <c r="AS16" s="5">
        <f t="shared" si="35"/>
        <v>-2.9184543323680047E-11</v>
      </c>
      <c r="AT16" s="54"/>
      <c r="AU16" s="3">
        <v>-118.78890380587985</v>
      </c>
      <c r="AV16" s="4">
        <v>47303.878206496993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E17" s="2">
        <v>60</v>
      </c>
      <c r="F17" s="2">
        <f t="shared" si="15"/>
        <v>333.15</v>
      </c>
      <c r="G17" s="71">
        <f t="shared" si="16"/>
        <v>983.19888300964794</v>
      </c>
      <c r="H17" s="42">
        <f t="shared" si="17"/>
        <v>0.98319920139972794</v>
      </c>
      <c r="I17" s="42">
        <f t="shared" si="18"/>
        <v>983.19920139972794</v>
      </c>
      <c r="J17" s="5">
        <f t="shared" si="0"/>
        <v>1.0170884933214635E-5</v>
      </c>
      <c r="K17" s="41">
        <f t="shared" si="1"/>
        <v>66.746425776572778</v>
      </c>
      <c r="L17" s="5">
        <f t="shared" si="19"/>
        <v>4.5509915204847157E-4</v>
      </c>
      <c r="M17" s="5">
        <f t="shared" si="2"/>
        <v>2.1233770845408706E-4</v>
      </c>
      <c r="N17" s="42">
        <f t="shared" si="20"/>
        <v>13.007657769459144</v>
      </c>
      <c r="O17" s="2">
        <f t="shared" si="21"/>
        <v>9.8252187996499737E-14</v>
      </c>
      <c r="P17" s="83">
        <f t="shared" si="22"/>
        <v>3.8299699838512939</v>
      </c>
      <c r="Q17" s="5">
        <f t="shared" si="23"/>
        <v>1.4792106198876164E-4</v>
      </c>
      <c r="R17" s="5">
        <f t="shared" si="3"/>
        <v>1.5792106198876164E-4</v>
      </c>
      <c r="S17" s="2">
        <f t="shared" si="4"/>
        <v>2.3595787568162245E-8</v>
      </c>
      <c r="T17" s="54"/>
      <c r="U17" s="5">
        <f t="shared" si="5"/>
        <v>3.3271863376856832</v>
      </c>
      <c r="V17" s="5">
        <f t="shared" si="6"/>
        <v>2.3016012149227705E-2</v>
      </c>
      <c r="W17" s="4">
        <f t="shared" si="7"/>
        <v>9.1209617933186386E-3</v>
      </c>
      <c r="X17" s="3">
        <f t="shared" si="24"/>
        <v>9.1209617933186387</v>
      </c>
      <c r="Y17" s="54"/>
      <c r="Z17" s="5">
        <f t="shared" si="8"/>
        <v>1.7118746466692312E-17</v>
      </c>
      <c r="AA17" s="5">
        <f t="shared" si="9"/>
        <v>1.2655319138921695E-7</v>
      </c>
      <c r="AB17" s="5">
        <f t="shared" si="10"/>
        <v>4.3755319138921696E-7</v>
      </c>
      <c r="AC17" s="5">
        <f t="shared" si="11"/>
        <v>1.5355319138921696E-7</v>
      </c>
      <c r="AD17" s="5">
        <f t="shared" si="12"/>
        <v>2.7955319138921695E-7</v>
      </c>
      <c r="AE17" s="5">
        <f t="shared" si="13"/>
        <v>-9.5741300059151658E-11</v>
      </c>
      <c r="AF17" s="5">
        <f t="shared" si="25"/>
        <v>2.4E-9</v>
      </c>
      <c r="AG17" s="5">
        <f t="shared" si="26"/>
        <v>2.3042587170595948E-9</v>
      </c>
      <c r="AH17" s="4">
        <f t="shared" si="14"/>
        <v>-3.8214701170451135E-6</v>
      </c>
      <c r="AI17" s="4">
        <f t="shared" si="27"/>
        <v>-3821.4701170451135</v>
      </c>
      <c r="AJ17" s="54"/>
      <c r="AK17" s="5">
        <f t="shared" si="28"/>
        <v>7.5146780356843308E-10</v>
      </c>
      <c r="AL17" s="4">
        <f t="shared" si="29"/>
        <v>5.0000000000000001E-9</v>
      </c>
      <c r="AM17" s="4">
        <f t="shared" si="30"/>
        <v>4.719157513632449E-8</v>
      </c>
      <c r="AN17" s="88"/>
      <c r="AO17" s="5">
        <f t="shared" si="31"/>
        <v>-2.3904332980194723E-14</v>
      </c>
      <c r="AP17" s="5">
        <f t="shared" si="32"/>
        <v>-9.728514794415772E-11</v>
      </c>
      <c r="AQ17" s="5">
        <f t="shared" si="33"/>
        <v>3.445642589262367E-12</v>
      </c>
      <c r="AR17" s="5">
        <f t="shared" si="34"/>
        <v>4.1666598584838441E-16</v>
      </c>
      <c r="AS17" s="5">
        <f t="shared" si="35"/>
        <v>-9.3862993021889695E-11</v>
      </c>
      <c r="AT17" s="54"/>
      <c r="AU17" s="3">
        <v>-120.10148621992695</v>
      </c>
      <c r="AV17" s="4">
        <v>50319.719675268294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E18" s="2">
        <v>65</v>
      </c>
      <c r="F18" s="2">
        <f t="shared" si="15"/>
        <v>338.15</v>
      </c>
      <c r="G18" s="71">
        <f t="shared" si="16"/>
        <v>980.55481983181551</v>
      </c>
      <c r="H18" s="42">
        <f t="shared" si="17"/>
        <v>0.98055513893726143</v>
      </c>
      <c r="I18" s="42">
        <f t="shared" si="18"/>
        <v>980.5551389372614</v>
      </c>
      <c r="J18" s="5">
        <f t="shared" si="0"/>
        <v>1.0198310694420417E-5</v>
      </c>
      <c r="K18" s="41">
        <f t="shared" si="1"/>
        <v>65.25061420319777</v>
      </c>
      <c r="L18" s="5">
        <f t="shared" si="19"/>
        <v>4.2280535119065734E-4</v>
      </c>
      <c r="M18" s="5">
        <f t="shared" si="2"/>
        <v>2.2488456576550545E-4</v>
      </c>
      <c r="N18" s="42">
        <f t="shared" si="20"/>
        <v>12.893913443972313</v>
      </c>
      <c r="O18" s="2">
        <f t="shared" si="21"/>
        <v>1.2766932317617458E-13</v>
      </c>
      <c r="P18" s="83">
        <f t="shared" si="22"/>
        <v>3.6204451932283823</v>
      </c>
      <c r="Q18" s="5">
        <f t="shared" si="23"/>
        <v>2.3963751466305619E-4</v>
      </c>
      <c r="R18" s="5">
        <f t="shared" si="3"/>
        <v>2.4963751466305619E-4</v>
      </c>
      <c r="S18" s="2">
        <f t="shared" si="4"/>
        <v>1.8694448698131463E-8</v>
      </c>
      <c r="T18" s="54"/>
      <c r="U18" s="5">
        <f t="shared" si="5"/>
        <v>6.7507028764142234</v>
      </c>
      <c r="V18" s="5">
        <f t="shared" si="6"/>
        <v>3.7110970355047762E-2</v>
      </c>
      <c r="W18" s="4">
        <f t="shared" si="7"/>
        <v>1.890182902763643E-2</v>
      </c>
      <c r="X18" s="3">
        <f t="shared" si="24"/>
        <v>18.901829027636431</v>
      </c>
      <c r="Y18" s="54"/>
      <c r="Z18" s="5">
        <f t="shared" si="8"/>
        <v>1.0566923606481872E-17</v>
      </c>
      <c r="AA18" s="5">
        <f t="shared" si="9"/>
        <v>1.3162655996940372E-7</v>
      </c>
      <c r="AB18" s="5">
        <f t="shared" si="10"/>
        <v>4.4262655996940369E-7</v>
      </c>
      <c r="AC18" s="5">
        <f t="shared" si="11"/>
        <v>1.5862655996940371E-7</v>
      </c>
      <c r="AD18" s="5">
        <f t="shared" si="12"/>
        <v>2.8462655996940368E-7</v>
      </c>
      <c r="AE18" s="5">
        <f t="shared" si="13"/>
        <v>-1.7730086319971284E-10</v>
      </c>
      <c r="AF18" s="5">
        <f t="shared" si="25"/>
        <v>2.4E-9</v>
      </c>
      <c r="AG18" s="5">
        <f t="shared" si="26"/>
        <v>2.2226991473672106E-9</v>
      </c>
      <c r="AH18" s="4">
        <f t="shared" si="14"/>
        <v>-8.2996627166561306E-6</v>
      </c>
      <c r="AI18" s="4">
        <f t="shared" si="27"/>
        <v>-8299.662716656132</v>
      </c>
      <c r="AJ18" s="54"/>
      <c r="AK18" s="5">
        <f t="shared" si="28"/>
        <v>7.5732834963764557E-10</v>
      </c>
      <c r="AL18" s="4">
        <f t="shared" si="29"/>
        <v>5.0000000000000001E-9</v>
      </c>
      <c r="AM18" s="4">
        <f t="shared" si="30"/>
        <v>3.7388897396262926E-8</v>
      </c>
      <c r="AN18" s="88"/>
      <c r="AO18" s="5">
        <f t="shared" si="31"/>
        <v>-3.532293382777182E-14</v>
      </c>
      <c r="AP18" s="5">
        <f t="shared" si="32"/>
        <v>-1.8015767147807845E-10</v>
      </c>
      <c r="AQ18" s="5">
        <f t="shared" si="33"/>
        <v>5.0919725457706344E-12</v>
      </c>
      <c r="AR18" s="5">
        <f t="shared" si="34"/>
        <v>4.8676273259989666E-16</v>
      </c>
      <c r="AS18" s="5">
        <f t="shared" si="35"/>
        <v>-1.7510053510340298E-10</v>
      </c>
      <c r="AT18" s="54"/>
      <c r="AU18" s="3">
        <v>-121.32743603884961</v>
      </c>
      <c r="AV18" s="4">
        <v>53274.040090222807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E19" s="2">
        <v>70</v>
      </c>
      <c r="F19" s="2">
        <f t="shared" si="15"/>
        <v>343.15</v>
      </c>
      <c r="G19" s="71">
        <f t="shared" si="16"/>
        <v>977.76961965898226</v>
      </c>
      <c r="H19" s="42">
        <f t="shared" si="17"/>
        <v>0.97776993951797964</v>
      </c>
      <c r="I19" s="42">
        <f t="shared" si="18"/>
        <v>977.76993951797965</v>
      </c>
      <c r="J19" s="5">
        <f t="shared" si="0"/>
        <v>1.0227360826616804E-5</v>
      </c>
      <c r="K19" s="41">
        <f t="shared" si="1"/>
        <v>63.787983904822759</v>
      </c>
      <c r="L19" s="5">
        <f t="shared" si="19"/>
        <v>3.9425918338383703E-4</v>
      </c>
      <c r="M19" s="5">
        <f t="shared" si="2"/>
        <v>2.373564230769239E-4</v>
      </c>
      <c r="N19" s="42">
        <f t="shared" si="20"/>
        <v>12.788133131675163</v>
      </c>
      <c r="O19" s="2">
        <f t="shared" si="21"/>
        <v>1.6287966533569951E-13</v>
      </c>
      <c r="P19" s="83">
        <f t="shared" si="22"/>
        <v>3.4255906570462455</v>
      </c>
      <c r="Q19" s="5">
        <f t="shared" si="23"/>
        <v>3.7532659853192399E-4</v>
      </c>
      <c r="R19" s="5">
        <f t="shared" si="3"/>
        <v>3.8532659853192402E-4</v>
      </c>
      <c r="S19" s="2">
        <f t="shared" si="4"/>
        <v>1.4987097569941866E-8</v>
      </c>
      <c r="T19" s="54"/>
      <c r="U19" s="5">
        <f t="shared" si="5"/>
        <v>13.083595318220789</v>
      </c>
      <c r="V19" s="5">
        <f t="shared" si="6"/>
        <v>5.0709187988497065E-2</v>
      </c>
      <c r="W19" s="4">
        <f t="shared" si="7"/>
        <v>2.682429553921175E-2</v>
      </c>
      <c r="X19" s="3">
        <f t="shared" si="24"/>
        <v>26.82429553921175</v>
      </c>
      <c r="Y19" s="54"/>
      <c r="Z19" s="5">
        <f t="shared" si="8"/>
        <v>6.7467559392690125E-18</v>
      </c>
      <c r="AA19" s="5">
        <f t="shared" si="9"/>
        <v>1.3671210904841231E-7</v>
      </c>
      <c r="AB19" s="5">
        <f t="shared" si="10"/>
        <v>4.4771210904841233E-7</v>
      </c>
      <c r="AC19" s="5">
        <f t="shared" si="11"/>
        <v>1.6371210904841233E-7</v>
      </c>
      <c r="AD19" s="5">
        <f t="shared" si="12"/>
        <v>2.8971210904841232E-7</v>
      </c>
      <c r="AE19" s="5">
        <f t="shared" si="13"/>
        <v>-2.7555425121737784E-10</v>
      </c>
      <c r="AF19" s="5">
        <f t="shared" si="25"/>
        <v>2.4E-9</v>
      </c>
      <c r="AG19" s="5">
        <f t="shared" si="26"/>
        <v>2.1244457555293781E-9</v>
      </c>
      <c r="AH19" s="4">
        <f t="shared" si="14"/>
        <v>-1.2298722575316055E-5</v>
      </c>
      <c r="AI19" s="4">
        <f t="shared" si="27"/>
        <v>-12298.722575316056</v>
      </c>
      <c r="AJ19" s="54"/>
      <c r="AK19" s="5">
        <f t="shared" si="28"/>
        <v>7.6340558169123405E-10</v>
      </c>
      <c r="AL19" s="4">
        <f t="shared" si="29"/>
        <v>5.0000000000000001E-9</v>
      </c>
      <c r="AM19" s="4">
        <f t="shared" si="30"/>
        <v>2.9974195139883733E-8</v>
      </c>
      <c r="AN19" s="88"/>
      <c r="AO19" s="5">
        <f t="shared" si="31"/>
        <v>-4.4668767157982846E-14</v>
      </c>
      <c r="AP19" s="5">
        <f t="shared" si="32"/>
        <v>-2.797002430797202E-10</v>
      </c>
      <c r="AQ19" s="5">
        <f t="shared" si="33"/>
        <v>6.4210763087070629E-12</v>
      </c>
      <c r="AR19" s="5">
        <f t="shared" si="34"/>
        <v>4.9311839196102578E-16</v>
      </c>
      <c r="AS19" s="5">
        <f t="shared" si="35"/>
        <v>-2.7332334241977914E-10</v>
      </c>
      <c r="AT19" s="54"/>
      <c r="AU19" s="3">
        <v>-122.46093703085818</v>
      </c>
      <c r="AV19" s="4">
        <v>56147.349279566974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E20" s="2">
        <v>75</v>
      </c>
      <c r="F20" s="2">
        <f t="shared" si="15"/>
        <v>348.15</v>
      </c>
      <c r="G20" s="71">
        <f t="shared" si="16"/>
        <v>974.84896849496351</v>
      </c>
      <c r="H20" s="42">
        <f t="shared" si="17"/>
        <v>0.97484928914415925</v>
      </c>
      <c r="I20" s="42">
        <f t="shared" si="18"/>
        <v>974.84928914415923</v>
      </c>
      <c r="J20" s="5">
        <f t="shared" si="0"/>
        <v>1.0258002037992568E-5</v>
      </c>
      <c r="K20" s="41">
        <f t="shared" si="1"/>
        <v>62.357477381447751</v>
      </c>
      <c r="L20" s="5">
        <f t="shared" si="19"/>
        <v>3.6892835975226956E-4</v>
      </c>
      <c r="M20" s="5">
        <f t="shared" si="2"/>
        <v>2.4975328038834234E-4</v>
      </c>
      <c r="N20" s="42">
        <f t="shared" si="20"/>
        <v>12.689470621937891</v>
      </c>
      <c r="O20" s="2">
        <f t="shared" si="21"/>
        <v>2.0442282141402446E-13</v>
      </c>
      <c r="P20" s="83">
        <f t="shared" si="22"/>
        <v>3.2438475977195083</v>
      </c>
      <c r="Q20" s="5">
        <f t="shared" si="23"/>
        <v>5.70364388992337E-4</v>
      </c>
      <c r="R20" s="5">
        <f t="shared" si="3"/>
        <v>5.8036438899233703E-4</v>
      </c>
      <c r="S20" s="2">
        <f t="shared" si="4"/>
        <v>1.2161795036938277E-8</v>
      </c>
      <c r="T20" s="54"/>
      <c r="U20" s="5">
        <f t="shared" si="5"/>
        <v>24.300871778069695</v>
      </c>
      <c r="V20" s="5">
        <f t="shared" si="6"/>
        <v>6.3836154971326067E-2</v>
      </c>
      <c r="W20" s="4">
        <f t="shared" si="7"/>
        <v>3.2817309100937539E-2</v>
      </c>
      <c r="X20" s="3">
        <f t="shared" si="24"/>
        <v>32.817309100937536</v>
      </c>
      <c r="Y20" s="54"/>
      <c r="Z20" s="5">
        <f t="shared" si="8"/>
        <v>4.4396902437050033E-18</v>
      </c>
      <c r="AA20" s="5">
        <f t="shared" si="9"/>
        <v>1.417877998042417E-7</v>
      </c>
      <c r="AB20" s="5">
        <f t="shared" si="10"/>
        <v>4.5278779980424172E-7</v>
      </c>
      <c r="AC20" s="5">
        <f t="shared" si="11"/>
        <v>1.6878779980424172E-7</v>
      </c>
      <c r="AD20" s="5">
        <f t="shared" si="12"/>
        <v>2.9478779980424171E-7</v>
      </c>
      <c r="AE20" s="5">
        <f t="shared" si="13"/>
        <v>-3.9145365289900671E-10</v>
      </c>
      <c r="AF20" s="5">
        <f t="shared" si="25"/>
        <v>2.4E-9</v>
      </c>
      <c r="AG20" s="5">
        <f t="shared" si="26"/>
        <v>2.0085463515406836E-9</v>
      </c>
      <c r="AH20" s="4">
        <f t="shared" si="14"/>
        <v>-1.5656819279489333E-5</v>
      </c>
      <c r="AI20" s="4">
        <f t="shared" si="27"/>
        <v>-15656.819279489333</v>
      </c>
      <c r="AJ20" s="54"/>
      <c r="AK20" s="5">
        <f t="shared" si="28"/>
        <v>7.6970316580781298E-10</v>
      </c>
      <c r="AL20" s="4">
        <f t="shared" si="29"/>
        <v>5.0000000000000001E-9</v>
      </c>
      <c r="AM20" s="4">
        <f t="shared" si="30"/>
        <v>2.4323590073876554E-8</v>
      </c>
      <c r="AN20" s="88"/>
      <c r="AO20" s="5">
        <f t="shared" si="31"/>
        <v>-5.2480449182299124E-14</v>
      </c>
      <c r="AP20" s="5">
        <f t="shared" si="32"/>
        <v>-3.9678714369135662E-10</v>
      </c>
      <c r="AQ20" s="5">
        <f t="shared" si="33"/>
        <v>7.5114793349137663E-12</v>
      </c>
      <c r="AR20" s="5">
        <f t="shared" si="34"/>
        <v>4.7018731272183118E-16</v>
      </c>
      <c r="AS20" s="5">
        <f t="shared" si="35"/>
        <v>-3.8932767461831242E-10</v>
      </c>
      <c r="AT20" s="54"/>
      <c r="AU20" s="3">
        <v>-123.49769212546117</v>
      </c>
      <c r="AV20" s="4">
        <v>58919.548857289868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E21" s="2">
        <v>80</v>
      </c>
      <c r="F21" s="2">
        <f t="shared" si="15"/>
        <v>353.15</v>
      </c>
      <c r="G21" s="71">
        <f t="shared" si="16"/>
        <v>971.79778269157964</v>
      </c>
      <c r="H21" s="42">
        <f t="shared" si="17"/>
        <v>0.97179810416629075</v>
      </c>
      <c r="I21" s="42">
        <f t="shared" si="18"/>
        <v>971.79810416629073</v>
      </c>
      <c r="J21" s="5">
        <f t="shared" si="0"/>
        <v>1.0290209427993722E-5</v>
      </c>
      <c r="K21" s="41">
        <f t="shared" si="1"/>
        <v>60.95803713307275</v>
      </c>
      <c r="L21" s="5">
        <f t="shared" si="19"/>
        <v>3.4637946220453638E-4</v>
      </c>
      <c r="M21" s="5">
        <f t="shared" si="2"/>
        <v>2.6207513769976079E-4</v>
      </c>
      <c r="N21" s="42">
        <f t="shared" si="20"/>
        <v>12.597156969451365</v>
      </c>
      <c r="O21" s="2">
        <f t="shared" si="21"/>
        <v>2.5283839835009936E-13</v>
      </c>
      <c r="P21" s="83">
        <f t="shared" si="22"/>
        <v>3.0737995656432622</v>
      </c>
      <c r="Q21" s="5">
        <f t="shared" si="23"/>
        <v>8.4372406105641558E-4</v>
      </c>
      <c r="R21" s="5">
        <f t="shared" si="3"/>
        <v>8.5372406105641561E-4</v>
      </c>
      <c r="S21" s="2">
        <f t="shared" si="4"/>
        <v>9.9852035172870525E-9</v>
      </c>
      <c r="T21" s="54"/>
      <c r="U21" s="5">
        <f t="shared" si="5"/>
        <v>43.415596913355117</v>
      </c>
      <c r="V21" s="5">
        <f t="shared" si="6"/>
        <v>7.65305397912176E-2</v>
      </c>
      <c r="W21" s="4">
        <f t="shared" si="7"/>
        <v>3.6883739392631669E-2</v>
      </c>
      <c r="X21" s="3">
        <f t="shared" si="24"/>
        <v>36.883739392631668</v>
      </c>
      <c r="Y21" s="54"/>
      <c r="Z21" s="5">
        <f t="shared" si="8"/>
        <v>3.0012711486974617E-18</v>
      </c>
      <c r="AA21" s="5">
        <f t="shared" si="9"/>
        <v>1.4682928680926312E-7</v>
      </c>
      <c r="AB21" s="5">
        <f t="shared" si="10"/>
        <v>4.5782928680926313E-7</v>
      </c>
      <c r="AC21" s="5">
        <f t="shared" si="11"/>
        <v>1.7382928680926311E-7</v>
      </c>
      <c r="AD21" s="5">
        <f t="shared" si="12"/>
        <v>2.9982928680926312E-7</v>
      </c>
      <c r="AE21" s="5">
        <f t="shared" si="13"/>
        <v>-5.2606517292128699E-10</v>
      </c>
      <c r="AF21" s="5">
        <f t="shared" si="25"/>
        <v>2.4E-9</v>
      </c>
      <c r="AG21" s="5">
        <f t="shared" si="26"/>
        <v>1.873934830079984E-9</v>
      </c>
      <c r="AH21" s="4">
        <f t="shared" si="14"/>
        <v>-1.8250066409333781E-5</v>
      </c>
      <c r="AI21" s="4">
        <f t="shared" si="27"/>
        <v>-18250.06640933378</v>
      </c>
      <c r="AJ21" s="54"/>
      <c r="AK21" s="5">
        <f t="shared" si="28"/>
        <v>7.7622571393968934E-10</v>
      </c>
      <c r="AL21" s="4">
        <f t="shared" si="29"/>
        <v>5.0000000000000001E-9</v>
      </c>
      <c r="AM21" s="4">
        <f t="shared" si="30"/>
        <v>1.9970407034574105E-8</v>
      </c>
      <c r="AN21" s="88"/>
      <c r="AO21" s="5">
        <f t="shared" si="31"/>
        <v>-5.9136396773683909E-14</v>
      </c>
      <c r="AP21" s="5">
        <f t="shared" si="32"/>
        <v>-5.3246318466845005E-10</v>
      </c>
      <c r="AQ21" s="5">
        <f t="shared" si="33"/>
        <v>8.4215194162284127E-12</v>
      </c>
      <c r="AR21" s="5">
        <f t="shared" si="34"/>
        <v>4.3529547626507934E-16</v>
      </c>
      <c r="AS21" s="5">
        <f t="shared" si="35"/>
        <v>-5.24100366353519E-10</v>
      </c>
      <c r="AT21" s="54"/>
      <c r="AU21" s="3">
        <v>-124.43502112755515</v>
      </c>
      <c r="AV21" s="4">
        <v>61570.421991186864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E22" s="2">
        <v>85</v>
      </c>
      <c r="F22" s="2">
        <f t="shared" si="15"/>
        <v>358.15</v>
      </c>
      <c r="G22" s="71">
        <f t="shared" si="16"/>
        <v>968.62029913592266</v>
      </c>
      <c r="H22" s="42">
        <f t="shared" si="17"/>
        <v>0.96862062147031947</v>
      </c>
      <c r="I22" s="42">
        <f t="shared" si="18"/>
        <v>968.62062147031952</v>
      </c>
      <c r="J22" s="5">
        <f t="shared" si="0"/>
        <v>1.0323965659688315E-5</v>
      </c>
      <c r="K22" s="41">
        <f t="shared" si="1"/>
        <v>59.588605659697812</v>
      </c>
      <c r="L22" s="5">
        <f t="shared" si="19"/>
        <v>3.2625503617392915E-4</v>
      </c>
      <c r="M22" s="5">
        <f t="shared" si="2"/>
        <v>2.7432199501117925E-4</v>
      </c>
      <c r="N22" s="42">
        <f t="shared" si="20"/>
        <v>12.510511201702162</v>
      </c>
      <c r="O22" s="2">
        <f t="shared" si="21"/>
        <v>3.0866600308287458E-13</v>
      </c>
      <c r="P22" s="83">
        <f t="shared" si="22"/>
        <v>2.9141921630909895</v>
      </c>
      <c r="Q22" s="5">
        <f t="shared" si="23"/>
        <v>1.2184503496291796E-3</v>
      </c>
      <c r="R22" s="5">
        <f t="shared" si="3"/>
        <v>1.2284503496291796E-3</v>
      </c>
      <c r="S22" s="2">
        <f t="shared" si="4"/>
        <v>8.2881170292129293E-9</v>
      </c>
      <c r="T22" s="54"/>
      <c r="U22" s="5">
        <f t="shared" si="5"/>
        <v>74.884538285920968</v>
      </c>
      <c r="V22" s="5">
        <f t="shared" si="6"/>
        <v>8.883436661910514E-2</v>
      </c>
      <c r="W22" s="4">
        <f t="shared" si="7"/>
        <v>3.9094009001589311E-2</v>
      </c>
      <c r="X22" s="3">
        <f t="shared" si="24"/>
        <v>39.094009001589313</v>
      </c>
      <c r="Y22" s="54"/>
      <c r="Z22" s="5">
        <f t="shared" si="8"/>
        <v>2.0782526770605513E-18</v>
      </c>
      <c r="AA22" s="5">
        <f t="shared" si="9"/>
        <v>1.5181030614270338E-7</v>
      </c>
      <c r="AB22" s="5">
        <f t="shared" si="10"/>
        <v>4.628103061427034E-7</v>
      </c>
      <c r="AC22" s="5">
        <f t="shared" si="11"/>
        <v>1.788103061427034E-7</v>
      </c>
      <c r="AD22" s="5">
        <f t="shared" si="12"/>
        <v>3.0481030614270339E-7</v>
      </c>
      <c r="AE22" s="5">
        <f t="shared" si="13"/>
        <v>-6.8049171708596389E-10</v>
      </c>
      <c r="AF22" s="5">
        <f t="shared" si="25"/>
        <v>2.4E-9</v>
      </c>
      <c r="AG22" s="5">
        <f t="shared" si="26"/>
        <v>1.7195082849922887E-9</v>
      </c>
      <c r="AH22" s="4">
        <f t="shared" si="14"/>
        <v>-1.9997717259080067E-5</v>
      </c>
      <c r="AI22" s="4">
        <f t="shared" si="27"/>
        <v>-19997.717259080066</v>
      </c>
      <c r="AJ22" s="54"/>
      <c r="AK22" s="5">
        <f t="shared" si="28"/>
        <v>7.8297885081636684E-10</v>
      </c>
      <c r="AL22" s="4">
        <f t="shared" si="29"/>
        <v>5.0000000000000001E-9</v>
      </c>
      <c r="AM22" s="4">
        <f t="shared" si="30"/>
        <v>1.6576234058425859E-8</v>
      </c>
      <c r="AN22" s="88"/>
      <c r="AO22" s="5">
        <f t="shared" si="31"/>
        <v>-6.4900846328232608E-14</v>
      </c>
      <c r="AP22" s="5">
        <f t="shared" si="32"/>
        <v>-6.8783350973254791E-10</v>
      </c>
      <c r="AQ22" s="5">
        <f t="shared" si="33"/>
        <v>9.1931088772886294E-12</v>
      </c>
      <c r="AR22" s="5">
        <f t="shared" si="34"/>
        <v>3.9699082106300059E-16</v>
      </c>
      <c r="AS22" s="5">
        <f t="shared" si="35"/>
        <v>-6.7870490471076645E-10</v>
      </c>
      <c r="AT22" s="54"/>
      <c r="AU22" s="3">
        <v>-125.27187771827577</v>
      </c>
      <c r="AV22" s="4">
        <v>64080.19169075277</v>
      </c>
    </row>
    <row r="23" spans="1:48" x14ac:dyDescent="0.35">
      <c r="A23" t="s">
        <v>20</v>
      </c>
      <c r="B23" s="51">
        <v>0</v>
      </c>
      <c r="C23" s="4" t="s">
        <v>52</v>
      </c>
      <c r="E23" s="2">
        <v>90</v>
      </c>
      <c r="F23" s="2">
        <f t="shared" si="15"/>
        <v>363.15</v>
      </c>
      <c r="G23" s="71">
        <f t="shared" si="16"/>
        <v>965.3201473085868</v>
      </c>
      <c r="H23" s="42">
        <f t="shared" si="17"/>
        <v>0.96532047053585812</v>
      </c>
      <c r="I23" s="42">
        <f t="shared" si="18"/>
        <v>965.32047053585814</v>
      </c>
      <c r="J23" s="5">
        <f t="shared" si="0"/>
        <v>1.0359260327713388E-5</v>
      </c>
      <c r="K23" s="41">
        <f t="shared" si="1"/>
        <v>58.248125461322807</v>
      </c>
      <c r="L23" s="5">
        <f t="shared" si="19"/>
        <v>3.0825666878416913E-4</v>
      </c>
      <c r="M23" s="5">
        <f t="shared" si="2"/>
        <v>2.8649385232259761E-4</v>
      </c>
      <c r="N23" s="42">
        <f t="shared" si="20"/>
        <v>12.428937568837505</v>
      </c>
      <c r="O23" s="2">
        <f t="shared" si="21"/>
        <v>3.7244524255129788E-13</v>
      </c>
      <c r="P23" s="83">
        <f t="shared" si="22"/>
        <v>2.7639279782785664</v>
      </c>
      <c r="Q23" s="5">
        <f t="shared" si="23"/>
        <v>1.7221541467061642E-3</v>
      </c>
      <c r="R23" s="5">
        <f t="shared" si="3"/>
        <v>1.7321541467061642E-3</v>
      </c>
      <c r="S23" s="2">
        <f t="shared" si="4"/>
        <v>6.9488241525972314E-9</v>
      </c>
      <c r="T23" s="54"/>
      <c r="U23" s="5">
        <f t="shared" si="5"/>
        <v>125.12401805188713</v>
      </c>
      <c r="V23" s="5">
        <f t="shared" si="6"/>
        <v>0.10078841741440787</v>
      </c>
      <c r="W23" s="4">
        <f t="shared" si="7"/>
        <v>3.9581257667927396E-2</v>
      </c>
      <c r="X23" s="3">
        <f t="shared" si="24"/>
        <v>39.581257667927396</v>
      </c>
      <c r="Y23" s="54"/>
      <c r="Z23" s="5">
        <f t="shared" si="8"/>
        <v>1.4703971001333805E-18</v>
      </c>
      <c r="AA23" s="5">
        <f t="shared" si="9"/>
        <v>1.5670319982770125E-7</v>
      </c>
      <c r="AB23" s="5">
        <f t="shared" si="10"/>
        <v>4.6770319982770127E-7</v>
      </c>
      <c r="AC23" s="5">
        <f t="shared" si="11"/>
        <v>1.8370319982770127E-7</v>
      </c>
      <c r="AD23" s="5">
        <f t="shared" si="12"/>
        <v>3.0970319982770126E-7</v>
      </c>
      <c r="AE23" s="5">
        <f t="shared" si="13"/>
        <v>-8.5582271303280263E-10</v>
      </c>
      <c r="AF23" s="5">
        <f t="shared" si="25"/>
        <v>2.4E-9</v>
      </c>
      <c r="AG23" s="5">
        <f t="shared" si="26"/>
        <v>1.5441772884375944E-9</v>
      </c>
      <c r="AH23" s="4">
        <f t="shared" si="14"/>
        <v>-2.0866692791768424E-5</v>
      </c>
      <c r="AI23" s="4">
        <f t="shared" si="27"/>
        <v>-20866.692791768426</v>
      </c>
      <c r="AJ23" s="54"/>
      <c r="AK23" s="5">
        <f t="shared" si="28"/>
        <v>7.8996928958608301E-10</v>
      </c>
      <c r="AL23" s="4">
        <f t="shared" si="29"/>
        <v>5.0000000000000001E-9</v>
      </c>
      <c r="AM23" s="4">
        <f t="shared" si="30"/>
        <v>1.3897648305194463E-8</v>
      </c>
      <c r="AN23" s="88"/>
      <c r="AO23" s="5">
        <f t="shared" si="31"/>
        <v>-6.9958326333977124E-14</v>
      </c>
      <c r="AP23" s="5">
        <f t="shared" si="32"/>
        <v>-8.6399814828692502E-10</v>
      </c>
      <c r="AQ23" s="5">
        <f t="shared" si="33"/>
        <v>9.8560008135259787E-12</v>
      </c>
      <c r="AR23" s="5">
        <f t="shared" si="34"/>
        <v>3.5935203737609671E-16</v>
      </c>
      <c r="AS23" s="5">
        <f t="shared" si="35"/>
        <v>-8.5421174644769553E-10</v>
      </c>
      <c r="AT23" s="54"/>
      <c r="AU23" s="3">
        <v>-126.00878740853993</v>
      </c>
      <c r="AV23" s="4">
        <v>66430.093694242911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E24" s="2">
        <v>95</v>
      </c>
      <c r="F24" s="2">
        <f t="shared" si="15"/>
        <v>368.15</v>
      </c>
      <c r="G24" s="71">
        <f t="shared" si="16"/>
        <v>961.90040732662351</v>
      </c>
      <c r="H24" s="42">
        <f t="shared" si="17"/>
        <v>0.96190073147912447</v>
      </c>
      <c r="I24" s="42">
        <f t="shared" si="18"/>
        <v>961.90073147912449</v>
      </c>
      <c r="J24" s="5">
        <f t="shared" si="0"/>
        <v>1.0396089480145817E-5</v>
      </c>
      <c r="K24" s="41">
        <f t="shared" si="1"/>
        <v>56.935539037947756</v>
      </c>
      <c r="L24" s="5">
        <f t="shared" si="19"/>
        <v>2.9213240736336539E-4</v>
      </c>
      <c r="M24" s="5">
        <f t="shared" si="2"/>
        <v>2.9859070963401615E-4</v>
      </c>
      <c r="N24" s="42">
        <f t="shared" si="20"/>
        <v>12.351917515046324</v>
      </c>
      <c r="O24" s="2">
        <f t="shared" si="21"/>
        <v>4.4471572369432338E-13</v>
      </c>
      <c r="P24" s="83">
        <f t="shared" si="22"/>
        <v>2.622051796101629</v>
      </c>
      <c r="Q24" s="5">
        <f t="shared" si="23"/>
        <v>2.3875265177457044E-3</v>
      </c>
      <c r="R24" s="5">
        <f t="shared" si="3"/>
        <v>2.3975265177457045E-3</v>
      </c>
      <c r="S24" s="2">
        <f t="shared" si="4"/>
        <v>5.8795352780552014E-9</v>
      </c>
      <c r="T24" s="54"/>
      <c r="U24" s="5">
        <f t="shared" si="5"/>
        <v>203.15401246960084</v>
      </c>
      <c r="V24" s="5">
        <f t="shared" si="6"/>
        <v>0.11243029521638873</v>
      </c>
      <c r="W24" s="4">
        <f t="shared" si="7"/>
        <v>3.853481613363393E-2</v>
      </c>
      <c r="X24" s="3">
        <f t="shared" si="24"/>
        <v>38.534816133633932</v>
      </c>
      <c r="Y24" s="54"/>
      <c r="Z24" s="5">
        <f t="shared" si="8"/>
        <v>1.0606177831892551E-18</v>
      </c>
      <c r="AA24" s="5">
        <f t="shared" si="9"/>
        <v>1.6147953322904296E-7</v>
      </c>
      <c r="AB24" s="5">
        <f t="shared" si="10"/>
        <v>4.7247953322904296E-7</v>
      </c>
      <c r="AC24" s="5">
        <f t="shared" si="11"/>
        <v>1.8847953322904295E-7</v>
      </c>
      <c r="AD24" s="5">
        <f t="shared" si="12"/>
        <v>3.1447953322904294E-7</v>
      </c>
      <c r="AE24" s="5">
        <f t="shared" si="13"/>
        <v>-1.0530996594600615E-9</v>
      </c>
      <c r="AF24" s="5">
        <f t="shared" si="25"/>
        <v>2.4E-9</v>
      </c>
      <c r="AG24" s="5">
        <f t="shared" si="26"/>
        <v>1.3469003416005563E-9</v>
      </c>
      <c r="AH24" s="4">
        <f t="shared" si="14"/>
        <v>-2.0873655801974487E-5</v>
      </c>
      <c r="AI24" s="4">
        <f t="shared" si="27"/>
        <v>-20873.655801974488</v>
      </c>
      <c r="AJ24" s="54"/>
      <c r="AK24" s="5">
        <f t="shared" si="28"/>
        <v>7.9720491702427171E-10</v>
      </c>
      <c r="AL24" s="4">
        <f t="shared" si="29"/>
        <v>5.0000000000000001E-9</v>
      </c>
      <c r="AM24" s="4">
        <f t="shared" si="30"/>
        <v>1.1759070556110403E-8</v>
      </c>
      <c r="AN24" s="88"/>
      <c r="AO24" s="5">
        <f t="shared" si="31"/>
        <v>-7.4438023799995651E-14</v>
      </c>
      <c r="AP24" s="5">
        <f t="shared" si="32"/>
        <v>-1.0620110016197979E-9</v>
      </c>
      <c r="AQ24" s="5">
        <f t="shared" si="33"/>
        <v>1.0431268965781388E-11</v>
      </c>
      <c r="AR24" s="5">
        <f t="shared" si="34"/>
        <v>3.2418999918202771E-16</v>
      </c>
      <c r="AS24" s="5">
        <f t="shared" si="35"/>
        <v>-1.0516538464878174E-9</v>
      </c>
      <c r="AT24" s="54"/>
      <c r="AU24" s="3">
        <v>-126.64771611310132</v>
      </c>
      <c r="AV24" s="4">
        <v>68602.918057637042</v>
      </c>
    </row>
    <row r="25" spans="1:48" x14ac:dyDescent="0.35">
      <c r="A25" t="s">
        <v>19</v>
      </c>
      <c r="B25" s="33">
        <f>Control!B18</f>
        <v>7.5</v>
      </c>
      <c r="C25" s="4"/>
      <c r="E25" s="2">
        <v>100</v>
      </c>
      <c r="F25" s="2">
        <f t="shared" si="15"/>
        <v>373.15</v>
      </c>
      <c r="G25" s="71">
        <f t="shared" si="16"/>
        <v>958.36365705165758</v>
      </c>
      <c r="H25" s="42">
        <f t="shared" si="17"/>
        <v>0.95836398216104601</v>
      </c>
      <c r="I25" s="42">
        <f t="shared" si="18"/>
        <v>958.36398216104601</v>
      </c>
      <c r="J25" s="5">
        <f t="shared" si="0"/>
        <v>1.043445526338158E-5</v>
      </c>
      <c r="K25" s="41">
        <f t="shared" si="1"/>
        <v>55.649788889572768</v>
      </c>
      <c r="L25" s="5">
        <f t="shared" si="19"/>
        <v>2.7766733398523004E-4</v>
      </c>
      <c r="M25" s="5">
        <f t="shared" si="2"/>
        <v>3.1061256694543454E-4</v>
      </c>
      <c r="N25" s="42">
        <f t="shared" si="20"/>
        <v>12.279000175809061</v>
      </c>
      <c r="O25" s="2">
        <f t="shared" si="21"/>
        <v>5.2601705345089748E-13</v>
      </c>
      <c r="P25" s="83">
        <f t="shared" si="22"/>
        <v>2.4877330934228201</v>
      </c>
      <c r="Q25" s="5">
        <f t="shared" si="23"/>
        <v>3.2528714935136211E-3</v>
      </c>
      <c r="R25" s="5">
        <f t="shared" si="3"/>
        <v>3.2628714935136211E-3</v>
      </c>
      <c r="S25" s="2">
        <f t="shared" si="4"/>
        <v>5.016422281530396E-9</v>
      </c>
      <c r="T25" s="54"/>
      <c r="U25" s="5">
        <f t="shared" si="5"/>
        <v>321.38953615742253</v>
      </c>
      <c r="V25" s="5">
        <f t="shared" si="6"/>
        <v>0.12379379406706291</v>
      </c>
      <c r="W25" s="4">
        <f t="shared" si="7"/>
        <v>3.6190524464276626E-2</v>
      </c>
      <c r="X25" s="3">
        <f t="shared" si="24"/>
        <v>36.190524464276628</v>
      </c>
      <c r="Y25" s="54"/>
      <c r="Z25" s="5">
        <f t="shared" si="8"/>
        <v>7.7846777310788139E-19</v>
      </c>
      <c r="AA25" s="5">
        <f t="shared" si="9"/>
        <v>1.6611076315530874E-7</v>
      </c>
      <c r="AB25" s="5">
        <f t="shared" si="10"/>
        <v>4.7711076315530882E-7</v>
      </c>
      <c r="AC25" s="5">
        <f t="shared" si="11"/>
        <v>1.9311076315530876E-7</v>
      </c>
      <c r="AD25" s="5">
        <f t="shared" si="12"/>
        <v>3.1911076315530875E-7</v>
      </c>
      <c r="AE25" s="5">
        <f t="shared" si="13"/>
        <v>-1.273290676453376E-9</v>
      </c>
      <c r="AF25" s="5">
        <f t="shared" si="25"/>
        <v>2.4E-9</v>
      </c>
      <c r="AG25" s="5">
        <f t="shared" si="26"/>
        <v>1.1267093243250917E-9</v>
      </c>
      <c r="AH25" s="4">
        <f t="shared" si="14"/>
        <v>-2.0083461191498976E-5</v>
      </c>
      <c r="AI25" s="4">
        <f t="shared" si="27"/>
        <v>-20083.461191498976</v>
      </c>
      <c r="AJ25" s="54"/>
      <c r="AK25" s="5">
        <f t="shared" si="28"/>
        <v>8.0469488929997629E-10</v>
      </c>
      <c r="AL25" s="4">
        <f t="shared" si="29"/>
        <v>5.0000000000000001E-9</v>
      </c>
      <c r="AM25" s="4">
        <f t="shared" si="30"/>
        <v>1.0032844563060792E-8</v>
      </c>
      <c r="AN25" s="88"/>
      <c r="AO25" s="5">
        <f t="shared" si="31"/>
        <v>-7.8430674518762459E-14</v>
      </c>
      <c r="AP25" s="5">
        <f t="shared" si="32"/>
        <v>-1.2828517875594386E-9</v>
      </c>
      <c r="AQ25" s="5">
        <f t="shared" si="33"/>
        <v>1.0933874572633786E-11</v>
      </c>
      <c r="AR25" s="5">
        <f t="shared" si="34"/>
        <v>2.9217427674395595E-16</v>
      </c>
      <c r="AS25" s="5">
        <f t="shared" si="35"/>
        <v>-1.2719960514870469E-9</v>
      </c>
      <c r="AT25" s="54"/>
      <c r="AU25" s="3">
        <v>-127.19188505344626</v>
      </c>
      <c r="AV25" s="4">
        <v>70583.483503715019</v>
      </c>
    </row>
    <row r="26" spans="1:48" x14ac:dyDescent="0.35">
      <c r="A26" t="s">
        <v>15</v>
      </c>
      <c r="B26" s="6">
        <f>10^-B25</f>
        <v>3.1622776601683699E-8</v>
      </c>
      <c r="C26" s="4"/>
      <c r="E26" s="2">
        <v>105</v>
      </c>
      <c r="F26" s="2">
        <f t="shared" si="15"/>
        <v>378.15</v>
      </c>
      <c r="G26" s="71">
        <f t="shared" si="16"/>
        <v>954.71201059337352</v>
      </c>
      <c r="H26" s="42">
        <f t="shared" si="17"/>
        <v>0.95471233669073507</v>
      </c>
      <c r="I26" s="42">
        <f t="shared" si="18"/>
        <v>954.71233669073513</v>
      </c>
      <c r="J26" s="5">
        <f t="shared" si="0"/>
        <v>1.0474365666920936E-5</v>
      </c>
      <c r="K26" s="41">
        <f t="shared" si="1"/>
        <v>54.389817516197745</v>
      </c>
      <c r="L26" s="5">
        <f t="shared" si="19"/>
        <v>2.6467644255454118E-4</v>
      </c>
      <c r="M26" s="5">
        <f t="shared" si="2"/>
        <v>3.22559424256853E-4</v>
      </c>
      <c r="N26" s="42">
        <f t="shared" si="20"/>
        <v>12.209793087283666</v>
      </c>
      <c r="O26" s="2">
        <f t="shared" si="21"/>
        <v>6.1688883875997191E-13</v>
      </c>
      <c r="P26" s="83">
        <f t="shared" si="22"/>
        <v>2.3602489251283441</v>
      </c>
      <c r="Q26" s="5">
        <f t="shared" si="23"/>
        <v>4.3626570558713985E-3</v>
      </c>
      <c r="R26" s="5">
        <f t="shared" si="3"/>
        <v>4.3726570558713981E-3</v>
      </c>
      <c r="S26" s="2">
        <f t="shared" si="4"/>
        <v>4.3125955858739732E-9</v>
      </c>
      <c r="T26" s="54"/>
      <c r="U26" s="5">
        <f t="shared" si="5"/>
        <v>496.5991674565845</v>
      </c>
      <c r="V26" s="5">
        <f t="shared" si="6"/>
        <v>0.13490888518537061</v>
      </c>
      <c r="W26" s="4">
        <f t="shared" si="7"/>
        <v>3.2817682891609169E-2</v>
      </c>
      <c r="X26" s="3">
        <f t="shared" si="24"/>
        <v>32.817682891609167</v>
      </c>
      <c r="Y26" s="54"/>
      <c r="Z26" s="5">
        <f t="shared" si="8"/>
        <v>5.8043942250519731E-19</v>
      </c>
      <c r="AA26" s="5">
        <f t="shared" si="9"/>
        <v>1.7056891639712143E-7</v>
      </c>
      <c r="AB26" s="5">
        <f t="shared" si="10"/>
        <v>4.8156891639712142E-7</v>
      </c>
      <c r="AC26" s="5">
        <f t="shared" si="11"/>
        <v>1.9756891639712142E-7</v>
      </c>
      <c r="AD26" s="5">
        <f t="shared" si="12"/>
        <v>3.2356891639712141E-7</v>
      </c>
      <c r="AE26" s="5">
        <f t="shared" si="13"/>
        <v>-1.5172704901468086E-9</v>
      </c>
      <c r="AF26" s="5">
        <f t="shared" si="25"/>
        <v>2.4E-9</v>
      </c>
      <c r="AG26" s="5">
        <f t="shared" si="26"/>
        <v>8.8272951043363082E-10</v>
      </c>
      <c r="AH26" s="4">
        <f t="shared" si="14"/>
        <v>-1.8603510509345553E-5</v>
      </c>
      <c r="AI26" s="4">
        <f t="shared" si="27"/>
        <v>-18603.510509345553</v>
      </c>
      <c r="AJ26" s="54"/>
      <c r="AK26" s="5">
        <f t="shared" si="28"/>
        <v>8.1244973948047671E-10</v>
      </c>
      <c r="AL26" s="4">
        <f t="shared" si="29"/>
        <v>5.0000000000000001E-9</v>
      </c>
      <c r="AM26" s="4">
        <f t="shared" si="30"/>
        <v>8.6251911717479465E-9</v>
      </c>
      <c r="AN26" s="88"/>
      <c r="AO26" s="5">
        <f t="shared" si="31"/>
        <v>-8.2000247839728364E-14</v>
      </c>
      <c r="AP26" s="5">
        <f t="shared" si="32"/>
        <v>-1.5274051802621263E-9</v>
      </c>
      <c r="AQ26" s="5">
        <f t="shared" si="33"/>
        <v>1.1374492210765441E-11</v>
      </c>
      <c r="AR26" s="5">
        <f t="shared" si="34"/>
        <v>2.6341228888939612E-16</v>
      </c>
      <c r="AS26" s="5">
        <f t="shared" si="35"/>
        <v>-1.5161124248869118E-9</v>
      </c>
      <c r="AT26" s="54"/>
      <c r="AU26" s="3">
        <v>-127.64555100298855</v>
      </c>
      <c r="AV26" s="4">
        <v>72359.019265214243</v>
      </c>
    </row>
    <row r="27" spans="1:48" x14ac:dyDescent="0.35">
      <c r="A27" t="s">
        <v>18</v>
      </c>
      <c r="B27" s="31">
        <f>Control!B20</f>
        <v>7.7</v>
      </c>
      <c r="C27" s="4"/>
      <c r="E27" s="2">
        <v>110</v>
      </c>
      <c r="F27" s="2">
        <f t="shared" si="15"/>
        <v>383.15</v>
      </c>
      <c r="G27" s="71">
        <f t="shared" si="16"/>
        <v>950.94714998784377</v>
      </c>
      <c r="H27" s="42">
        <f t="shared" si="17"/>
        <v>0.95094747710380934</v>
      </c>
      <c r="I27" s="42">
        <f t="shared" si="18"/>
        <v>950.94747710380932</v>
      </c>
      <c r="J27" s="5">
        <f t="shared" si="0"/>
        <v>1.0515834350714569E-5</v>
      </c>
      <c r="K27" s="41">
        <f t="shared" si="1"/>
        <v>53.154567417822769</v>
      </c>
      <c r="L27" s="5">
        <f t="shared" si="19"/>
        <v>2.5299920259234634E-4</v>
      </c>
      <c r="M27" s="5">
        <f t="shared" si="2"/>
        <v>3.3443128156827146E-4</v>
      </c>
      <c r="N27" s="42">
        <f t="shared" si="20"/>
        <v>12.143953780229984</v>
      </c>
      <c r="O27" s="2">
        <f t="shared" si="21"/>
        <v>7.1787068656049998E-13</v>
      </c>
      <c r="P27" s="83">
        <f t="shared" si="22"/>
        <v>2.2389684395644505</v>
      </c>
      <c r="Q27" s="5">
        <f t="shared" si="23"/>
        <v>5.7680837887352163E-3</v>
      </c>
      <c r="R27" s="5">
        <f t="shared" si="3"/>
        <v>5.7780837887352159E-3</v>
      </c>
      <c r="S27" s="2">
        <f t="shared" si="4"/>
        <v>3.7332182551065089E-9</v>
      </c>
      <c r="T27" s="54"/>
      <c r="U27" s="5">
        <f t="shared" si="5"/>
        <v>751.05118000460061</v>
      </c>
      <c r="V27" s="5">
        <f t="shared" si="6"/>
        <v>0.14580197354411711</v>
      </c>
      <c r="W27" s="4">
        <f t="shared" si="7"/>
        <v>2.8703317486823719E-2</v>
      </c>
      <c r="X27" s="3">
        <f t="shared" si="24"/>
        <v>28.703317486823718</v>
      </c>
      <c r="Y27" s="54"/>
      <c r="Z27" s="5">
        <f t="shared" si="8"/>
        <v>4.3901245998695911E-19</v>
      </c>
      <c r="AA27" s="5">
        <f t="shared" si="9"/>
        <v>1.7482724162516551E-7</v>
      </c>
      <c r="AB27" s="5">
        <f t="shared" si="10"/>
        <v>4.8582724162516548E-7</v>
      </c>
      <c r="AC27" s="5">
        <f t="shared" si="11"/>
        <v>2.018272416251655E-7</v>
      </c>
      <c r="AD27" s="5">
        <f t="shared" si="12"/>
        <v>3.2782724162516547E-7</v>
      </c>
      <c r="AE27" s="5">
        <f t="shared" si="13"/>
        <v>-1.7858041602205753E-9</v>
      </c>
      <c r="AF27" s="5">
        <f t="shared" si="25"/>
        <v>2.4E-9</v>
      </c>
      <c r="AG27" s="5">
        <f t="shared" si="26"/>
        <v>6.1419584021843719E-10</v>
      </c>
      <c r="AH27" s="4">
        <f t="shared" si="14"/>
        <v>-1.6574256973836623E-5</v>
      </c>
      <c r="AI27" s="4">
        <f t="shared" si="27"/>
        <v>-16574.256973836622</v>
      </c>
      <c r="AJ27" s="54"/>
      <c r="AK27" s="5">
        <f t="shared" si="28"/>
        <v>8.2048149817658654E-10</v>
      </c>
      <c r="AL27" s="4">
        <f t="shared" si="29"/>
        <v>5.0000000000000001E-9</v>
      </c>
      <c r="AM27" s="4">
        <f t="shared" si="30"/>
        <v>7.4664365102130177E-9</v>
      </c>
      <c r="AN27" s="88"/>
      <c r="AO27" s="5">
        <f t="shared" si="31"/>
        <v>-8.5192079273877561E-14</v>
      </c>
      <c r="AP27" s="5">
        <f t="shared" si="32"/>
        <v>-1.7964444406179862E-9</v>
      </c>
      <c r="AQ27" s="5">
        <f t="shared" si="33"/>
        <v>1.1760794519026093E-11</v>
      </c>
      <c r="AR27" s="5">
        <f t="shared" si="34"/>
        <v>2.377478379987125E-16</v>
      </c>
      <c r="AS27" s="5">
        <f t="shared" si="35"/>
        <v>-1.7847686004303959E-9</v>
      </c>
      <c r="AT27" s="54"/>
      <c r="AU27" s="3">
        <v>-128.01377133665437</v>
      </c>
      <c r="AV27" s="4">
        <v>73919.439529951225</v>
      </c>
    </row>
    <row r="28" spans="1:48" x14ac:dyDescent="0.35">
      <c r="A28" t="s">
        <v>17</v>
      </c>
      <c r="B28" s="2">
        <f>10^-B27</f>
        <v>1.9952623149688773E-8</v>
      </c>
      <c r="E28" s="2">
        <v>115</v>
      </c>
      <c r="F28" s="2">
        <f t="shared" si="15"/>
        <v>388.15</v>
      </c>
      <c r="G28" s="71">
        <f t="shared" si="16"/>
        <v>947.07035142167331</v>
      </c>
      <c r="H28" s="42">
        <f t="shared" si="17"/>
        <v>0.94707067958652813</v>
      </c>
      <c r="I28" s="42">
        <f t="shared" si="18"/>
        <v>947.07067958652817</v>
      </c>
      <c r="J28" s="5">
        <f t="shared" si="0"/>
        <v>1.0558880542026271E-5</v>
      </c>
      <c r="K28" s="41">
        <f t="shared" si="1"/>
        <v>51.942981094447767</v>
      </c>
      <c r="L28" s="5">
        <f t="shared" si="19"/>
        <v>2.4249536464787357E-4</v>
      </c>
      <c r="M28" s="5">
        <f t="shared" si="2"/>
        <v>3.4622813887968989E-4</v>
      </c>
      <c r="N28" s="42">
        <f t="shared" si="20"/>
        <v>12.081182455820231</v>
      </c>
      <c r="O28" s="2">
        <f t="shared" si="21"/>
        <v>8.2950220379142061E-13</v>
      </c>
      <c r="P28" s="83">
        <f t="shared" si="22"/>
        <v>2.1233393868817405</v>
      </c>
      <c r="Q28" s="5">
        <f t="shared" si="23"/>
        <v>7.5276707106361751E-3</v>
      </c>
      <c r="R28" s="5">
        <f t="shared" si="3"/>
        <v>7.5376707106361747E-3</v>
      </c>
      <c r="S28" s="2">
        <f t="shared" si="4"/>
        <v>3.2521100960560569E-9</v>
      </c>
      <c r="T28" s="54"/>
      <c r="U28" s="5">
        <f t="shared" si="5"/>
        <v>1113.8681015629031</v>
      </c>
      <c r="V28" s="5">
        <f t="shared" si="6"/>
        <v>0.15649625422183169</v>
      </c>
      <c r="W28" s="4">
        <f t="shared" si="7"/>
        <v>2.4135052437259628E-2</v>
      </c>
      <c r="X28" s="3">
        <f t="shared" si="24"/>
        <v>24.135052437259628</v>
      </c>
      <c r="Y28" s="54"/>
      <c r="Z28" s="5">
        <f t="shared" si="8"/>
        <v>3.3639398933413062E-19</v>
      </c>
      <c r="AA28" s="5">
        <f t="shared" si="9"/>
        <v>1.7886080216671504E-7</v>
      </c>
      <c r="AB28" s="5">
        <f t="shared" si="10"/>
        <v>4.89860802166715E-7</v>
      </c>
      <c r="AC28" s="5">
        <f t="shared" si="11"/>
        <v>2.0586080216671503E-7</v>
      </c>
      <c r="AD28" s="5">
        <f t="shared" si="12"/>
        <v>3.3186080216671499E-7</v>
      </c>
      <c r="AE28" s="5">
        <f t="shared" si="13"/>
        <v>-2.0795338084362853E-9</v>
      </c>
      <c r="AF28" s="5">
        <f t="shared" si="25"/>
        <v>2.4E-9</v>
      </c>
      <c r="AG28" s="5">
        <f t="shared" si="26"/>
        <v>3.2046619190010874E-10</v>
      </c>
      <c r="AH28" s="4">
        <f t="shared" si="14"/>
        <v>-1.4156766085638729E-5</v>
      </c>
      <c r="AI28" s="4">
        <f t="shared" si="27"/>
        <v>-14156.766085638728</v>
      </c>
      <c r="AJ28" s="54"/>
      <c r="AK28" s="5">
        <f t="shared" si="28"/>
        <v>8.288038289932704E-10</v>
      </c>
      <c r="AL28" s="4">
        <f t="shared" si="29"/>
        <v>5.0000000000000001E-9</v>
      </c>
      <c r="AM28" s="4">
        <f t="shared" si="30"/>
        <v>6.5042201921121138E-9</v>
      </c>
      <c r="AN28" s="88"/>
      <c r="AO28" s="5">
        <f t="shared" si="31"/>
        <v>-8.8038581377894634E-14</v>
      </c>
      <c r="AP28" s="5">
        <f t="shared" si="32"/>
        <v>-2.0906183360154164E-9</v>
      </c>
      <c r="AQ28" s="5">
        <f t="shared" si="33"/>
        <v>1.209835626101116E-11</v>
      </c>
      <c r="AR28" s="5">
        <f t="shared" si="34"/>
        <v>2.1491444073689971E-16</v>
      </c>
      <c r="AS28" s="5">
        <f t="shared" si="35"/>
        <v>-2.0786078034213425E-9</v>
      </c>
      <c r="AT28" s="54"/>
      <c r="AU28" s="3">
        <v>-128.3021713870931</v>
      </c>
      <c r="AV28" s="4">
        <v>75257.504919709376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E29" s="2">
        <v>120</v>
      </c>
      <c r="F29" s="2">
        <f t="shared" si="15"/>
        <v>393.15</v>
      </c>
      <c r="G29" s="71">
        <f t="shared" si="16"/>
        <v>943.08250706697231</v>
      </c>
      <c r="H29" s="42">
        <f t="shared" si="17"/>
        <v>0.94308283631076062</v>
      </c>
      <c r="I29" s="42">
        <f t="shared" si="18"/>
        <v>943.08283631076063</v>
      </c>
      <c r="J29" s="5">
        <f t="shared" si="0"/>
        <v>1.0603528992025028E-5</v>
      </c>
      <c r="K29" s="41">
        <f t="shared" si="1"/>
        <v>50.754001046072794</v>
      </c>
      <c r="L29" s="5">
        <f t="shared" si="19"/>
        <v>2.330416850534397E-4</v>
      </c>
      <c r="M29" s="5">
        <f t="shared" si="2"/>
        <v>3.5794999619110843E-4</v>
      </c>
      <c r="N29" s="42">
        <f t="shared" si="20"/>
        <v>12.021215727882712</v>
      </c>
      <c r="O29" s="2">
        <f t="shared" si="21"/>
        <v>9.523229973916958E-13</v>
      </c>
      <c r="P29" s="83">
        <f t="shared" si="22"/>
        <v>2.0128765918220912</v>
      </c>
      <c r="Q29" s="5">
        <f t="shared" si="23"/>
        <v>9.7078578443850951E-3</v>
      </c>
      <c r="R29" s="5">
        <f t="shared" si="3"/>
        <v>9.7178578443850947E-3</v>
      </c>
      <c r="S29" s="2">
        <f t="shared" si="4"/>
        <v>2.8493749421156316E-9</v>
      </c>
      <c r="T29" s="54"/>
      <c r="U29" s="5">
        <f t="shared" si="5"/>
        <v>1622.6105744826627</v>
      </c>
      <c r="V29" s="5">
        <f t="shared" si="6"/>
        <v>0.16701208649232963</v>
      </c>
      <c r="W29" s="4">
        <f t="shared" si="7"/>
        <v>1.9384218268555888E-2</v>
      </c>
      <c r="X29" s="3">
        <f t="shared" si="24"/>
        <v>19.384218268555887</v>
      </c>
      <c r="Y29" s="54"/>
      <c r="Z29" s="5">
        <f t="shared" si="8"/>
        <v>2.6084701461340051E-19</v>
      </c>
      <c r="AA29" s="5">
        <f t="shared" si="9"/>
        <v>1.8264698314675198E-7</v>
      </c>
      <c r="AB29" s="5">
        <f t="shared" si="10"/>
        <v>4.9364698314675194E-7</v>
      </c>
      <c r="AC29" s="5">
        <f t="shared" si="11"/>
        <v>2.0964698314675199E-7</v>
      </c>
      <c r="AD29" s="5">
        <f t="shared" si="12"/>
        <v>3.3564698314675198E-7</v>
      </c>
      <c r="AE29" s="5">
        <f t="shared" si="13"/>
        <v>-2.3989680303421692E-9</v>
      </c>
      <c r="AF29" s="5">
        <f t="shared" si="25"/>
        <v>2.4E-9</v>
      </c>
      <c r="AG29" s="5">
        <f t="shared" si="26"/>
        <v>1.0319699186776333E-12</v>
      </c>
      <c r="AH29" s="4">
        <f t="shared" si="14"/>
        <v>-1.1518741037690395E-5</v>
      </c>
      <c r="AI29" s="4">
        <f t="shared" si="27"/>
        <v>-11518.741037690395</v>
      </c>
      <c r="AJ29" s="54"/>
      <c r="AK29" s="5">
        <f t="shared" si="28"/>
        <v>8.374321807608896E-10</v>
      </c>
      <c r="AL29" s="4">
        <f t="shared" si="29"/>
        <v>5.0000000000000001E-9</v>
      </c>
      <c r="AM29" s="4">
        <f t="shared" si="30"/>
        <v>5.6987498842312632E-9</v>
      </c>
      <c r="AN29" s="88"/>
      <c r="AO29" s="5">
        <f t="shared" si="31"/>
        <v>-9.0563288067672599E-14</v>
      </c>
      <c r="AP29" s="5">
        <f t="shared" si="32"/>
        <v>-2.4104408278799063E-9</v>
      </c>
      <c r="AQ29" s="5">
        <f t="shared" si="33"/>
        <v>1.239129312259003E-11</v>
      </c>
      <c r="AR29" s="5">
        <f t="shared" si="34"/>
        <v>1.9461290046023478E-16</v>
      </c>
      <c r="AS29" s="5">
        <f t="shared" si="35"/>
        <v>-2.3981399034324833E-9</v>
      </c>
      <c r="AT29" s="54"/>
      <c r="AU29" s="3">
        <v>-128.51672803815669</v>
      </c>
      <c r="AV29" s="4">
        <v>76368.873263090049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E30" s="2">
        <v>125</v>
      </c>
      <c r="F30" s="2">
        <f t="shared" si="15"/>
        <v>398.15</v>
      </c>
      <c r="G30" s="71">
        <f t="shared" si="16"/>
        <v>938.98414336096175</v>
      </c>
      <c r="H30" s="42">
        <f t="shared" si="17"/>
        <v>0.93898447371358518</v>
      </c>
      <c r="I30" s="42">
        <f t="shared" si="18"/>
        <v>938.9844737135852</v>
      </c>
      <c r="J30" s="5">
        <f t="shared" si="0"/>
        <v>1.0649809984823262E-5</v>
      </c>
      <c r="K30" s="41">
        <f t="shared" si="1"/>
        <v>49.586569772697807</v>
      </c>
      <c r="L30" s="5">
        <f t="shared" si="19"/>
        <v>2.245293360902872E-4</v>
      </c>
      <c r="M30" s="5">
        <f t="shared" si="2"/>
        <v>3.6959685350252677E-4</v>
      </c>
      <c r="N30" s="42">
        <f t="shared" si="20"/>
        <v>11.963821329959377</v>
      </c>
      <c r="O30" s="2">
        <f t="shared" si="21"/>
        <v>1.0868726743002748E-12</v>
      </c>
      <c r="P30" s="83">
        <f t="shared" si="22"/>
        <v>1.9071522037583781</v>
      </c>
      <c r="Q30" s="5">
        <f t="shared" si="23"/>
        <v>1.2383625113387101E-2</v>
      </c>
      <c r="R30" s="5">
        <f t="shared" si="3"/>
        <v>1.23936251133871E-2</v>
      </c>
      <c r="S30" s="2">
        <f t="shared" si="4"/>
        <v>2.5097288614315685E-9</v>
      </c>
      <c r="T30" s="54"/>
      <c r="U30" s="5">
        <f t="shared" si="5"/>
        <v>2325.1110841188101</v>
      </c>
      <c r="V30" s="5">
        <f t="shared" si="6"/>
        <v>0.17736734826868061</v>
      </c>
      <c r="W30" s="4">
        <f t="shared" si="7"/>
        <v>1.4690885116705315E-2</v>
      </c>
      <c r="X30" s="3">
        <f t="shared" si="24"/>
        <v>14.690885116705315</v>
      </c>
      <c r="Y30" s="54"/>
      <c r="Z30" s="5">
        <f t="shared" si="8"/>
        <v>2.0448522212436713E-19</v>
      </c>
      <c r="AA30" s="5">
        <f t="shared" si="9"/>
        <v>1.8616589354427945E-7</v>
      </c>
      <c r="AB30" s="5">
        <f t="shared" si="10"/>
        <v>4.9716589354427947E-7</v>
      </c>
      <c r="AC30" s="5">
        <f t="shared" si="11"/>
        <v>2.1316589354427944E-7</v>
      </c>
      <c r="AD30" s="5">
        <f t="shared" si="12"/>
        <v>3.3916589354427946E-7</v>
      </c>
      <c r="AE30" s="5">
        <f t="shared" si="13"/>
        <v>-2.7444738151263823E-9</v>
      </c>
      <c r="AF30" s="5">
        <f t="shared" si="25"/>
        <v>2.4E-9</v>
      </c>
      <c r="AG30" s="5">
        <f t="shared" si="26"/>
        <v>-3.4447381492189708E-10</v>
      </c>
      <c r="AH30" s="4">
        <f t="shared" si="14"/>
        <v>-8.8206854754977344E-6</v>
      </c>
      <c r="AI30" s="4">
        <f t="shared" si="27"/>
        <v>-8820.6854754977339</v>
      </c>
      <c r="AJ30" s="54"/>
      <c r="AK30" s="5">
        <f t="shared" si="28"/>
        <v>8.4638395889214148E-10</v>
      </c>
      <c r="AL30" s="4">
        <f t="shared" si="29"/>
        <v>5.0000000000000001E-9</v>
      </c>
      <c r="AM30" s="4">
        <f t="shared" si="30"/>
        <v>5.0194577228631369E-9</v>
      </c>
      <c r="AN30" s="88"/>
      <c r="AO30" s="5">
        <f t="shared" si="31"/>
        <v>-9.2783734751978117E-14</v>
      </c>
      <c r="AP30" s="5">
        <f t="shared" si="32"/>
        <v>-2.7562832656427089E-9</v>
      </c>
      <c r="AQ30" s="5">
        <f t="shared" si="33"/>
        <v>1.2642714933535472E-11</v>
      </c>
      <c r="AR30" s="5">
        <f t="shared" si="34"/>
        <v>1.7654916735098771E-16</v>
      </c>
      <c r="AS30" s="5">
        <f t="shared" si="35"/>
        <v>-2.7437331578947579E-9</v>
      </c>
      <c r="AT30" s="54"/>
      <c r="AU30" s="3">
        <v>-128.66357919108361</v>
      </c>
      <c r="AV30" s="4">
        <v>77252.048073899365</v>
      </c>
    </row>
    <row r="31" spans="1:48" x14ac:dyDescent="0.35">
      <c r="A31" s="69" t="s">
        <v>141</v>
      </c>
      <c r="B31" s="4" t="str">
        <f>Control!B24</f>
        <v>on</v>
      </c>
      <c r="E31" s="2">
        <v>130</v>
      </c>
      <c r="F31" s="2">
        <f t="shared" si="15"/>
        <v>403.15</v>
      </c>
      <c r="G31" s="71">
        <f t="shared" si="16"/>
        <v>934.77543638776638</v>
      </c>
      <c r="H31" s="42">
        <f t="shared" si="17"/>
        <v>0.9347757678790789</v>
      </c>
      <c r="I31" s="42">
        <f t="shared" si="18"/>
        <v>934.7757678790789</v>
      </c>
      <c r="J31" s="5">
        <f t="shared" si="0"/>
        <v>1.069775939363479E-5</v>
      </c>
      <c r="K31" s="41">
        <f t="shared" si="1"/>
        <v>48.439629774322803</v>
      </c>
      <c r="L31" s="5">
        <f t="shared" si="19"/>
        <v>2.1686183126214616E-4</v>
      </c>
      <c r="M31" s="5">
        <f t="shared" si="2"/>
        <v>3.8116871081394523E-4</v>
      </c>
      <c r="N31" s="42">
        <f t="shared" si="20"/>
        <v>11.908793659323456</v>
      </c>
      <c r="O31" s="2">
        <f t="shared" si="21"/>
        <v>1.2336908414560967E-12</v>
      </c>
      <c r="P31" s="83">
        <f t="shared" si="22"/>
        <v>1.8057874884716121</v>
      </c>
      <c r="Q31" s="5">
        <f t="shared" si="23"/>
        <v>1.5639127184030429E-2</v>
      </c>
      <c r="R31" s="5">
        <f t="shared" si="3"/>
        <v>1.5649127184030429E-2</v>
      </c>
      <c r="S31" s="2">
        <f t="shared" si="4"/>
        <v>2.2213104976155404E-9</v>
      </c>
      <c r="T31" s="54"/>
      <c r="U31" s="5">
        <f t="shared" si="5"/>
        <v>3281.5773825603078</v>
      </c>
      <c r="V31" s="5">
        <f t="shared" si="6"/>
        <v>0.18757775585960723</v>
      </c>
      <c r="W31" s="4">
        <f t="shared" si="7"/>
        <v>1.0252300336733621E-2</v>
      </c>
      <c r="X31" s="3">
        <f t="shared" si="24"/>
        <v>10.252300336733621</v>
      </c>
      <c r="Y31" s="54"/>
      <c r="Z31" s="5">
        <f t="shared" si="8"/>
        <v>1.6191894494173924E-19</v>
      </c>
      <c r="AA31" s="5">
        <f t="shared" si="9"/>
        <v>1.8940065140647652E-7</v>
      </c>
      <c r="AB31" s="5">
        <f t="shared" si="10"/>
        <v>5.0040065140647654E-7</v>
      </c>
      <c r="AC31" s="5">
        <f t="shared" si="11"/>
        <v>2.1640065140647651E-7</v>
      </c>
      <c r="AD31" s="5">
        <f t="shared" si="12"/>
        <v>3.4240065140647653E-7</v>
      </c>
      <c r="AE31" s="5">
        <f t="shared" si="13"/>
        <v>-3.1162707992025014E-9</v>
      </c>
      <c r="AF31" s="5">
        <f t="shared" si="25"/>
        <v>2.4E-9</v>
      </c>
      <c r="AG31" s="5">
        <f t="shared" si="26"/>
        <v>-7.1627079904058246E-10</v>
      </c>
      <c r="AH31" s="4">
        <f t="shared" si="14"/>
        <v>-6.2038500668766206E-6</v>
      </c>
      <c r="AI31" s="4">
        <f t="shared" si="27"/>
        <v>-6203.850066876621</v>
      </c>
      <c r="AJ31" s="54"/>
      <c r="AK31" s="5">
        <f t="shared" si="28"/>
        <v>8.5567871865144918E-10</v>
      </c>
      <c r="AL31" s="4">
        <f t="shared" si="29"/>
        <v>5.0000000000000001E-9</v>
      </c>
      <c r="AM31" s="4">
        <f t="shared" si="30"/>
        <v>4.4426209952310809E-9</v>
      </c>
      <c r="AN31" s="88"/>
      <c r="AO31" s="5">
        <f t="shared" si="31"/>
        <v>-9.4713510996948509E-14</v>
      </c>
      <c r="AP31" s="5">
        <f t="shared" si="32"/>
        <v>-3.1283688798155896E-9</v>
      </c>
      <c r="AQ31" s="5">
        <f t="shared" si="33"/>
        <v>1.2855047708288105E-11</v>
      </c>
      <c r="AR31" s="5">
        <f t="shared" si="34"/>
        <v>1.6045141092269223E-16</v>
      </c>
      <c r="AS31" s="5">
        <f t="shared" si="35"/>
        <v>-3.1156083851668873E-9</v>
      </c>
      <c r="AT31" s="54"/>
      <c r="AU31" s="3">
        <v>-128.74886449087231</v>
      </c>
      <c r="AV31" s="4">
        <v>77908.237626048169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E32" s="2">
        <v>135</v>
      </c>
      <c r="F32" s="2">
        <f t="shared" si="15"/>
        <v>408.15</v>
      </c>
      <c r="G32" s="71">
        <f t="shared" si="16"/>
        <v>930.45622488454865</v>
      </c>
      <c r="H32" s="42">
        <f t="shared" si="17"/>
        <v>0.93045655754444767</v>
      </c>
      <c r="I32" s="42">
        <f t="shared" si="18"/>
        <v>930.45655754444772</v>
      </c>
      <c r="J32" s="5">
        <f t="shared" si="0"/>
        <v>1.0747418780283933E-5</v>
      </c>
      <c r="K32" s="41">
        <f t="shared" si="1"/>
        <v>47.312123550947767</v>
      </c>
      <c r="L32" s="5">
        <f t="shared" si="19"/>
        <v>2.0995334124815885E-4</v>
      </c>
      <c r="M32" s="5">
        <f t="shared" si="2"/>
        <v>3.926655681253637E-4</v>
      </c>
      <c r="N32" s="42">
        <f t="shared" si="20"/>
        <v>11.855950031009247</v>
      </c>
      <c r="O32" s="2">
        <f t="shared" si="21"/>
        <v>1.3933171057981192E-12</v>
      </c>
      <c r="P32" s="83">
        <f t="shared" si="22"/>
        <v>1.7084459278187998</v>
      </c>
      <c r="Q32" s="5">
        <f t="shared" si="23"/>
        <v>1.9568343899964608E-2</v>
      </c>
      <c r="R32" s="5">
        <f t="shared" si="3"/>
        <v>1.9578343899964608E-2</v>
      </c>
      <c r="S32" s="2">
        <f t="shared" si="4"/>
        <v>1.9748255351547783E-9</v>
      </c>
      <c r="T32" s="54"/>
      <c r="U32" s="5">
        <f t="shared" si="5"/>
        <v>4566.9841832649126</v>
      </c>
      <c r="V32" s="5">
        <f t="shared" si="6"/>
        <v>0.19765714496302772</v>
      </c>
      <c r="W32" s="4">
        <f t="shared" si="7"/>
        <v>6.215770713863129E-3</v>
      </c>
      <c r="X32" s="3">
        <f t="shared" si="24"/>
        <v>6.2157707138631286</v>
      </c>
      <c r="Y32" s="54"/>
      <c r="Z32" s="5">
        <f t="shared" si="8"/>
        <v>1.2940664169847134E-19</v>
      </c>
      <c r="AA32" s="5">
        <f t="shared" si="9"/>
        <v>1.9233754820536635E-7</v>
      </c>
      <c r="AB32" s="5">
        <f t="shared" si="10"/>
        <v>5.0333754820536637E-7</v>
      </c>
      <c r="AC32" s="5">
        <f t="shared" si="11"/>
        <v>2.1933754820536637E-7</v>
      </c>
      <c r="AD32" s="5">
        <f t="shared" si="12"/>
        <v>3.4533754820536636E-7</v>
      </c>
      <c r="AE32" s="5">
        <f t="shared" si="13"/>
        <v>-3.5144276163420927E-9</v>
      </c>
      <c r="AF32" s="5">
        <f t="shared" si="25"/>
        <v>2.4E-9</v>
      </c>
      <c r="AG32" s="5">
        <f t="shared" si="26"/>
        <v>-1.1144276162126861E-9</v>
      </c>
      <c r="AH32" s="4">
        <f t="shared" si="14"/>
        <v>-3.781300391196152E-6</v>
      </c>
      <c r="AI32" s="4">
        <f t="shared" si="27"/>
        <v>-3781.3003911961523</v>
      </c>
      <c r="AJ32" s="54"/>
      <c r="AK32" s="5">
        <f t="shared" si="28"/>
        <v>8.653383836534159E-10</v>
      </c>
      <c r="AL32" s="4">
        <f t="shared" si="29"/>
        <v>5.0000000000000001E-9</v>
      </c>
      <c r="AM32" s="4">
        <f t="shared" si="30"/>
        <v>3.9496510703095565E-9</v>
      </c>
      <c r="AN32" s="88"/>
      <c r="AO32" s="5">
        <f t="shared" si="31"/>
        <v>-9.6363714927608506E-14</v>
      </c>
      <c r="AP32" s="5">
        <f t="shared" si="32"/>
        <v>-3.5267693279256696E-9</v>
      </c>
      <c r="AQ32" s="5">
        <f t="shared" si="33"/>
        <v>1.3030261774742597E-11</v>
      </c>
      <c r="AR32" s="5">
        <f t="shared" si="34"/>
        <v>1.4607633170959514E-16</v>
      </c>
      <c r="AS32" s="5">
        <f t="shared" si="35"/>
        <v>-3.5138352837895228E-9</v>
      </c>
      <c r="AT32" s="54"/>
      <c r="AU32" s="3">
        <v>-128.77859903657551</v>
      </c>
      <c r="AV32" s="4">
        <v>78341.140435449415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E33" s="2">
        <v>140</v>
      </c>
      <c r="F33" s="2">
        <f t="shared" si="15"/>
        <v>413.15</v>
      </c>
      <c r="G33" s="71">
        <f t="shared" si="16"/>
        <v>926.0260212893005</v>
      </c>
      <c r="H33" s="42">
        <f t="shared" si="17"/>
        <v>0.92602635514781584</v>
      </c>
      <c r="I33" s="42">
        <f t="shared" si="18"/>
        <v>926.02635514781582</v>
      </c>
      <c r="J33" s="5">
        <f t="shared" si="0"/>
        <v>1.079883553556448E-5</v>
      </c>
      <c r="K33" s="41">
        <f t="shared" si="1"/>
        <v>46.202993602572796</v>
      </c>
      <c r="L33" s="5">
        <f t="shared" si="19"/>
        <v>2.0372730922701331E-4</v>
      </c>
      <c r="M33" s="5">
        <f t="shared" si="2"/>
        <v>4.0408742543678218E-4</v>
      </c>
      <c r="N33" s="42">
        <f t="shared" si="20"/>
        <v>11.805127526952067</v>
      </c>
      <c r="O33" s="2">
        <f t="shared" si="21"/>
        <v>1.566291074265293E-12</v>
      </c>
      <c r="P33" s="83">
        <f t="shared" si="22"/>
        <v>1.6148274156342461</v>
      </c>
      <c r="Q33" s="5">
        <f t="shared" si="23"/>
        <v>2.4275745977532386E-2</v>
      </c>
      <c r="R33" s="5">
        <f t="shared" si="3"/>
        <v>2.4285745977532386E-2</v>
      </c>
      <c r="S33" s="2">
        <f t="shared" si="4"/>
        <v>1.762924858567966E-9</v>
      </c>
      <c r="T33" s="54"/>
      <c r="U33" s="5">
        <f t="shared" si="5"/>
        <v>6273.7698408899259</v>
      </c>
      <c r="V33" s="5">
        <f t="shared" si="6"/>
        <v>0.20761771397929893</v>
      </c>
      <c r="W33" s="4">
        <f t="shared" si="7"/>
        <v>2.6764373591794521E-3</v>
      </c>
      <c r="X33" s="3">
        <f t="shared" si="24"/>
        <v>2.6764373591794519</v>
      </c>
      <c r="Y33" s="54"/>
      <c r="Z33" s="5">
        <f t="shared" si="8"/>
        <v>1.0431302184464666E-19</v>
      </c>
      <c r="AA33" s="5">
        <f t="shared" si="9"/>
        <v>1.9496609552709799E-7</v>
      </c>
      <c r="AB33" s="5">
        <f t="shared" si="10"/>
        <v>5.0596609552709806E-7</v>
      </c>
      <c r="AC33" s="5">
        <f t="shared" si="11"/>
        <v>2.2196609552709801E-7</v>
      </c>
      <c r="AD33" s="5">
        <f t="shared" si="12"/>
        <v>3.47966095527098E-7</v>
      </c>
      <c r="AE33" s="5">
        <f t="shared" si="13"/>
        <v>-3.9388600267048939E-9</v>
      </c>
      <c r="AF33" s="5">
        <f t="shared" si="25"/>
        <v>2.4E-9</v>
      </c>
      <c r="AG33" s="5">
        <f t="shared" si="26"/>
        <v>-1.5388600266005806E-9</v>
      </c>
      <c r="AH33" s="4">
        <f t="shared" si="14"/>
        <v>-1.6329165813608572E-6</v>
      </c>
      <c r="AI33" s="4">
        <f t="shared" si="27"/>
        <v>-1632.9165813608572</v>
      </c>
      <c r="AJ33" s="54"/>
      <c r="AK33" s="5">
        <f t="shared" si="28"/>
        <v>8.7538749354498943E-10</v>
      </c>
      <c r="AL33" s="4">
        <f t="shared" si="29"/>
        <v>5.0000000000000001E-9</v>
      </c>
      <c r="AM33" s="4">
        <f t="shared" si="30"/>
        <v>3.525849717135932E-9</v>
      </c>
      <c r="AN33" s="88"/>
      <c r="AO33" s="5">
        <f t="shared" si="31"/>
        <v>-9.7743968833871605E-14</v>
      </c>
      <c r="AP33" s="5">
        <f t="shared" si="32"/>
        <v>-3.9514029768073548E-9</v>
      </c>
      <c r="AQ33" s="5">
        <f t="shared" si="33"/>
        <v>1.3170031864483056E-11</v>
      </c>
      <c r="AR33" s="5">
        <f t="shared" si="34"/>
        <v>1.332100531995663E-16</v>
      </c>
      <c r="AS33" s="5">
        <f t="shared" si="35"/>
        <v>-3.9383305557016523E-9</v>
      </c>
      <c r="AT33" s="54"/>
      <c r="AU33" s="3">
        <v>-128.75857899790569</v>
      </c>
      <c r="AV33" s="4">
        <v>78556.674481257302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E34" s="2">
        <v>145</v>
      </c>
      <c r="F34" s="2">
        <f t="shared" si="15"/>
        <v>418.15</v>
      </c>
      <c r="G34" s="71">
        <f t="shared" si="16"/>
        <v>921.4840211658875</v>
      </c>
      <c r="H34" s="42">
        <f t="shared" si="17"/>
        <v>0.92148435625326619</v>
      </c>
      <c r="I34" s="42">
        <f t="shared" si="18"/>
        <v>921.48435625326624</v>
      </c>
      <c r="J34" s="5">
        <f t="shared" si="0"/>
        <v>1.0852063059003457E-5</v>
      </c>
      <c r="K34" s="41">
        <f t="shared" si="1"/>
        <v>45.111182429197832</v>
      </c>
      <c r="L34" s="5">
        <f t="shared" si="19"/>
        <v>1.9811529821678447E-4</v>
      </c>
      <c r="M34" s="5">
        <f t="shared" si="2"/>
        <v>4.1543428274820057E-4</v>
      </c>
      <c r="N34" s="42">
        <f t="shared" si="20"/>
        <v>11.756180340872524</v>
      </c>
      <c r="O34" s="2">
        <f t="shared" si="21"/>
        <v>1.753152353796568E-12</v>
      </c>
      <c r="P34" s="83">
        <f t="shared" si="22"/>
        <v>1.5246633668256369</v>
      </c>
      <c r="Q34" s="5">
        <f t="shared" si="23"/>
        <v>2.9876975652576385E-2</v>
      </c>
      <c r="R34" s="5">
        <f t="shared" si="3"/>
        <v>2.9886975652576385E-2</v>
      </c>
      <c r="S34" s="2">
        <f t="shared" si="4"/>
        <v>1.5797478046591913E-9</v>
      </c>
      <c r="T34" s="54"/>
      <c r="U34" s="5">
        <f t="shared" si="5"/>
        <v>8514.8521458109681</v>
      </c>
      <c r="V34" s="5">
        <f t="shared" si="6"/>
        <v>0.21747023293036957</v>
      </c>
      <c r="W34" s="4">
        <f t="shared" si="7"/>
        <v>-3.202513842070244E-4</v>
      </c>
      <c r="X34" s="3">
        <f t="shared" si="24"/>
        <v>-0.32025138420702437</v>
      </c>
      <c r="Y34" s="54"/>
      <c r="Z34" s="5">
        <f t="shared" si="8"/>
        <v>8.4756879896477753E-20</v>
      </c>
      <c r="AA34" s="5">
        <f t="shared" si="9"/>
        <v>1.9727896344640926E-7</v>
      </c>
      <c r="AB34" s="5">
        <f t="shared" si="10"/>
        <v>5.0827896344640923E-7</v>
      </c>
      <c r="AC34" s="5">
        <f t="shared" si="11"/>
        <v>2.2427896344640925E-7</v>
      </c>
      <c r="AD34" s="5">
        <f t="shared" si="12"/>
        <v>3.5027896344640921E-7</v>
      </c>
      <c r="AE34" s="5">
        <f t="shared" si="13"/>
        <v>-4.3893304352971474E-9</v>
      </c>
      <c r="AF34" s="5">
        <f t="shared" si="25"/>
        <v>2.4E-9</v>
      </c>
      <c r="AG34" s="5">
        <f t="shared" si="26"/>
        <v>-1.9893304352123904E-9</v>
      </c>
      <c r="AH34" s="4">
        <f t="shared" si="14"/>
        <v>1.9550049987401148E-7</v>
      </c>
      <c r="AI34" s="4">
        <f t="shared" si="27"/>
        <v>195.5004998740115</v>
      </c>
      <c r="AJ34" s="54"/>
      <c r="AK34" s="5">
        <f t="shared" si="28"/>
        <v>8.8585348559753419E-10</v>
      </c>
      <c r="AL34" s="4">
        <f t="shared" si="29"/>
        <v>5.0000000000000001E-9</v>
      </c>
      <c r="AM34" s="4">
        <f t="shared" si="30"/>
        <v>3.1594956093183827E-9</v>
      </c>
      <c r="AN34" s="88"/>
      <c r="AO34" s="5">
        <f t="shared" si="31"/>
        <v>-9.886310985927782E-14</v>
      </c>
      <c r="AP34" s="5">
        <f t="shared" si="32"/>
        <v>-4.4020345368852066E-9</v>
      </c>
      <c r="AQ34" s="5">
        <f t="shared" si="33"/>
        <v>1.3275847472270761E-11</v>
      </c>
      <c r="AR34" s="5">
        <f t="shared" si="34"/>
        <v>1.2166643860982249E-16</v>
      </c>
      <c r="AS34" s="5">
        <f t="shared" si="35"/>
        <v>-4.3888574308563561E-9</v>
      </c>
      <c r="AT34" s="54"/>
      <c r="AU34" s="3">
        <v>-128.69431618085255</v>
      </c>
      <c r="AV34" s="4">
        <v>78562.667806752346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E35" s="2">
        <v>150</v>
      </c>
      <c r="F35" s="2">
        <f t="shared" si="15"/>
        <v>423.15</v>
      </c>
      <c r="G35" s="71">
        <f t="shared" si="16"/>
        <v>916.82911127778289</v>
      </c>
      <c r="H35" s="42">
        <f t="shared" si="17"/>
        <v>0.91682944762457341</v>
      </c>
      <c r="I35" s="42">
        <f t="shared" si="18"/>
        <v>916.82944762457339</v>
      </c>
      <c r="J35" s="5">
        <f t="shared" si="0"/>
        <v>1.0907160977490455E-5</v>
      </c>
      <c r="K35" s="41">
        <f t="shared" si="1"/>
        <v>44.03563253082276</v>
      </c>
      <c r="L35" s="5">
        <f t="shared" si="19"/>
        <v>1.9305602043425698E-4</v>
      </c>
      <c r="M35" s="5">
        <f t="shared" si="2"/>
        <v>4.2670614005961896E-4</v>
      </c>
      <c r="N35" s="42">
        <f t="shared" si="20"/>
        <v>11.708977535066271</v>
      </c>
      <c r="O35" s="2">
        <f t="shared" si="21"/>
        <v>1.9544405513308934E-12</v>
      </c>
      <c r="P35" s="83">
        <f t="shared" si="22"/>
        <v>1.437712585228061</v>
      </c>
      <c r="Q35" s="5">
        <f t="shared" si="23"/>
        <v>3.6499541987647023E-2</v>
      </c>
      <c r="R35" s="5">
        <f t="shared" si="3"/>
        <v>3.6509541987647026E-2</v>
      </c>
      <c r="S35" s="2">
        <f t="shared" si="4"/>
        <v>1.4205832485160639E-9</v>
      </c>
      <c r="T35" s="54"/>
      <c r="U35" s="5">
        <f t="shared" si="5"/>
        <v>11426.973920107164</v>
      </c>
      <c r="V35" s="5">
        <f t="shared" si="6"/>
        <v>0.22722422199451159</v>
      </c>
      <c r="W35" s="4">
        <f t="shared" si="7"/>
        <v>-2.772146150940985E-3</v>
      </c>
      <c r="X35" s="3">
        <f t="shared" si="24"/>
        <v>-2.7721461509409853</v>
      </c>
      <c r="Y35" s="54"/>
      <c r="Z35" s="5">
        <f t="shared" si="8"/>
        <v>6.9378462984956304E-20</v>
      </c>
      <c r="AA35" s="5">
        <f t="shared" si="9"/>
        <v>1.9927182469673681E-7</v>
      </c>
      <c r="AB35" s="5">
        <f t="shared" si="10"/>
        <v>5.1027182469673677E-7</v>
      </c>
      <c r="AC35" s="5">
        <f t="shared" si="11"/>
        <v>2.2627182469673682E-7</v>
      </c>
      <c r="AD35" s="5">
        <f t="shared" si="12"/>
        <v>3.5227182469673681E-7</v>
      </c>
      <c r="AE35" s="5">
        <f t="shared" si="13"/>
        <v>-4.8654483612631558E-9</v>
      </c>
      <c r="AF35" s="5">
        <f t="shared" si="25"/>
        <v>2.4E-9</v>
      </c>
      <c r="AG35" s="5">
        <f t="shared" si="26"/>
        <v>-2.4654483611937777E-9</v>
      </c>
      <c r="AH35" s="4">
        <f t="shared" si="14"/>
        <v>1.6894573970040781E-6</v>
      </c>
      <c r="AI35" s="4">
        <f t="shared" si="27"/>
        <v>1689.4573970040781</v>
      </c>
      <c r="AJ35" s="54"/>
      <c r="AK35" s="5">
        <f t="shared" si="28"/>
        <v>8.9676701587190134E-10</v>
      </c>
      <c r="AL35" s="4">
        <f t="shared" si="29"/>
        <v>5.0000000000000001E-9</v>
      </c>
      <c r="AM35" s="4">
        <f t="shared" si="30"/>
        <v>2.8411664970321278E-9</v>
      </c>
      <c r="AN35" s="88"/>
      <c r="AO35" s="5">
        <f t="shared" si="31"/>
        <v>-9.9729639365063499E-14</v>
      </c>
      <c r="AP35" s="5">
        <f t="shared" si="32"/>
        <v>-4.8782756160927683E-9</v>
      </c>
      <c r="AQ35" s="5">
        <f t="shared" si="33"/>
        <v>1.3349086725802825E-11</v>
      </c>
      <c r="AR35" s="5">
        <f t="shared" si="34"/>
        <v>1.1128433491252101E-16</v>
      </c>
      <c r="AS35" s="5">
        <f t="shared" si="35"/>
        <v>-4.8650261477219952E-9</v>
      </c>
      <c r="AT35" s="54"/>
      <c r="AU35" s="3">
        <v>-128.59099753684481</v>
      </c>
      <c r="AV35" s="4">
        <v>78368.527431086215</v>
      </c>
    </row>
    <row r="36" spans="1:48" x14ac:dyDescent="0.35">
      <c r="A36" t="s">
        <v>32</v>
      </c>
      <c r="B36" s="38">
        <f>Control!B29</f>
        <v>0.19</v>
      </c>
      <c r="C36" s="2" t="s">
        <v>1</v>
      </c>
      <c r="Y36" s="6"/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2">
        <f>100*(G35-G5)/G5</f>
        <v>-8.3023732370787968</v>
      </c>
      <c r="H37" s="2">
        <f t="shared" ref="H37:AS37" si="36">100*(H35-H5)/H5</f>
        <v>-8.3023683843946277</v>
      </c>
      <c r="I37" s="2">
        <f t="shared" si="36"/>
        <v>-8.302368384394633</v>
      </c>
      <c r="J37" s="2">
        <f t="shared" si="36"/>
        <v>9.0540764577736326</v>
      </c>
      <c r="K37" s="2">
        <f t="shared" si="36"/>
        <v>-49.770711493793961</v>
      </c>
      <c r="L37" s="2">
        <f t="shared" si="36"/>
        <v>-89.124396069935287</v>
      </c>
      <c r="M37" s="2">
        <f t="shared" si="36"/>
        <v>662.99138135836893</v>
      </c>
      <c r="N37" s="2">
        <f t="shared" si="36"/>
        <v>-22.738700343636562</v>
      </c>
      <c r="O37" s="2">
        <f t="shared" si="36"/>
        <v>279191.77864706103</v>
      </c>
      <c r="P37" s="2">
        <f t="shared" si="36"/>
        <v>-81.533663210118306</v>
      </c>
      <c r="Q37" s="2">
        <f t="shared" si="36"/>
        <v>222778619.80971432</v>
      </c>
      <c r="R37" s="2">
        <f t="shared" si="36"/>
        <v>364398.23453367135</v>
      </c>
      <c r="S37" s="2">
        <f t="shared" si="36"/>
        <v>-98.538908652672788</v>
      </c>
      <c r="U37" s="2">
        <f t="shared" si="36"/>
        <v>11813813932.952751</v>
      </c>
      <c r="V37" s="2">
        <f t="shared" si="36"/>
        <v>-256.59244619349914</v>
      </c>
      <c r="W37" s="2">
        <f t="shared" si="36"/>
        <v>-98.11843514886192</v>
      </c>
      <c r="X37" s="2">
        <f t="shared" si="36"/>
        <v>-98.11843514886192</v>
      </c>
      <c r="Z37" s="2">
        <f t="shared" si="36"/>
        <v>-99.999955008832529</v>
      </c>
      <c r="AA37" s="2">
        <f t="shared" si="36"/>
        <v>174.54083701681841</v>
      </c>
      <c r="AB37" s="2">
        <f t="shared" si="36"/>
        <v>33.027513938115803</v>
      </c>
      <c r="AC37" s="2">
        <f t="shared" si="36"/>
        <v>127.21779263624177</v>
      </c>
      <c r="AD37" s="2">
        <f t="shared" si="36"/>
        <v>56.160159673636606</v>
      </c>
      <c r="AE37" s="2">
        <f t="shared" si="36"/>
        <v>-1919.0816499239961</v>
      </c>
      <c r="AF37" s="2">
        <f t="shared" si="36"/>
        <v>0</v>
      </c>
      <c r="AG37" s="2">
        <f t="shared" si="36"/>
        <v>-192.42122121583091</v>
      </c>
      <c r="AH37" s="2">
        <f t="shared" si="36"/>
        <v>-92.282701565576261</v>
      </c>
      <c r="AI37" s="2">
        <f t="shared" si="36"/>
        <v>-92.282701565576261</v>
      </c>
      <c r="AK37" s="2">
        <f t="shared" si="36"/>
        <v>28.513820072979222</v>
      </c>
      <c r="AL37" s="2">
        <f t="shared" si="36"/>
        <v>0</v>
      </c>
      <c r="AM37" s="2">
        <f t="shared" si="36"/>
        <v>-98.538908652672788</v>
      </c>
      <c r="AO37" s="2">
        <f t="shared" si="36"/>
        <v>-111.13433313846252</v>
      </c>
      <c r="AP37" s="2">
        <f t="shared" si="36"/>
        <v>-199178.6660857751</v>
      </c>
      <c r="AQ37" s="2">
        <f t="shared" si="36"/>
        <v>-174.89426960626633</v>
      </c>
      <c r="AR37" s="2">
        <f t="shared" si="36"/>
        <v>-100.06452989308033</v>
      </c>
      <c r="AS37" s="2">
        <f t="shared" si="36"/>
        <v>33107.820146019825</v>
      </c>
      <c r="AU37" s="2">
        <v>27.141337404897502</v>
      </c>
      <c r="AV37" s="2">
        <v>421.47426229667991</v>
      </c>
    </row>
    <row r="38" spans="1:48" x14ac:dyDescent="0.35">
      <c r="B38" s="37">
        <v>-9.4999999999999998E-3</v>
      </c>
      <c r="C38" s="6"/>
      <c r="G38" s="2" t="str">
        <f>G1</f>
        <v>Density water</v>
      </c>
      <c r="H38" s="2" t="str">
        <f t="shared" ref="H38:AS38" si="37">H1</f>
        <v>Density Soln</v>
      </c>
      <c r="I38" s="2" t="str">
        <f t="shared" si="37"/>
        <v>Density Soln</v>
      </c>
      <c r="J38" s="2" t="str">
        <f t="shared" si="37"/>
        <v>Molality</v>
      </c>
      <c r="K38" s="2" t="str">
        <f t="shared" si="37"/>
        <v>RelPerm Soln</v>
      </c>
      <c r="L38" s="2" t="str">
        <f t="shared" si="37"/>
        <v>Visc Soln</v>
      </c>
      <c r="M38" s="2" t="str">
        <f t="shared" si="37"/>
        <v>Condy Soln</v>
      </c>
      <c r="N38" s="2" t="str">
        <f t="shared" si="37"/>
        <v>pKw</v>
      </c>
      <c r="O38" s="2" t="str">
        <f t="shared" si="37"/>
        <v>Kw</v>
      </c>
      <c r="P38" s="2" t="str">
        <f t="shared" si="37"/>
        <v>pH</v>
      </c>
      <c r="Q38" s="2" t="str">
        <f t="shared" si="37"/>
        <v>[H+]</v>
      </c>
      <c r="R38" s="2" t="str">
        <f t="shared" si="37"/>
        <v>Ionic Conc</v>
      </c>
      <c r="S38" s="2" t="str">
        <f t="shared" si="37"/>
        <v>Debye Length</v>
      </c>
      <c r="U38" s="2" t="str">
        <f t="shared" si="37"/>
        <v>Theta2</v>
      </c>
      <c r="V38" s="2" t="str">
        <f t="shared" si="37"/>
        <v>SternPot</v>
      </c>
      <c r="W38" s="2" t="str">
        <f t="shared" si="37"/>
        <v>Zeta Pot</v>
      </c>
      <c r="X38" s="2" t="str">
        <f t="shared" si="37"/>
        <v>Zeta Pot</v>
      </c>
      <c r="Z38" s="2" t="str">
        <f t="shared" si="37"/>
        <v>SurfConStern</v>
      </c>
      <c r="AA38" s="2" t="str">
        <f t="shared" si="37"/>
        <v>EffMobNa</v>
      </c>
      <c r="AB38" s="2" t="str">
        <f t="shared" si="37"/>
        <v>EffMobHyd</v>
      </c>
      <c r="AC38" s="2" t="str">
        <f t="shared" si="37"/>
        <v>EffMobCl</v>
      </c>
      <c r="AD38" s="2" t="str">
        <f t="shared" si="37"/>
        <v>EffMobOH</v>
      </c>
      <c r="AE38" s="2" t="str">
        <f t="shared" si="37"/>
        <v>SurfConEDL</v>
      </c>
      <c r="AF38" s="2" t="str">
        <f t="shared" si="37"/>
        <v>SurfConProt</v>
      </c>
      <c r="AG38" s="2" t="str">
        <f t="shared" si="37"/>
        <v>TotSurfCon</v>
      </c>
      <c r="AH38" s="2" t="str">
        <f t="shared" si="37"/>
        <v>Cs</v>
      </c>
      <c r="AI38" s="2" t="str">
        <f t="shared" si="37"/>
        <v>Cs</v>
      </c>
      <c r="AK38" s="2" t="str">
        <f t="shared" si="37"/>
        <v>Bjerrum</v>
      </c>
      <c r="AL38" s="2" t="str">
        <f t="shared" si="37"/>
        <v>Shear Plane</v>
      </c>
      <c r="AM38" s="2" t="str">
        <f t="shared" si="37"/>
        <v>Twice Debye</v>
      </c>
      <c r="AO38" s="2" t="str">
        <f t="shared" si="37"/>
        <v>SurfConEDLNa</v>
      </c>
      <c r="AP38" s="2" t="str">
        <f t="shared" si="37"/>
        <v>SurfConEDLH</v>
      </c>
      <c r="AQ38" s="2" t="str">
        <f t="shared" si="37"/>
        <v>SurfConEDLCl</v>
      </c>
      <c r="AR38" s="2" t="str">
        <f t="shared" si="37"/>
        <v>SurfConEDLOH</v>
      </c>
      <c r="AS38" s="2" t="str">
        <f t="shared" si="37"/>
        <v>SurfConEDL</v>
      </c>
      <c r="AU38" s="2" t="s">
        <v>110</v>
      </c>
      <c r="AV38" s="2" t="s">
        <v>10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Y39" s="6"/>
    </row>
    <row r="40" spans="1:48" x14ac:dyDescent="0.35">
      <c r="B40" s="6"/>
      <c r="C40" s="6"/>
      <c r="O40" s="71" t="s">
        <v>145</v>
      </c>
      <c r="P40" s="84">
        <v>1.0000000000000001E-5</v>
      </c>
    </row>
    <row r="41" spans="1:48" x14ac:dyDescent="0.35">
      <c r="C41" s="6"/>
      <c r="G41"/>
      <c r="O41" s="71" t="s">
        <v>146</v>
      </c>
      <c r="P41" s="90">
        <f>Control!B41</f>
        <v>7.5</v>
      </c>
    </row>
    <row r="42" spans="1:48" x14ac:dyDescent="0.35">
      <c r="C42" s="6"/>
      <c r="G42"/>
      <c r="O42" s="71" t="s">
        <v>147</v>
      </c>
      <c r="P42" s="90">
        <f>Control!B42</f>
        <v>1</v>
      </c>
    </row>
    <row r="43" spans="1:48" x14ac:dyDescent="0.35">
      <c r="C43" s="6"/>
      <c r="G43"/>
      <c r="O43" s="71" t="s">
        <v>148</v>
      </c>
      <c r="P43" s="90">
        <f>Control!B43</f>
        <v>0.32</v>
      </c>
    </row>
    <row r="44" spans="1:48" x14ac:dyDescent="0.35">
      <c r="G44"/>
    </row>
    <row r="45" spans="1:48" x14ac:dyDescent="0.35">
      <c r="G45"/>
    </row>
    <row r="46" spans="1:48" x14ac:dyDescent="0.35">
      <c r="G46"/>
    </row>
    <row r="47" spans="1:48" x14ac:dyDescent="0.35">
      <c r="G47"/>
    </row>
    <row r="48" spans="1:48" x14ac:dyDescent="0.35">
      <c r="G48"/>
    </row>
    <row r="49" spans="7:7" x14ac:dyDescent="0.35">
      <c r="G49"/>
    </row>
    <row r="50" spans="7:7" x14ac:dyDescent="0.35">
      <c r="G50"/>
    </row>
    <row r="51" spans="7:7" x14ac:dyDescent="0.35">
      <c r="G51"/>
    </row>
    <row r="52" spans="7:7" x14ac:dyDescent="0.35">
      <c r="G52"/>
    </row>
    <row r="53" spans="7:7" x14ac:dyDescent="0.35">
      <c r="G53"/>
    </row>
    <row r="54" spans="7:7" x14ac:dyDescent="0.35">
      <c r="G54"/>
    </row>
    <row r="55" spans="7:7" x14ac:dyDescent="0.35">
      <c r="G55"/>
    </row>
    <row r="56" spans="7:7" x14ac:dyDescent="0.35">
      <c r="G56"/>
    </row>
    <row r="57" spans="7:7" x14ac:dyDescent="0.35">
      <c r="G57"/>
    </row>
    <row r="58" spans="7:7" x14ac:dyDescent="0.35">
      <c r="G58"/>
    </row>
    <row r="59" spans="7:7" x14ac:dyDescent="0.35">
      <c r="G59"/>
    </row>
    <row r="60" spans="7:7" x14ac:dyDescent="0.35">
      <c r="G60"/>
    </row>
    <row r="61" spans="7:7" x14ac:dyDescent="0.35">
      <c r="G61"/>
    </row>
    <row r="62" spans="7:7" x14ac:dyDescent="0.35">
      <c r="G62"/>
    </row>
    <row r="63" spans="7:7" x14ac:dyDescent="0.35">
      <c r="G63"/>
    </row>
    <row r="64" spans="7:7" x14ac:dyDescent="0.35">
      <c r="G64"/>
    </row>
    <row r="65" spans="7:7" x14ac:dyDescent="0.35">
      <c r="G65"/>
    </row>
    <row r="66" spans="7:7" x14ac:dyDescent="0.35">
      <c r="G66"/>
    </row>
    <row r="67" spans="7:7" x14ac:dyDescent="0.35">
      <c r="G67"/>
    </row>
    <row r="68" spans="7:7" x14ac:dyDescent="0.35">
      <c r="G68"/>
    </row>
    <row r="69" spans="7:7" x14ac:dyDescent="0.35">
      <c r="G69"/>
    </row>
    <row r="70" spans="7:7" x14ac:dyDescent="0.35">
      <c r="G70"/>
    </row>
    <row r="71" spans="7:7" x14ac:dyDescent="0.35">
      <c r="G71"/>
    </row>
    <row r="72" spans="7:7" x14ac:dyDescent="0.35">
      <c r="G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W43"/>
  <sheetViews>
    <sheetView workbookViewId="0">
      <selection activeCell="G5" sqref="G5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2.453125" customWidth="1"/>
    <col min="5" max="10" width="14.1796875" style="71" customWidth="1"/>
    <col min="11" max="11" width="14.1796875" style="82" customWidth="1"/>
    <col min="12" max="12" width="14.1796875" style="71" customWidth="1"/>
    <col min="13" max="13" width="14.1796875" style="72" customWidth="1"/>
    <col min="14" max="49" width="14.1796875" style="71" customWidth="1"/>
  </cols>
  <sheetData>
    <row r="1" spans="1:49" ht="18.5" x14ac:dyDescent="0.45">
      <c r="A1" s="7" t="s">
        <v>33</v>
      </c>
      <c r="B1" s="8"/>
      <c r="C1" s="52">
        <v>1</v>
      </c>
      <c r="E1" s="70" t="s">
        <v>102</v>
      </c>
      <c r="F1" s="70" t="s">
        <v>102</v>
      </c>
      <c r="G1" s="70" t="s">
        <v>97</v>
      </c>
      <c r="H1" s="70" t="s">
        <v>101</v>
      </c>
      <c r="I1" s="70" t="s">
        <v>101</v>
      </c>
      <c r="J1" s="70" t="s">
        <v>103</v>
      </c>
      <c r="K1" s="73" t="s">
        <v>104</v>
      </c>
      <c r="L1" s="70" t="s">
        <v>105</v>
      </c>
      <c r="M1" s="74" t="s">
        <v>106</v>
      </c>
      <c r="N1" s="70" t="s">
        <v>43</v>
      </c>
      <c r="O1" s="70" t="s">
        <v>58</v>
      </c>
      <c r="P1" s="70" t="s">
        <v>16</v>
      </c>
      <c r="Q1" s="70" t="s">
        <v>108</v>
      </c>
      <c r="R1" s="70" t="s">
        <v>107</v>
      </c>
      <c r="S1" s="70" t="s">
        <v>28</v>
      </c>
      <c r="T1" s="75"/>
      <c r="U1" s="70" t="s">
        <v>46</v>
      </c>
      <c r="V1" s="70" t="s">
        <v>109</v>
      </c>
      <c r="W1" s="70" t="s">
        <v>110</v>
      </c>
      <c r="X1" s="70" t="s">
        <v>110</v>
      </c>
      <c r="Y1" s="76" t="s">
        <v>144</v>
      </c>
      <c r="Z1" s="77"/>
      <c r="AA1" s="70" t="s">
        <v>25</v>
      </c>
      <c r="AB1" s="70" t="s">
        <v>38</v>
      </c>
      <c r="AC1" s="70" t="s">
        <v>40</v>
      </c>
      <c r="AD1" s="70" t="s">
        <v>41</v>
      </c>
      <c r="AE1" s="70" t="s">
        <v>42</v>
      </c>
      <c r="AF1" s="70" t="s">
        <v>27</v>
      </c>
      <c r="AG1" s="70" t="s">
        <v>26</v>
      </c>
      <c r="AH1" s="70" t="s">
        <v>29</v>
      </c>
      <c r="AI1" s="70" t="s">
        <v>10</v>
      </c>
      <c r="AJ1" s="70" t="s">
        <v>10</v>
      </c>
      <c r="AK1" s="77"/>
      <c r="AL1" s="78" t="s">
        <v>90</v>
      </c>
      <c r="AM1" s="70" t="s">
        <v>91</v>
      </c>
      <c r="AN1" s="70" t="s">
        <v>131</v>
      </c>
      <c r="AO1" s="79"/>
      <c r="AP1" s="70" t="s">
        <v>47</v>
      </c>
      <c r="AQ1" s="70" t="s">
        <v>48</v>
      </c>
      <c r="AR1" s="70" t="s">
        <v>49</v>
      </c>
      <c r="AS1" s="70" t="s">
        <v>50</v>
      </c>
      <c r="AT1" s="70" t="s">
        <v>27</v>
      </c>
      <c r="AU1" s="77"/>
      <c r="AV1" s="70" t="s">
        <v>110</v>
      </c>
      <c r="AW1" s="71" t="s">
        <v>10</v>
      </c>
    </row>
    <row r="2" spans="1:49" x14ac:dyDescent="0.35">
      <c r="B2" s="4"/>
      <c r="E2" s="70" t="s">
        <v>96</v>
      </c>
      <c r="F2" s="70" t="s">
        <v>11</v>
      </c>
      <c r="G2" s="70" t="s">
        <v>98</v>
      </c>
      <c r="H2" s="70" t="s">
        <v>93</v>
      </c>
      <c r="I2" s="70" t="s">
        <v>98</v>
      </c>
      <c r="J2" s="70" t="s">
        <v>94</v>
      </c>
      <c r="K2" s="73" t="s">
        <v>1</v>
      </c>
      <c r="L2" s="70" t="s">
        <v>6</v>
      </c>
      <c r="M2" s="74" t="s">
        <v>7</v>
      </c>
      <c r="N2" s="70" t="s">
        <v>1</v>
      </c>
      <c r="O2" s="70" t="s">
        <v>1</v>
      </c>
      <c r="P2" s="70" t="s">
        <v>1</v>
      </c>
      <c r="Q2" s="70" t="s">
        <v>1</v>
      </c>
      <c r="R2" s="70" t="s">
        <v>100</v>
      </c>
      <c r="S2" s="70" t="s">
        <v>9</v>
      </c>
      <c r="T2" s="75"/>
      <c r="U2" s="70" t="s">
        <v>1</v>
      </c>
      <c r="V2" s="70" t="s">
        <v>5</v>
      </c>
      <c r="W2" s="70" t="s">
        <v>5</v>
      </c>
      <c r="X2" s="70" t="s">
        <v>111</v>
      </c>
      <c r="Y2" s="70" t="s">
        <v>111</v>
      </c>
      <c r="Z2" s="77"/>
      <c r="AA2" s="70" t="s">
        <v>8</v>
      </c>
      <c r="AB2" s="70" t="s">
        <v>39</v>
      </c>
      <c r="AC2" s="70" t="s">
        <v>39</v>
      </c>
      <c r="AD2" s="70" t="s">
        <v>39</v>
      </c>
      <c r="AE2" s="70" t="s">
        <v>39</v>
      </c>
      <c r="AF2" s="70" t="s">
        <v>8</v>
      </c>
      <c r="AG2" s="70" t="s">
        <v>8</v>
      </c>
      <c r="AH2" s="70" t="s">
        <v>8</v>
      </c>
      <c r="AI2" s="70" t="s">
        <v>30</v>
      </c>
      <c r="AJ2" s="70" t="s">
        <v>130</v>
      </c>
      <c r="AK2" s="77"/>
      <c r="AL2" s="80" t="s">
        <v>9</v>
      </c>
      <c r="AM2" s="80" t="s">
        <v>9</v>
      </c>
      <c r="AN2" s="80" t="s">
        <v>9</v>
      </c>
      <c r="AO2" s="79"/>
      <c r="AP2" s="70" t="s">
        <v>8</v>
      </c>
      <c r="AQ2" s="70" t="s">
        <v>8</v>
      </c>
      <c r="AR2" s="70" t="s">
        <v>8</v>
      </c>
      <c r="AS2" s="70" t="s">
        <v>8</v>
      </c>
      <c r="AT2" s="70" t="s">
        <v>8</v>
      </c>
      <c r="AU2" s="77"/>
      <c r="AV2" s="71" t="s">
        <v>111</v>
      </c>
      <c r="AW2" s="71" t="s">
        <v>130</v>
      </c>
    </row>
    <row r="3" spans="1:49" x14ac:dyDescent="0.35">
      <c r="B3" s="4"/>
      <c r="E3" s="70"/>
      <c r="F3" s="70"/>
      <c r="G3" s="70"/>
      <c r="H3" s="70"/>
      <c r="I3" s="70"/>
      <c r="J3" s="70"/>
      <c r="K3" s="73"/>
      <c r="L3" s="70"/>
      <c r="M3" s="74"/>
      <c r="N3" s="70"/>
      <c r="O3" s="70"/>
      <c r="P3" s="70"/>
      <c r="Q3" s="70"/>
      <c r="R3" s="70"/>
      <c r="S3" s="70"/>
      <c r="T3" s="75"/>
      <c r="U3" s="70"/>
      <c r="V3" s="70"/>
      <c r="W3" s="70"/>
      <c r="X3" s="70"/>
      <c r="Y3" s="70"/>
      <c r="Z3" s="77"/>
      <c r="AA3" s="70"/>
      <c r="AB3" s="70"/>
      <c r="AC3" s="70"/>
      <c r="AD3" s="70"/>
      <c r="AE3" s="70"/>
      <c r="AF3" s="71" t="s">
        <v>128</v>
      </c>
      <c r="AK3" s="77"/>
      <c r="AM3" s="80"/>
      <c r="AN3" s="80"/>
      <c r="AO3" s="81"/>
      <c r="AU3" s="77"/>
    </row>
    <row r="4" spans="1:49" x14ac:dyDescent="0.35">
      <c r="B4" s="4"/>
      <c r="T4" s="77"/>
      <c r="Z4" s="77"/>
      <c r="AK4" s="77"/>
      <c r="AL4" s="72"/>
      <c r="AO4" s="81"/>
      <c r="AP4" s="72"/>
      <c r="AU4" s="77"/>
    </row>
    <row r="5" spans="1:49" x14ac:dyDescent="0.35">
      <c r="A5" t="s">
        <v>99</v>
      </c>
      <c r="B5" s="4">
        <v>1E-4</v>
      </c>
      <c r="C5" s="2" t="s">
        <v>100</v>
      </c>
      <c r="E5" s="71">
        <v>0</v>
      </c>
      <c r="F5" s="71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83">
        <f t="shared" ref="H5:H35" si="0">(($B$5*58.44)+(($G5/1000)*(1000-($B$5*58.44/2.16))))/1000</f>
        <v>0.999842658878632</v>
      </c>
      <c r="I5" s="83">
        <f>H5*1000</f>
        <v>999.84265887863205</v>
      </c>
      <c r="J5" s="72">
        <f t="shared" ref="J5:J35" si="1">$B$5/($H5-($B$5*58.44/1000))</f>
        <v>1.0001632117550981E-4</v>
      </c>
      <c r="K5" s="82">
        <f t="shared" ref="K5:K35" si="2">(295.68-1.2283*$F5+0.002094*$F5^2-0.00000141*$F5^3)-13*$B$5+1.065*$B$5^2-0.03006*$B$5^3</f>
        <v>87.668064117616225</v>
      </c>
      <c r="L5" s="72">
        <f>(0.0495166+0.6034658*EXP(-0.06653081*$E5)+0.09703832*EXP(0.1447269*$J5)+1.025107*EXP(-0.02062455*$E5+0.1301095*$J5))*0.001</f>
        <v>1.7751424645244787E-3</v>
      </c>
      <c r="M5" s="72">
        <f t="shared" ref="M5:M35" si="3">((5.6+0.27*$E5-0.00015*$E5^2)*$B$5)-((2.36+0.099*$E5)*($B$5^(3/2))/(1+0.214*SQRT($B$5)))</f>
        <v>5.5764503961522338E-4</v>
      </c>
      <c r="N5" s="83">
        <f>-LOG10(6.997844909E-16 + 5.017799566E-16*$E5 - 2.443366453E-17*$E5^2 + 7.194759186E-19*$E5^3)</f>
        <v>15.155035686876243</v>
      </c>
      <c r="O5" s="71">
        <f>10^(-1*$N5)</f>
        <v>6.9978449090000084E-16</v>
      </c>
      <c r="P5" s="83">
        <f>IF($B$31="on",$P$41+($P$41-$N5/2)*LN(P$40/$P$42)*$P$43,7)</f>
        <v>7.7284690313493307</v>
      </c>
      <c r="Q5" s="72">
        <f>10^(-1*P5)</f>
        <v>1.8686629230336506E-8</v>
      </c>
      <c r="R5" s="72">
        <f>(2*$B$5+2*$Q5)/2</f>
        <v>1.0001868662923034E-4</v>
      </c>
      <c r="S5" s="71">
        <f>(($K5*$B$17*$F5*$B$18)/(2*$B$19*$B$20^2*$R5*1000))^0.5</f>
        <v>3.07681459136287E-8</v>
      </c>
      <c r="T5" s="77"/>
      <c r="U5" s="72">
        <f t="shared" ref="U5:U35" si="4">((10^-$P5+$B$5*$B$26)*SQRT(8000*$B$19*$B$17*$K5*$B$18*$F5)/(2*$B$20*$B$22*$B$28))*(($B$23+$B$24+$B$5+(10^-$P5)+10^($P5-$N5))/SQRT($R5))</f>
        <v>3.473123711125991E-4</v>
      </c>
      <c r="V5" s="72">
        <f t="shared" ref="V5:V35" si="5">(2*$B$18*$F5*LN($U5))/(3*$B$20)</f>
        <v>-0.1250381344745275</v>
      </c>
      <c r="W5" s="84">
        <f t="shared" ref="W5:W35" si="6">$V5*EXP(-$B$29/$S5)+$B$37</f>
        <v>-0.11578381723007279</v>
      </c>
      <c r="X5" s="85">
        <f>W5*1000</f>
        <v>-115.78381723007278</v>
      </c>
      <c r="Y5" s="85">
        <f>-1*X5</f>
        <v>115.78381723007278</v>
      </c>
      <c r="Z5" s="77"/>
      <c r="AA5" s="72">
        <f t="shared" ref="AA5:AA35" si="7">($B$20*$B$32*$B$22*$B$26*$B$5)/(10^-$P5+$B$28*$U5^(2/3)+$B$26*$B$5)</f>
        <v>1.3481656189265366E-12</v>
      </c>
      <c r="AB5" s="72">
        <f t="shared" ref="AB5:AB35" si="8">$B$6+((2*$B$17*$K5*$B$18*$F5)/($L5*$B$20*1))</f>
        <v>7.2583244904714892E-8</v>
      </c>
      <c r="AC5" s="72">
        <f t="shared" ref="AC5:AC35" si="9">$B$7+((2*$B$17*$K5*$B$18*$F5)/($L5*$B$20*1))</f>
        <v>3.835832449047149E-7</v>
      </c>
      <c r="AD5" s="72">
        <f t="shared" ref="AD5:AD35" si="10">$B$8+((2*$B$17*$K5*$B$18*$F5)/($L5*$B$20*1))</f>
        <v>9.9583244904714896E-8</v>
      </c>
      <c r="AE5" s="72">
        <f t="shared" ref="AE5:AE35" si="11">$B$9+((2*$B$17*$K5*$B$18*$F5)/($L5*$B$20*1))</f>
        <v>2.2558324490471489E-7</v>
      </c>
      <c r="AF5" s="72">
        <f t="shared" ref="AF5:AF35" si="12">(SQRT((2000*$B$19*$B$17*$K5*$B$18*$F5)/($B$5+10^-$P5))*((($AB5*$B$5+$AC5*10^(-1*$P5))*($U5^(-1/3)-1)+($AD5*$B$5+$AE5*10^($P5-$N5))*($U5^(1/3)-1))))</f>
        <v>5.1546940370109402E-10</v>
      </c>
      <c r="AG5" s="72">
        <f>$B$30</f>
        <v>2.4E-9</v>
      </c>
      <c r="AH5" s="72">
        <f>$AA5+$AF5+$AG5</f>
        <v>2.9168175693200203E-9</v>
      </c>
      <c r="AI5" s="84">
        <f t="shared" ref="AI5:AI35" si="13">-1*($B$33*$K5*$B$17*$W5)/($L5*($B$33*$M5+4*$AG5*$B$34*$B$35))</f>
        <v>1.4697008183117956E-5</v>
      </c>
      <c r="AJ5" s="84">
        <f>AI5*1000000*1000</f>
        <v>14697.008183117956</v>
      </c>
      <c r="AK5" s="77"/>
      <c r="AL5" s="72">
        <f>$B$20^2/(4*PI()*$K5*$B$17*$B$18*$F5)</f>
        <v>6.978074290558266E-10</v>
      </c>
      <c r="AM5" s="84">
        <f>$B$29</f>
        <v>5.0000000000000001E-9</v>
      </c>
      <c r="AN5" s="84">
        <f>2*S5</f>
        <v>6.1536291827257401E-8</v>
      </c>
      <c r="AO5" s="81"/>
      <c r="AP5" s="72">
        <f>(SQRT((2000*$B$19*$B$17*$K5*$B$18*$F5)/($B$5+10^-$B$13))*((($AB5*$B$5)*($U5^(-1/3)-1))))</f>
        <v>5.6994057697223541E-12</v>
      </c>
      <c r="AQ5" s="72">
        <f>(SQRT((2000*$B$19*$B$17*$K5*$B$18*$F5)/($B$5+10^-$P5))*((($AC5*10^(-1*$P5))*($U5^(-1/3)-1))))</f>
        <v>5.6281405596765305E-13</v>
      </c>
      <c r="AR5" s="72">
        <f>(SQRT((2000*$B$19*$B$17*$K5*$B$18*$F5)/($B$5+10^-$P5))*((($AD5*$B$5)*($U5^(1/3)-1))))</f>
        <v>-5.4962611841556693E-11</v>
      </c>
      <c r="AS5" s="72">
        <f>(SQRT((2000*$B$19*$B$17*$K5*$B$18*$F5)/($B$5+10^-$P5))*((($AE5*10^($P5-$N5))*($U5^(1/3)-1))))</f>
        <v>-4.6625260656014262E-14</v>
      </c>
      <c r="AT5" s="72">
        <f>SUM(AP5:AS5)</f>
        <v>-4.8747017276522701E-11</v>
      </c>
      <c r="AU5" s="77"/>
      <c r="AV5" s="71">
        <v>-78.235645717016013</v>
      </c>
      <c r="AW5" s="71">
        <v>9930.8344904340665</v>
      </c>
    </row>
    <row r="6" spans="1:49" x14ac:dyDescent="0.35">
      <c r="A6" t="s">
        <v>34</v>
      </c>
      <c r="B6" s="30">
        <f>Control!B6</f>
        <v>5.2000000000000002E-8</v>
      </c>
      <c r="C6" s="2" t="s">
        <v>39</v>
      </c>
      <c r="E6" s="71">
        <v>5</v>
      </c>
      <c r="F6" s="71">
        <f t="shared" ref="F6:F35" si="14">E6+273.15</f>
        <v>278.14999999999998</v>
      </c>
      <c r="G6" s="71">
        <f t="shared" ref="G6:G35" si="15">(((((-0.00000000028054253*E6+0.00000010556302)*E6-0.000046170461)*E6-0.0079870401)*E6+16.945176)*E6+999.83952)/(1+0.01687985*E6)</f>
        <v>999.96382124947729</v>
      </c>
      <c r="H6" s="83">
        <f t="shared" si="0"/>
        <v>0.99996695979180539</v>
      </c>
      <c r="I6" s="83">
        <f t="shared" ref="I6:I35" si="16">H6*1000</f>
        <v>999.96695979180538</v>
      </c>
      <c r="J6" s="72">
        <f t="shared" si="1"/>
        <v>1.0000388857202351E-4</v>
      </c>
      <c r="K6" s="82">
        <f t="shared" si="2"/>
        <v>85.691592244241235</v>
      </c>
      <c r="L6" s="72">
        <f t="shared" ref="L6:L35" si="17">(0.0495166+0.6034658*EXP(-0.06653081*$E6)+0.09703832*EXP(0.1447269*$J6)+1.025107*EXP(-0.02062455*$E6+0.1301095*$J6))*0.001</f>
        <v>1.5039274857084012E-3</v>
      </c>
      <c r="M6" s="72">
        <f t="shared" si="3"/>
        <v>6.9177609665316221E-4</v>
      </c>
      <c r="N6" s="83">
        <f t="shared" ref="N6:N35" si="18">-LOG10(6.997844909E-16 + 5.017799566E-16*$E6 - 2.443366453E-17*$E6^2 + 7.194759186E-19*$E6^3)</f>
        <v>14.570606742437821</v>
      </c>
      <c r="O6" s="71">
        <f t="shared" ref="O6:O35" si="19">10^(-1*$N6)</f>
        <v>2.6877771504749887E-15</v>
      </c>
      <c r="P6" s="83">
        <f t="shared" ref="P6:P35" si="20">IF($B$31="on",$P$41+($P$41-$N6/2)*LN(P$40/$P$42)*$P$43,7)</f>
        <v>6.8672227111073116</v>
      </c>
      <c r="Q6" s="72">
        <f t="shared" ref="Q6:Q35" si="21">10^(-1*P6)</f>
        <v>1.3576170667067406E-7</v>
      </c>
      <c r="R6" s="72">
        <f t="shared" ref="R6:R35" si="22">(2*$B$5+2*$Q6)/2</f>
        <v>1.0013576170667068E-4</v>
      </c>
      <c r="S6" s="71">
        <f t="shared" ref="S6:S35" si="23">(($K6*$B$17*$F6*$B$18)/(2*$B$19*$B$20^2*$R6*1000))^0.5</f>
        <v>3.067853558163856E-8</v>
      </c>
      <c r="T6" s="77"/>
      <c r="U6" s="72">
        <f t="shared" si="4"/>
        <v>2.5180702256577311E-3</v>
      </c>
      <c r="V6" s="72">
        <f t="shared" si="5"/>
        <v>-9.5659829916499156E-2</v>
      </c>
      <c r="W6" s="84">
        <f t="shared" si="6"/>
        <v>-9.0773341525529336E-2</v>
      </c>
      <c r="X6" s="85">
        <f t="shared" ref="X6:X35" si="24">W6*1000</f>
        <v>-90.773341525529332</v>
      </c>
      <c r="Y6" s="85">
        <f t="shared" ref="Y6:Y35" si="25">-1*X6</f>
        <v>90.773341525529332</v>
      </c>
      <c r="Z6" s="77"/>
      <c r="AA6" s="72">
        <f t="shared" si="7"/>
        <v>1.8606529405620818E-13</v>
      </c>
      <c r="AB6" s="72">
        <f t="shared" si="8"/>
        <v>7.6182144585435153E-8</v>
      </c>
      <c r="AC6" s="72">
        <f t="shared" si="9"/>
        <v>3.8718214458543518E-7</v>
      </c>
      <c r="AD6" s="72">
        <f t="shared" si="10"/>
        <v>1.0318214458543516E-7</v>
      </c>
      <c r="AE6" s="72">
        <f t="shared" si="11"/>
        <v>2.2918214458543515E-7</v>
      </c>
      <c r="AF6" s="72">
        <f t="shared" si="12"/>
        <v>2.3555194041019456E-10</v>
      </c>
      <c r="AG6" s="72">
        <f t="shared" ref="AG6:AG35" si="26">$B$30</f>
        <v>2.4E-9</v>
      </c>
      <c r="AH6" s="72">
        <f t="shared" ref="AH6:AH35" si="27">$AA6+$AF6+$AG6</f>
        <v>2.6357380057042508E-9</v>
      </c>
      <c r="AI6" s="84">
        <f t="shared" si="13"/>
        <v>1.2795166167605538E-5</v>
      </c>
      <c r="AJ6" s="84">
        <f t="shared" ref="AJ6:AJ35" si="28">AI6*1000000*1000</f>
        <v>12795.166167605539</v>
      </c>
      <c r="AK6" s="77"/>
      <c r="AL6" s="72">
        <f t="shared" ref="AL6:AL35" si="29">$B$20^2/(4*PI()*$K6*$B$17*$B$18*$F6)</f>
        <v>7.0106927365637022E-10</v>
      </c>
      <c r="AM6" s="84">
        <f t="shared" ref="AM6:AM35" si="30">$B$29</f>
        <v>5.0000000000000001E-9</v>
      </c>
      <c r="AN6" s="84">
        <f t="shared" ref="AN6:AN35" si="31">2*S6</f>
        <v>6.1357071163277119E-8</v>
      </c>
      <c r="AO6" s="81"/>
      <c r="AP6" s="72">
        <f t="shared" ref="AP6:AP35" si="32">(SQRT((2000*$B$19*$B$17*$K6*$B$18*$F6)/($B$5+10^-$B$13))*((($AB6*$B$5)*($U6^(-1/3)-1))))</f>
        <v>2.8654626765520951E-12</v>
      </c>
      <c r="AQ6" s="72">
        <f t="shared" ref="AQ6:AQ35" si="33">(SQRT((2000*$B$19*$B$17*$K6*$B$18*$F6)/($B$5+10^-$P6))*((($AC6*10^(-1*$P6))*($U6^(-1/3)-1))))</f>
        <v>1.9758832630681532E-12</v>
      </c>
      <c r="AR6" s="72">
        <f t="shared" ref="AR6:AR35" si="34">(SQRT((2000*$B$19*$B$17*$K6*$B$18*$F6)/($B$5+10^-$P6))*((($AD6*$B$5)*($U6^(1/3)-1))))</f>
        <v>-5.2767011960901243E-11</v>
      </c>
      <c r="AS6" s="72">
        <f t="shared" ref="AS6:AS35" si="35">(SQRT((2000*$B$19*$B$17*$K6*$B$18*$F6)/($B$5+10^-$P6))*((($AE6*10^($P6-$N6))*($U6^(1/3)-1))))</f>
        <v>-2.3203564170380716E-14</v>
      </c>
      <c r="AT6" s="72">
        <f t="shared" ref="AT6:AT35" si="36">SUM(AP6:AS6)</f>
        <v>-4.7948869585451373E-11</v>
      </c>
      <c r="AU6" s="77"/>
      <c r="AV6" s="71">
        <v>-79.505680245976521</v>
      </c>
      <c r="AW6" s="71">
        <v>11206.906930761439</v>
      </c>
    </row>
    <row r="7" spans="1:49" x14ac:dyDescent="0.35">
      <c r="A7" t="s">
        <v>35</v>
      </c>
      <c r="B7" s="30">
        <f>Control!B7</f>
        <v>3.6300000000000001E-7</v>
      </c>
      <c r="C7" s="2" t="s">
        <v>39</v>
      </c>
      <c r="E7" s="71">
        <v>10</v>
      </c>
      <c r="F7" s="71">
        <f t="shared" si="14"/>
        <v>283.14999999999998</v>
      </c>
      <c r="G7" s="71">
        <f t="shared" si="15"/>
        <v>999.69963437234651</v>
      </c>
      <c r="H7" s="83">
        <f t="shared" si="0"/>
        <v>0.99970277362944693</v>
      </c>
      <c r="I7" s="83">
        <f t="shared" si="16"/>
        <v>999.70277362944694</v>
      </c>
      <c r="J7" s="72">
        <f t="shared" si="1"/>
        <v>1.0003031622500486E-4</v>
      </c>
      <c r="K7" s="82">
        <f t="shared" si="2"/>
        <v>83.760991645866198</v>
      </c>
      <c r="L7" s="72">
        <f t="shared" si="17"/>
        <v>1.2908792590918387E-3</v>
      </c>
      <c r="M7" s="72">
        <f t="shared" si="3"/>
        <v>8.2515715369110105E-4</v>
      </c>
      <c r="N7" s="83">
        <f t="shared" si="18"/>
        <v>14.398625266103792</v>
      </c>
      <c r="O7" s="71">
        <f t="shared" si="19"/>
        <v>3.9936935224999789E-15</v>
      </c>
      <c r="P7" s="83">
        <f t="shared" si="20"/>
        <v>6.6137814415534919</v>
      </c>
      <c r="Q7" s="72">
        <f t="shared" si="21"/>
        <v>2.433428322374477E-7</v>
      </c>
      <c r="R7" s="72">
        <f t="shared" si="22"/>
        <v>1.0024334283223745E-4</v>
      </c>
      <c r="S7" s="71">
        <f t="shared" si="23"/>
        <v>3.058595232479993E-8</v>
      </c>
      <c r="T7" s="77"/>
      <c r="U7" s="72">
        <f t="shared" si="4"/>
        <v>4.5044689088015949E-3</v>
      </c>
      <c r="V7" s="72">
        <f t="shared" si="5"/>
        <v>-8.7915640327248884E-2</v>
      </c>
      <c r="W7" s="84">
        <f t="shared" si="6"/>
        <v>-8.4156977014574683E-2</v>
      </c>
      <c r="X7" s="85">
        <f t="shared" si="24"/>
        <v>-84.156977014574679</v>
      </c>
      <c r="Y7" s="85">
        <f t="shared" si="25"/>
        <v>84.156977014574679</v>
      </c>
      <c r="Z7" s="77"/>
      <c r="AA7" s="72">
        <f t="shared" si="7"/>
        <v>1.0385757248742018E-13</v>
      </c>
      <c r="AB7" s="72">
        <f t="shared" si="8"/>
        <v>8.0033491185895734E-8</v>
      </c>
      <c r="AC7" s="72">
        <f t="shared" si="9"/>
        <v>3.9103349118589577E-7</v>
      </c>
      <c r="AD7" s="72">
        <f t="shared" si="10"/>
        <v>1.0703349118589574E-7</v>
      </c>
      <c r="AE7" s="72">
        <f t="shared" si="11"/>
        <v>2.3303349118589573E-7</v>
      </c>
      <c r="AF7" s="72">
        <f t="shared" si="12"/>
        <v>1.8884248299711413E-10</v>
      </c>
      <c r="AG7" s="72">
        <f t="shared" si="26"/>
        <v>2.4E-9</v>
      </c>
      <c r="AH7" s="72">
        <f t="shared" si="27"/>
        <v>2.5889463405696016E-9</v>
      </c>
      <c r="AI7" s="84">
        <f t="shared" si="13"/>
        <v>1.3023411363821494E-5</v>
      </c>
      <c r="AJ7" s="84">
        <f t="shared" si="28"/>
        <v>13023.411363821495</v>
      </c>
      <c r="AK7" s="77"/>
      <c r="AL7" s="72">
        <f t="shared" si="29"/>
        <v>7.0456300223464292E-10</v>
      </c>
      <c r="AM7" s="84">
        <f t="shared" si="30"/>
        <v>5.0000000000000001E-9</v>
      </c>
      <c r="AN7" s="84">
        <f t="shared" si="31"/>
        <v>6.117190464959986E-8</v>
      </c>
      <c r="AO7" s="81"/>
      <c r="AP7" s="72">
        <f t="shared" si="32"/>
        <v>2.390340774952285E-12</v>
      </c>
      <c r="AQ7" s="72">
        <f t="shared" si="33"/>
        <v>2.8386674313114775E-12</v>
      </c>
      <c r="AR7" s="72">
        <f t="shared" si="34"/>
        <v>-5.2733049930113673E-11</v>
      </c>
      <c r="AS7" s="72">
        <f t="shared" si="35"/>
        <v>-1.8842464951356801E-14</v>
      </c>
      <c r="AT7" s="72">
        <f t="shared" si="36"/>
        <v>-4.7522884188801272E-11</v>
      </c>
      <c r="AU7" s="77"/>
      <c r="AV7" s="71">
        <v>-80.778052264653752</v>
      </c>
      <c r="AW7" s="71">
        <v>12500.517977413068</v>
      </c>
    </row>
    <row r="8" spans="1:49" x14ac:dyDescent="0.35">
      <c r="A8" t="s">
        <v>36</v>
      </c>
      <c r="B8" s="30">
        <f>Control!B8</f>
        <v>7.9000000000000006E-8</v>
      </c>
      <c r="C8" s="2" t="s">
        <v>39</v>
      </c>
      <c r="E8" s="71">
        <v>15</v>
      </c>
      <c r="F8" s="71">
        <f t="shared" si="14"/>
        <v>288.14999999999998</v>
      </c>
      <c r="G8" s="71">
        <f t="shared" si="15"/>
        <v>999.09960879081439</v>
      </c>
      <c r="H8" s="83">
        <f t="shared" si="0"/>
        <v>0.9991027496713174</v>
      </c>
      <c r="I8" s="83">
        <f t="shared" si="16"/>
        <v>999.10274967131738</v>
      </c>
      <c r="J8" s="72">
        <f t="shared" si="1"/>
        <v>1.00090391064526E-4</v>
      </c>
      <c r="K8" s="82">
        <f t="shared" si="2"/>
        <v>81.87520482249127</v>
      </c>
      <c r="L8" s="72">
        <f t="shared" si="17"/>
        <v>1.1213584014836641E-3</v>
      </c>
      <c r="M8" s="72">
        <f t="shared" si="3"/>
        <v>9.5778821072904001E-4</v>
      </c>
      <c r="N8" s="83">
        <f t="shared" si="18"/>
        <v>14.287591032741444</v>
      </c>
      <c r="O8" s="71">
        <f t="shared" si="19"/>
        <v>5.1571405459249914E-15</v>
      </c>
      <c r="P8" s="83">
        <f t="shared" si="20"/>
        <v>6.4501553484001066</v>
      </c>
      <c r="Q8" s="72">
        <f t="shared" si="21"/>
        <v>3.5468649414835422E-7</v>
      </c>
      <c r="R8" s="72">
        <f t="shared" si="22"/>
        <v>1.0035468649414836E-4</v>
      </c>
      <c r="S8" s="71">
        <f t="shared" si="23"/>
        <v>3.0488585211063868E-8</v>
      </c>
      <c r="T8" s="77"/>
      <c r="U8" s="72">
        <f t="shared" si="4"/>
        <v>6.5517470157696002E-3</v>
      </c>
      <c r="V8" s="72">
        <f t="shared" si="5"/>
        <v>-8.3263724659037988E-2</v>
      </c>
      <c r="W8" s="84">
        <f t="shared" si="6"/>
        <v>-8.0169718649077834E-2</v>
      </c>
      <c r="X8" s="85">
        <f t="shared" si="24"/>
        <v>-80.169718649077836</v>
      </c>
      <c r="Y8" s="85">
        <f t="shared" si="25"/>
        <v>80.169718649077836</v>
      </c>
      <c r="Z8" s="77"/>
      <c r="AA8" s="72">
        <f t="shared" si="7"/>
        <v>7.1273719688087309E-14</v>
      </c>
      <c r="AB8" s="72">
        <f t="shared" si="8"/>
        <v>8.4101920532283334E-8</v>
      </c>
      <c r="AC8" s="72">
        <f t="shared" si="9"/>
        <v>3.9510192053228335E-7</v>
      </c>
      <c r="AD8" s="72">
        <f t="shared" si="10"/>
        <v>1.1110192053228335E-7</v>
      </c>
      <c r="AE8" s="72">
        <f t="shared" si="11"/>
        <v>2.3710192053228334E-7</v>
      </c>
      <c r="AF8" s="72">
        <f t="shared" si="12"/>
        <v>1.6536091575463972E-10</v>
      </c>
      <c r="AG8" s="72">
        <f t="shared" si="26"/>
        <v>2.4E-9</v>
      </c>
      <c r="AH8" s="72">
        <f t="shared" si="27"/>
        <v>2.5654321894743279E-9</v>
      </c>
      <c r="AI8" s="84">
        <f t="shared" si="13"/>
        <v>1.3478610421363569E-5</v>
      </c>
      <c r="AJ8" s="84">
        <f t="shared" si="28"/>
        <v>13478.61042136357</v>
      </c>
      <c r="AK8" s="77"/>
      <c r="AL8" s="72">
        <f t="shared" si="29"/>
        <v>7.0828360133016471E-10</v>
      </c>
      <c r="AM8" s="84">
        <f t="shared" si="30"/>
        <v>5.0000000000000001E-9</v>
      </c>
      <c r="AN8" s="84">
        <f t="shared" si="31"/>
        <v>6.0977170422127735E-8</v>
      </c>
      <c r="AO8" s="81"/>
      <c r="AP8" s="72">
        <f t="shared" si="32"/>
        <v>2.1529365316447038E-12</v>
      </c>
      <c r="AQ8" s="72">
        <f t="shared" si="33"/>
        <v>3.5812281566723929E-12</v>
      </c>
      <c r="AR8" s="72">
        <f t="shared" si="34"/>
        <v>-5.312742956949686E-11</v>
      </c>
      <c r="AS8" s="72">
        <f t="shared" si="35"/>
        <v>-1.6485291288560037E-14</v>
      </c>
      <c r="AT8" s="72">
        <f t="shared" si="36"/>
        <v>-4.7409750172468326E-11</v>
      </c>
      <c r="AU8" s="77"/>
      <c r="AV8" s="71">
        <v>-82.052015995682893</v>
      </c>
      <c r="AW8" s="71">
        <v>13795.073462267512</v>
      </c>
    </row>
    <row r="9" spans="1:49" x14ac:dyDescent="0.35">
      <c r="A9" t="s">
        <v>37</v>
      </c>
      <c r="B9" s="30">
        <f>Control!B9</f>
        <v>2.05E-7</v>
      </c>
      <c r="C9" s="2" t="s">
        <v>39</v>
      </c>
      <c r="E9" s="71">
        <v>20</v>
      </c>
      <c r="F9" s="71">
        <f t="shared" si="14"/>
        <v>293.14999999999998</v>
      </c>
      <c r="G9" s="71">
        <f t="shared" si="15"/>
        <v>998.20413220058367</v>
      </c>
      <c r="H9" s="83">
        <f t="shared" si="0"/>
        <v>0.99820727550384836</v>
      </c>
      <c r="I9" s="83">
        <f t="shared" si="16"/>
        <v>998.20727550384834</v>
      </c>
      <c r="J9" s="72">
        <f t="shared" si="1"/>
        <v>1.001801809173367E-4</v>
      </c>
      <c r="K9" s="82">
        <f t="shared" si="2"/>
        <v>80.033174274116249</v>
      </c>
      <c r="L9" s="72">
        <f t="shared" si="17"/>
        <v>9.8468980484488948E-4</v>
      </c>
      <c r="M9" s="72">
        <f t="shared" si="3"/>
        <v>1.0896692677669787E-3</v>
      </c>
      <c r="N9" s="83">
        <f t="shared" si="18"/>
        <v>14.172777768292415</v>
      </c>
      <c r="O9" s="71">
        <f t="shared" si="19"/>
        <v>6.7177251596999975E-15</v>
      </c>
      <c r="P9" s="83">
        <f t="shared" si="20"/>
        <v>6.2809602692331818</v>
      </c>
      <c r="Q9" s="72">
        <f t="shared" si="21"/>
        <v>5.2364833956245123E-7</v>
      </c>
      <c r="R9" s="72">
        <f t="shared" si="22"/>
        <v>1.0052364833956246E-4</v>
      </c>
      <c r="S9" s="71">
        <f t="shared" si="23"/>
        <v>3.037850789361235E-8</v>
      </c>
      <c r="T9" s="77"/>
      <c r="U9" s="72">
        <f t="shared" si="4"/>
        <v>9.6539090228634286E-3</v>
      </c>
      <c r="V9" s="72">
        <f t="shared" si="5"/>
        <v>-7.817799173258469E-2</v>
      </c>
      <c r="W9" s="84">
        <f t="shared" si="6"/>
        <v>-7.5813807052445933E-2</v>
      </c>
      <c r="X9" s="85">
        <f t="shared" si="24"/>
        <v>-75.813807052445938</v>
      </c>
      <c r="Y9" s="85">
        <f t="shared" si="25"/>
        <v>75.813807052445938</v>
      </c>
      <c r="Z9" s="77"/>
      <c r="AA9" s="72">
        <f t="shared" si="7"/>
        <v>4.8288148284252428E-14</v>
      </c>
      <c r="AB9" s="72">
        <f t="shared" si="8"/>
        <v>8.8355065591183704E-8</v>
      </c>
      <c r="AC9" s="72">
        <f t="shared" si="9"/>
        <v>3.9935506559118372E-7</v>
      </c>
      <c r="AD9" s="72">
        <f t="shared" si="10"/>
        <v>1.1535506559118372E-7</v>
      </c>
      <c r="AE9" s="72">
        <f t="shared" si="11"/>
        <v>2.4135506559118371E-7</v>
      </c>
      <c r="AF9" s="72">
        <f t="shared" si="12"/>
        <v>1.4272989176572073E-10</v>
      </c>
      <c r="AG9" s="72">
        <f t="shared" si="26"/>
        <v>2.4E-9</v>
      </c>
      <c r="AH9" s="72">
        <f t="shared" si="27"/>
        <v>2.542778179914005E-9</v>
      </c>
      <c r="AI9" s="84">
        <f t="shared" si="13"/>
        <v>1.3718084873369878E-5</v>
      </c>
      <c r="AJ9" s="84">
        <f t="shared" si="28"/>
        <v>13718.084873369877</v>
      </c>
      <c r="AK9" s="77"/>
      <c r="AL9" s="72">
        <f t="shared" si="29"/>
        <v>7.122267310936999E-10</v>
      </c>
      <c r="AM9" s="84">
        <f t="shared" si="30"/>
        <v>5.0000000000000001E-9</v>
      </c>
      <c r="AN9" s="84">
        <f t="shared" si="31"/>
        <v>6.0757015787224699E-8</v>
      </c>
      <c r="AO9" s="81"/>
      <c r="AP9" s="72">
        <f t="shared" si="32"/>
        <v>1.919213017605181E-12</v>
      </c>
      <c r="AQ9" s="72">
        <f t="shared" si="33"/>
        <v>4.5308350130387479E-12</v>
      </c>
      <c r="AR9" s="72">
        <f t="shared" si="34"/>
        <v>-5.3217000272964973E-11</v>
      </c>
      <c r="AS9" s="72">
        <f t="shared" si="35"/>
        <v>-1.4284092023568988E-14</v>
      </c>
      <c r="AT9" s="72">
        <f t="shared" si="36"/>
        <v>-4.6781236334344615E-11</v>
      </c>
      <c r="AU9" s="77"/>
      <c r="AV9" s="71">
        <v>-83.326770985669086</v>
      </c>
      <c r="AW9" s="71">
        <v>15077.513732640753</v>
      </c>
    </row>
    <row r="10" spans="1:49" x14ac:dyDescent="0.35">
      <c r="B10" s="4"/>
      <c r="E10" s="71">
        <v>25</v>
      </c>
      <c r="F10" s="71">
        <f t="shared" si="14"/>
        <v>298.14999999999998</v>
      </c>
      <c r="G10" s="71">
        <f t="shared" si="15"/>
        <v>997.04489541791554</v>
      </c>
      <c r="H10" s="83">
        <f t="shared" si="0"/>
        <v>0.99704804185755957</v>
      </c>
      <c r="I10" s="83">
        <f t="shared" si="16"/>
        <v>997.04804185755961</v>
      </c>
      <c r="J10" s="72">
        <f t="shared" si="1"/>
        <v>1.0029665766893278E-4</v>
      </c>
      <c r="K10" s="82">
        <f t="shared" si="2"/>
        <v>78.233842500741247</v>
      </c>
      <c r="L10" s="72">
        <f t="shared" si="17"/>
        <v>8.7305829924847855E-4</v>
      </c>
      <c r="M10" s="72">
        <f t="shared" si="3"/>
        <v>1.2208003248049173E-3</v>
      </c>
      <c r="N10" s="83">
        <f t="shared" si="18"/>
        <v>14.035502101212563</v>
      </c>
      <c r="O10" s="71">
        <f t="shared" si="19"/>
        <v>9.215054302775012E-15</v>
      </c>
      <c r="P10" s="83">
        <f t="shared" si="20"/>
        <v>6.0786633702578996</v>
      </c>
      <c r="Q10" s="72">
        <f t="shared" si="21"/>
        <v>8.3432763694024382E-7</v>
      </c>
      <c r="R10" s="72">
        <f t="shared" si="22"/>
        <v>1.0083432763694025E-4</v>
      </c>
      <c r="S10" s="71">
        <f t="shared" si="23"/>
        <v>3.02434355248331E-8</v>
      </c>
      <c r="T10" s="77"/>
      <c r="U10" s="72">
        <f t="shared" si="4"/>
        <v>1.5360173485908818E-2</v>
      </c>
      <c r="V10" s="72">
        <f t="shared" si="5"/>
        <v>-7.1553823634812191E-2</v>
      </c>
      <c r="W10" s="84">
        <f t="shared" si="6"/>
        <v>-7.0150313939830927E-2</v>
      </c>
      <c r="X10" s="85">
        <f t="shared" si="24"/>
        <v>-70.150313939830923</v>
      </c>
      <c r="Y10" s="85">
        <f t="shared" si="25"/>
        <v>70.150313939830923</v>
      </c>
      <c r="Z10" s="77"/>
      <c r="AA10" s="72">
        <f t="shared" si="7"/>
        <v>3.0314677184449806E-14</v>
      </c>
      <c r="AB10" s="72">
        <f t="shared" si="8"/>
        <v>9.2765301920705164E-8</v>
      </c>
      <c r="AC10" s="72">
        <f t="shared" si="9"/>
        <v>4.037653019207052E-7</v>
      </c>
      <c r="AD10" s="72">
        <f t="shared" si="10"/>
        <v>1.1976530192070517E-7</v>
      </c>
      <c r="AE10" s="72">
        <f t="shared" si="11"/>
        <v>2.4576530192070518E-7</v>
      </c>
      <c r="AF10" s="72">
        <f t="shared" si="12"/>
        <v>1.1704765758097205E-10</v>
      </c>
      <c r="AG10" s="72">
        <f t="shared" si="26"/>
        <v>2.4E-9</v>
      </c>
      <c r="AH10" s="72">
        <f t="shared" si="27"/>
        <v>2.5170779722581563E-9</v>
      </c>
      <c r="AI10" s="84">
        <f t="shared" si="13"/>
        <v>1.3547555794507347E-5</v>
      </c>
      <c r="AJ10" s="84">
        <f t="shared" si="28"/>
        <v>13547.555794507349</v>
      </c>
      <c r="AK10" s="77"/>
      <c r="AL10" s="72">
        <f t="shared" si="29"/>
        <v>7.1638871362323967E-10</v>
      </c>
      <c r="AM10" s="84">
        <f t="shared" si="30"/>
        <v>5.0000000000000001E-9</v>
      </c>
      <c r="AN10" s="84">
        <f t="shared" si="31"/>
        <v>6.04868710496662E-8</v>
      </c>
      <c r="AO10" s="81"/>
      <c r="AP10" s="72">
        <f t="shared" si="32"/>
        <v>1.6430473485112537E-12</v>
      </c>
      <c r="AQ10" s="72">
        <f t="shared" si="33"/>
        <v>5.9422052821036131E-12</v>
      </c>
      <c r="AR10" s="72">
        <f t="shared" si="34"/>
        <v>-5.2514400747687258E-11</v>
      </c>
      <c r="AS10" s="72">
        <f t="shared" si="35"/>
        <v>-1.1902254626645965E-14</v>
      </c>
      <c r="AT10" s="72">
        <f t="shared" si="36"/>
        <v>-4.4941050371699037E-11</v>
      </c>
      <c r="AU10" s="77"/>
      <c r="AV10" s="71">
        <v>-84.601462681540355</v>
      </c>
      <c r="AW10" s="71">
        <v>16338.387841458214</v>
      </c>
    </row>
    <row r="11" spans="1:49" x14ac:dyDescent="0.35">
      <c r="B11" s="4"/>
      <c r="E11" s="71">
        <v>30</v>
      </c>
      <c r="F11" s="71">
        <f t="shared" si="14"/>
        <v>303.14999999999998</v>
      </c>
      <c r="G11" s="71">
        <f t="shared" si="15"/>
        <v>995.64725885447808</v>
      </c>
      <c r="H11" s="83">
        <f t="shared" si="0"/>
        <v>0.99565040907550562</v>
      </c>
      <c r="I11" s="83">
        <f t="shared" si="16"/>
        <v>995.65040907550565</v>
      </c>
      <c r="J11" s="72">
        <f t="shared" si="1"/>
        <v>1.0043744877210917E-4</v>
      </c>
      <c r="K11" s="82">
        <f t="shared" si="2"/>
        <v>76.476152002366234</v>
      </c>
      <c r="L11" s="72">
        <f t="shared" si="17"/>
        <v>7.8071511030539521E-4</v>
      </c>
      <c r="M11" s="72">
        <f t="shared" si="3"/>
        <v>1.3511813818428565E-3</v>
      </c>
      <c r="N11" s="83">
        <f t="shared" si="18"/>
        <v>13.879796860721664</v>
      </c>
      <c r="O11" s="71">
        <f t="shared" si="19"/>
        <v>1.3188734914099951E-14</v>
      </c>
      <c r="P11" s="83">
        <f t="shared" si="20"/>
        <v>5.849207648238445</v>
      </c>
      <c r="Q11" s="72">
        <f t="shared" si="21"/>
        <v>1.4151170114827687E-6</v>
      </c>
      <c r="R11" s="72">
        <f t="shared" si="22"/>
        <v>1.0141511701148277E-4</v>
      </c>
      <c r="S11" s="71">
        <f t="shared" si="23"/>
        <v>3.0064988466555046E-8</v>
      </c>
      <c r="T11" s="77"/>
      <c r="U11" s="72">
        <f t="shared" si="4"/>
        <v>2.6047600112645921E-2</v>
      </c>
      <c r="V11" s="72">
        <f t="shared" si="5"/>
        <v>-6.3552410589740871E-2</v>
      </c>
      <c r="W11" s="84">
        <f t="shared" si="6"/>
        <v>-6.3315338513867545E-2</v>
      </c>
      <c r="X11" s="85">
        <f t="shared" si="24"/>
        <v>-63.315338513867545</v>
      </c>
      <c r="Y11" s="85">
        <f t="shared" si="25"/>
        <v>63.315338513867545</v>
      </c>
      <c r="Z11" s="77"/>
      <c r="AA11" s="72">
        <f t="shared" si="7"/>
        <v>1.7877280736315252E-14</v>
      </c>
      <c r="AB11" s="72">
        <f t="shared" si="8"/>
        <v>9.7310144636572347E-8</v>
      </c>
      <c r="AC11" s="72">
        <f t="shared" si="9"/>
        <v>4.0831014463657234E-7</v>
      </c>
      <c r="AD11" s="72">
        <f t="shared" si="10"/>
        <v>1.2431014463657234E-7</v>
      </c>
      <c r="AE11" s="72">
        <f t="shared" si="11"/>
        <v>2.5031014463657233E-7</v>
      </c>
      <c r="AF11" s="72">
        <f t="shared" si="12"/>
        <v>9.1189904512729318E-11</v>
      </c>
      <c r="AG11" s="72">
        <f t="shared" si="26"/>
        <v>2.4E-9</v>
      </c>
      <c r="AH11" s="72">
        <f t="shared" si="27"/>
        <v>2.4912077817934655E-9</v>
      </c>
      <c r="AI11" s="84">
        <f t="shared" si="13"/>
        <v>1.2955303256102688E-5</v>
      </c>
      <c r="AJ11" s="84">
        <f t="shared" si="28"/>
        <v>12955.303256102688</v>
      </c>
      <c r="AK11" s="77"/>
      <c r="AL11" s="72">
        <f t="shared" si="29"/>
        <v>7.2076652776932833E-10</v>
      </c>
      <c r="AM11" s="84">
        <f t="shared" si="30"/>
        <v>5.0000000000000001E-9</v>
      </c>
      <c r="AN11" s="84">
        <f t="shared" si="31"/>
        <v>6.0129976933110092E-8</v>
      </c>
      <c r="AO11" s="81"/>
      <c r="AP11" s="72">
        <f t="shared" si="32"/>
        <v>1.3491698194537076E-12</v>
      </c>
      <c r="AQ11" s="72">
        <f t="shared" si="33"/>
        <v>7.9553883894423945E-12</v>
      </c>
      <c r="AR11" s="72">
        <f t="shared" si="34"/>
        <v>-5.0735040201800407E-11</v>
      </c>
      <c r="AS11" s="72">
        <f t="shared" si="35"/>
        <v>-9.5211778097575052E-15</v>
      </c>
      <c r="AT11" s="72">
        <f t="shared" si="36"/>
        <v>-4.1440003170714061E-11</v>
      </c>
      <c r="AU11" s="77"/>
      <c r="AV11" s="71">
        <v>-85.875183475225455</v>
      </c>
      <c r="AW11" s="71">
        <v>17571.398504553326</v>
      </c>
    </row>
    <row r="12" spans="1:49" x14ac:dyDescent="0.35">
      <c r="B12" s="4"/>
      <c r="E12" s="71">
        <v>35</v>
      </c>
      <c r="F12" s="71">
        <f t="shared" si="14"/>
        <v>308.14999999999998</v>
      </c>
      <c r="G12" s="71">
        <f t="shared" si="15"/>
        <v>994.03186567551825</v>
      </c>
      <c r="H12" s="83">
        <f t="shared" si="0"/>
        <v>0.99403502026708179</v>
      </c>
      <c r="I12" s="83">
        <f t="shared" si="16"/>
        <v>994.03502026708179</v>
      </c>
      <c r="J12" s="72">
        <f t="shared" si="1"/>
        <v>1.0060066886118381E-4</v>
      </c>
      <c r="K12" s="82">
        <f t="shared" si="2"/>
        <v>74.759045278991223</v>
      </c>
      <c r="L12" s="72">
        <f t="shared" si="17"/>
        <v>7.0340732970410535E-4</v>
      </c>
      <c r="M12" s="72">
        <f t="shared" si="3"/>
        <v>1.4808124388807952E-3</v>
      </c>
      <c r="N12" s="83">
        <f t="shared" si="18"/>
        <v>13.717188217917446</v>
      </c>
      <c r="O12" s="71">
        <f t="shared" si="19"/>
        <v>1.9178373932624932E-14</v>
      </c>
      <c r="P12" s="83">
        <f t="shared" si="20"/>
        <v>5.6095786966141343</v>
      </c>
      <c r="Q12" s="72">
        <f t="shared" si="21"/>
        <v>2.457091352035742E-6</v>
      </c>
      <c r="R12" s="72">
        <f t="shared" si="22"/>
        <v>1.0245709135203574E-4</v>
      </c>
      <c r="S12" s="71">
        <f t="shared" si="23"/>
        <v>2.981690334357817E-8</v>
      </c>
      <c r="T12" s="77"/>
      <c r="U12" s="72">
        <f t="shared" si="4"/>
        <v>4.5313775957683884E-2</v>
      </c>
      <c r="V12" s="72">
        <f t="shared" si="5"/>
        <v>-5.4795214062308355E-2</v>
      </c>
      <c r="W12" s="84">
        <f t="shared" si="6"/>
        <v>-5.5835700767322402E-2</v>
      </c>
      <c r="X12" s="85">
        <f t="shared" si="24"/>
        <v>-55.8357007673224</v>
      </c>
      <c r="Y12" s="85">
        <f t="shared" si="25"/>
        <v>55.8357007673224</v>
      </c>
      <c r="Z12" s="77"/>
      <c r="AA12" s="72">
        <f t="shared" si="7"/>
        <v>1.0298231240342876E-14</v>
      </c>
      <c r="AB12" s="72">
        <f t="shared" si="8"/>
        <v>1.0197162385488127E-7</v>
      </c>
      <c r="AC12" s="72">
        <f t="shared" si="9"/>
        <v>4.1297162385488127E-7</v>
      </c>
      <c r="AD12" s="72">
        <f t="shared" si="10"/>
        <v>1.2897162385488127E-7</v>
      </c>
      <c r="AE12" s="72">
        <f t="shared" si="11"/>
        <v>2.5497162385488126E-7</v>
      </c>
      <c r="AF12" s="72">
        <f t="shared" si="12"/>
        <v>6.8669811351165759E-11</v>
      </c>
      <c r="AG12" s="72">
        <f t="shared" si="26"/>
        <v>2.4E-9</v>
      </c>
      <c r="AH12" s="72">
        <f t="shared" si="27"/>
        <v>2.4686801095824062E-9</v>
      </c>
      <c r="AI12" s="84">
        <f t="shared" si="13"/>
        <v>1.202777775243942E-5</v>
      </c>
      <c r="AJ12" s="84">
        <f t="shared" si="28"/>
        <v>12027.777752439419</v>
      </c>
      <c r="AK12" s="77"/>
      <c r="AL12" s="72">
        <f t="shared" si="29"/>
        <v>7.2535781017742428E-10</v>
      </c>
      <c r="AM12" s="84">
        <f t="shared" si="30"/>
        <v>5.0000000000000001E-9</v>
      </c>
      <c r="AN12" s="84">
        <f t="shared" si="31"/>
        <v>5.963380668715634E-8</v>
      </c>
      <c r="AO12" s="81"/>
      <c r="AP12" s="72">
        <f t="shared" si="32"/>
        <v>1.0717332157042741E-12</v>
      </c>
      <c r="AQ12" s="72">
        <f t="shared" si="33"/>
        <v>1.053657766368627E-11</v>
      </c>
      <c r="AR12" s="72">
        <f t="shared" si="34"/>
        <v>-4.7745118641221709E-11</v>
      </c>
      <c r="AS12" s="72">
        <f t="shared" si="35"/>
        <v>-7.3674489873833306E-15</v>
      </c>
      <c r="AT12" s="72">
        <f t="shared" si="36"/>
        <v>-3.6144175210818544E-11</v>
      </c>
      <c r="AU12" s="77"/>
      <c r="AV12" s="71">
        <v>-87.14697426569299</v>
      </c>
      <c r="AW12" s="71">
        <v>18772.65663789296</v>
      </c>
    </row>
    <row r="13" spans="1:49" x14ac:dyDescent="0.35">
      <c r="B13" s="2"/>
      <c r="E13" s="71">
        <v>40</v>
      </c>
      <c r="F13" s="71">
        <f t="shared" si="14"/>
        <v>313.14999999999998</v>
      </c>
      <c r="G13" s="71">
        <f t="shared" si="15"/>
        <v>992.21576731538448</v>
      </c>
      <c r="H13" s="83">
        <f t="shared" si="0"/>
        <v>0.99221892682050306</v>
      </c>
      <c r="I13" s="83">
        <f t="shared" si="16"/>
        <v>992.21892682050304</v>
      </c>
      <c r="J13" s="72">
        <f t="shared" si="1"/>
        <v>1.0078480291323731E-4</v>
      </c>
      <c r="K13" s="82">
        <f t="shared" si="2"/>
        <v>73.081464830616241</v>
      </c>
      <c r="L13" s="72">
        <f t="shared" si="17"/>
        <v>6.3796744159384116E-4</v>
      </c>
      <c r="M13" s="72">
        <f t="shared" si="3"/>
        <v>1.609693495918734E-3</v>
      </c>
      <c r="N13" s="83">
        <f t="shared" si="18"/>
        <v>13.557150715817892</v>
      </c>
      <c r="O13" s="71">
        <f t="shared" si="19"/>
        <v>2.7723578297299922E-14</v>
      </c>
      <c r="P13" s="83">
        <f t="shared" si="20"/>
        <v>5.3737387179552956</v>
      </c>
      <c r="Q13" s="72">
        <f t="shared" si="21"/>
        <v>4.2292297841580832E-6</v>
      </c>
      <c r="R13" s="72">
        <f t="shared" si="22"/>
        <v>1.0422922978415809E-4</v>
      </c>
      <c r="S13" s="71">
        <f t="shared" si="23"/>
        <v>2.9464946378045825E-8</v>
      </c>
      <c r="T13" s="77"/>
      <c r="U13" s="72">
        <f t="shared" si="4"/>
        <v>7.8407002334645828E-2</v>
      </c>
      <c r="V13" s="72">
        <f t="shared" si="5"/>
        <v>-4.5816697068128805E-2</v>
      </c>
      <c r="W13" s="84">
        <f t="shared" si="6"/>
        <v>-4.816579753882861E-2</v>
      </c>
      <c r="X13" s="85">
        <f t="shared" si="24"/>
        <v>-48.165797538828613</v>
      </c>
      <c r="Y13" s="85">
        <f t="shared" si="25"/>
        <v>48.165797538828613</v>
      </c>
      <c r="Z13" s="77"/>
      <c r="AA13" s="72">
        <f t="shared" si="7"/>
        <v>5.984057121314554E-15</v>
      </c>
      <c r="AB13" s="72">
        <f t="shared" si="8"/>
        <v>1.0673505737539627E-7</v>
      </c>
      <c r="AC13" s="72">
        <f t="shared" si="9"/>
        <v>4.1773505737539626E-7</v>
      </c>
      <c r="AD13" s="72">
        <f t="shared" si="10"/>
        <v>1.3373505737539626E-7</v>
      </c>
      <c r="AE13" s="72">
        <f t="shared" si="11"/>
        <v>2.5973505737539625E-7</v>
      </c>
      <c r="AF13" s="72">
        <f t="shared" si="12"/>
        <v>5.1021884639568182E-11</v>
      </c>
      <c r="AG13" s="72">
        <f t="shared" si="26"/>
        <v>2.4E-9</v>
      </c>
      <c r="AH13" s="72">
        <f t="shared" si="27"/>
        <v>2.4510278686966895E-9</v>
      </c>
      <c r="AI13" s="84">
        <f t="shared" si="13"/>
        <v>1.0862525531556861E-5</v>
      </c>
      <c r="AJ13" s="84">
        <f t="shared" si="28"/>
        <v>10862.525531556861</v>
      </c>
      <c r="AK13" s="77"/>
      <c r="AL13" s="72">
        <f t="shared" si="29"/>
        <v>7.3016086241214376E-10</v>
      </c>
      <c r="AM13" s="84">
        <f t="shared" si="30"/>
        <v>5.0000000000000001E-9</v>
      </c>
      <c r="AN13" s="84">
        <f t="shared" si="31"/>
        <v>5.892989275609165E-8</v>
      </c>
      <c r="AO13" s="81"/>
      <c r="AP13" s="72">
        <f t="shared" si="32"/>
        <v>8.2786132086781736E-13</v>
      </c>
      <c r="AQ13" s="72">
        <f t="shared" si="33"/>
        <v>1.342269306979317E-11</v>
      </c>
      <c r="AR13" s="72">
        <f t="shared" si="34"/>
        <v>-4.3488491025028532E-11</v>
      </c>
      <c r="AS13" s="72">
        <f t="shared" si="35"/>
        <v>-5.5366573166046567E-15</v>
      </c>
      <c r="AT13" s="72">
        <f t="shared" si="36"/>
        <v>-2.9243473291684146E-11</v>
      </c>
      <c r="AU13" s="77"/>
      <c r="AV13" s="71">
        <v>-88.415826584446194</v>
      </c>
      <c r="AW13" s="71">
        <v>19939.858220820974</v>
      </c>
    </row>
    <row r="14" spans="1:49" x14ac:dyDescent="0.35">
      <c r="B14" s="3"/>
      <c r="E14" s="71">
        <v>45</v>
      </c>
      <c r="F14" s="71">
        <f t="shared" si="14"/>
        <v>318.14999999999998</v>
      </c>
      <c r="G14" s="71">
        <f t="shared" si="15"/>
        <v>990.21322507955676</v>
      </c>
      <c r="H14" s="83">
        <f t="shared" si="0"/>
        <v>0.99021639000266448</v>
      </c>
      <c r="I14" s="83">
        <f t="shared" si="16"/>
        <v>990.21639000266453</v>
      </c>
      <c r="J14" s="72">
        <f t="shared" si="1"/>
        <v>1.0098862348384939E-4</v>
      </c>
      <c r="K14" s="82">
        <f t="shared" si="2"/>
        <v>71.4423531572412</v>
      </c>
      <c r="L14" s="72">
        <f t="shared" si="17"/>
        <v>5.8201774847133785E-4</v>
      </c>
      <c r="M14" s="72">
        <f t="shared" si="3"/>
        <v>1.7378245529566729E-3</v>
      </c>
      <c r="N14" s="83">
        <f t="shared" si="18"/>
        <v>13.404901273924571</v>
      </c>
      <c r="O14" s="71">
        <f t="shared" si="19"/>
        <v>3.9363954947074921E-14</v>
      </c>
      <c r="P14" s="83">
        <f t="shared" si="20"/>
        <v>5.1493756489503522</v>
      </c>
      <c r="Q14" s="72">
        <f t="shared" si="21"/>
        <v>7.0896427433383333E-6</v>
      </c>
      <c r="R14" s="72">
        <f t="shared" si="22"/>
        <v>1.0708964274333833E-4</v>
      </c>
      <c r="S14" s="71">
        <f t="shared" si="23"/>
        <v>2.8969479605504543E-8</v>
      </c>
      <c r="T14" s="77"/>
      <c r="U14" s="72">
        <f t="shared" si="4"/>
        <v>0.13277183929545741</v>
      </c>
      <c r="V14" s="72">
        <f t="shared" si="5"/>
        <v>-3.6917700023941576E-2</v>
      </c>
      <c r="W14" s="84">
        <f t="shared" si="6"/>
        <v>-4.0565431517554658E-2</v>
      </c>
      <c r="X14" s="85">
        <f t="shared" si="24"/>
        <v>-40.565431517554657</v>
      </c>
      <c r="Y14" s="85">
        <f t="shared" si="25"/>
        <v>40.565431517554657</v>
      </c>
      <c r="Z14" s="77"/>
      <c r="AA14" s="72">
        <f t="shared" si="7"/>
        <v>3.5701789719460979E-15</v>
      </c>
      <c r="AB14" s="72">
        <f t="shared" si="8"/>
        <v>1.1158759853098164E-7</v>
      </c>
      <c r="AC14" s="72">
        <f t="shared" si="9"/>
        <v>4.2258759853098166E-7</v>
      </c>
      <c r="AD14" s="72">
        <f t="shared" si="10"/>
        <v>1.3858759853098166E-7</v>
      </c>
      <c r="AE14" s="72">
        <f t="shared" si="11"/>
        <v>2.6458759853098165E-7</v>
      </c>
      <c r="AF14" s="72">
        <f t="shared" si="12"/>
        <v>3.8019181422280059E-11</v>
      </c>
      <c r="AG14" s="72">
        <f t="shared" si="26"/>
        <v>2.4E-9</v>
      </c>
      <c r="AH14" s="72">
        <f t="shared" si="27"/>
        <v>2.438022751601252E-9</v>
      </c>
      <c r="AI14" s="84">
        <f t="shared" si="13"/>
        <v>9.5313249866583127E-6</v>
      </c>
      <c r="AJ14" s="84">
        <f t="shared" si="28"/>
        <v>9531.3249866583119</v>
      </c>
      <c r="AK14" s="77"/>
      <c r="AL14" s="72">
        <f t="shared" si="29"/>
        <v>7.3517466408096414E-10</v>
      </c>
      <c r="AM14" s="84">
        <f t="shared" si="30"/>
        <v>5.0000000000000001E-9</v>
      </c>
      <c r="AN14" s="84">
        <f t="shared" si="31"/>
        <v>5.7938959211009086E-8</v>
      </c>
      <c r="AO14" s="81"/>
      <c r="AP14" s="72">
        <f t="shared" si="32"/>
        <v>6.1972463057636555E-13</v>
      </c>
      <c r="AQ14" s="72">
        <f t="shared" si="33"/>
        <v>1.6079476440487391E-11</v>
      </c>
      <c r="AR14" s="72">
        <f t="shared" si="34"/>
        <v>-3.7945227817356111E-11</v>
      </c>
      <c r="AS14" s="72">
        <f t="shared" si="35"/>
        <v>-4.0223203377466884E-15</v>
      </c>
      <c r="AT14" s="72">
        <f t="shared" si="36"/>
        <v>-2.12500490666301E-11</v>
      </c>
      <c r="AU14" s="77"/>
      <c r="AV14" s="71">
        <v>-89.680685325912876</v>
      </c>
      <c r="AW14" s="71">
        <v>21071.531232209116</v>
      </c>
    </row>
    <row r="15" spans="1:49" x14ac:dyDescent="0.35">
      <c r="B15" s="6"/>
      <c r="E15" s="71">
        <v>50</v>
      </c>
      <c r="F15" s="71">
        <f t="shared" si="14"/>
        <v>323.14999999999998</v>
      </c>
      <c r="G15" s="71">
        <f t="shared" si="15"/>
        <v>988.03629161147626</v>
      </c>
      <c r="H15" s="83">
        <f t="shared" si="0"/>
        <v>0.98803946242439833</v>
      </c>
      <c r="I15" s="83">
        <f t="shared" si="16"/>
        <v>988.03946242439838</v>
      </c>
      <c r="J15" s="72">
        <f t="shared" si="1"/>
        <v>1.0121113101340462E-4</v>
      </c>
      <c r="K15" s="82">
        <f t="shared" si="2"/>
        <v>69.84065275886627</v>
      </c>
      <c r="L15" s="72">
        <f t="shared" si="17"/>
        <v>5.337573052739199E-4</v>
      </c>
      <c r="M15" s="72">
        <f t="shared" si="3"/>
        <v>1.8652056099946119E-3</v>
      </c>
      <c r="N15" s="83">
        <f t="shared" si="18"/>
        <v>13.262496376836017</v>
      </c>
      <c r="O15" s="71">
        <f t="shared" si="19"/>
        <v>5.4639110820899895E-14</v>
      </c>
      <c r="P15" s="83">
        <f t="shared" si="20"/>
        <v>4.9395200372988608</v>
      </c>
      <c r="Q15" s="72">
        <f t="shared" si="21"/>
        <v>1.1494232105846006E-5</v>
      </c>
      <c r="R15" s="72">
        <f t="shared" si="22"/>
        <v>1.11494232105846E-4</v>
      </c>
      <c r="S15" s="71">
        <f t="shared" si="23"/>
        <v>2.8291150832588594E-8</v>
      </c>
      <c r="T15" s="77"/>
      <c r="U15" s="72">
        <f t="shared" si="4"/>
        <v>0.2188630060356074</v>
      </c>
      <c r="V15" s="72">
        <f t="shared" si="5"/>
        <v>-2.8215663083805426E-2</v>
      </c>
      <c r="W15" s="84">
        <f t="shared" si="6"/>
        <v>-3.3144807715228153E-2</v>
      </c>
      <c r="X15" s="85">
        <f t="shared" si="24"/>
        <v>-33.144807715228154</v>
      </c>
      <c r="Y15" s="85">
        <f t="shared" si="25"/>
        <v>33.144807715228154</v>
      </c>
      <c r="Z15" s="77"/>
      <c r="AA15" s="72">
        <f t="shared" si="7"/>
        <v>2.2023114117508427E-15</v>
      </c>
      <c r="AB15" s="72">
        <f t="shared" si="8"/>
        <v>1.1651683457491513E-7</v>
      </c>
      <c r="AC15" s="72">
        <f t="shared" si="9"/>
        <v>4.2751683457491515E-7</v>
      </c>
      <c r="AD15" s="72">
        <f t="shared" si="10"/>
        <v>1.4351683457491515E-7</v>
      </c>
      <c r="AE15" s="72">
        <f t="shared" si="11"/>
        <v>2.6951683457491514E-7</v>
      </c>
      <c r="AF15" s="72">
        <f t="shared" si="12"/>
        <v>2.8491619938789166E-11</v>
      </c>
      <c r="AG15" s="72">
        <f t="shared" si="26"/>
        <v>2.4E-9</v>
      </c>
      <c r="AH15" s="72">
        <f t="shared" si="27"/>
        <v>2.4284938222502007E-9</v>
      </c>
      <c r="AI15" s="84">
        <f t="shared" si="13"/>
        <v>8.0789362407718241E-6</v>
      </c>
      <c r="AJ15" s="84">
        <f t="shared" si="28"/>
        <v>8078.9362407718245</v>
      </c>
      <c r="AK15" s="77"/>
      <c r="AL15" s="72">
        <f t="shared" si="29"/>
        <v>7.4039889194519882E-10</v>
      </c>
      <c r="AM15" s="84">
        <f t="shared" si="30"/>
        <v>5.0000000000000001E-9</v>
      </c>
      <c r="AN15" s="84">
        <f t="shared" si="31"/>
        <v>5.6582301665177187E-8</v>
      </c>
      <c r="AO15" s="81"/>
      <c r="AP15" s="72">
        <f t="shared" si="32"/>
        <v>4.4279681744187321E-13</v>
      </c>
      <c r="AQ15" s="72">
        <f t="shared" si="33"/>
        <v>1.768660635609952E-11</v>
      </c>
      <c r="AR15" s="72">
        <f t="shared" si="34"/>
        <v>-3.1129462838558016E-11</v>
      </c>
      <c r="AS15" s="72">
        <f t="shared" si="35"/>
        <v>-2.7789346726991321E-15</v>
      </c>
      <c r="AT15" s="72">
        <f t="shared" si="36"/>
        <v>-1.3002838599689323E-11</v>
      </c>
      <c r="AU15" s="77"/>
      <c r="AV15" s="71">
        <v>-90.940452117646515</v>
      </c>
      <c r="AW15" s="71">
        <v>22166.43164482254</v>
      </c>
    </row>
    <row r="16" spans="1:49" x14ac:dyDescent="0.35">
      <c r="A16" s="43"/>
      <c r="B16" s="36"/>
      <c r="C16" s="6"/>
      <c r="E16" s="71">
        <v>55</v>
      </c>
      <c r="F16" s="71">
        <f t="shared" si="14"/>
        <v>328.15</v>
      </c>
      <c r="G16" s="71">
        <f t="shared" si="15"/>
        <v>985.69523966623524</v>
      </c>
      <c r="H16" s="83">
        <f t="shared" si="0"/>
        <v>0.98569841681300363</v>
      </c>
      <c r="I16" s="83">
        <f t="shared" si="16"/>
        <v>985.69841681300363</v>
      </c>
      <c r="J16" s="72">
        <f t="shared" si="1"/>
        <v>1.0145151009367611E-4</v>
      </c>
      <c r="K16" s="82">
        <f t="shared" si="2"/>
        <v>68.275306135491263</v>
      </c>
      <c r="L16" s="72">
        <f t="shared" si="17"/>
        <v>4.9180812446079772E-4</v>
      </c>
      <c r="M16" s="72">
        <f t="shared" si="3"/>
        <v>1.991836667032551E-3</v>
      </c>
      <c r="N16" s="83">
        <f t="shared" si="18"/>
        <v>13.130248301853779</v>
      </c>
      <c r="O16" s="71">
        <f t="shared" si="19"/>
        <v>7.4088652857724808E-14</v>
      </c>
      <c r="P16" s="83">
        <f t="shared" si="20"/>
        <v>4.7446320718388542</v>
      </c>
      <c r="Q16" s="72">
        <f t="shared" si="21"/>
        <v>1.8003955389311741E-5</v>
      </c>
      <c r="R16" s="72">
        <f t="shared" si="22"/>
        <v>1.1800395538931175E-4</v>
      </c>
      <c r="S16" s="71">
        <f t="shared" si="23"/>
        <v>2.739935500772277E-8</v>
      </c>
      <c r="T16" s="77"/>
      <c r="U16" s="72">
        <f t="shared" si="4"/>
        <v>0.35139113459357213</v>
      </c>
      <c r="V16" s="72">
        <f t="shared" si="5"/>
        <v>-1.9723497591456769E-2</v>
      </c>
      <c r="W16" s="84">
        <f t="shared" si="6"/>
        <v>-2.5933544604836052E-2</v>
      </c>
      <c r="X16" s="85">
        <f t="shared" si="24"/>
        <v>-25.933544604836051</v>
      </c>
      <c r="Y16" s="85">
        <f t="shared" si="25"/>
        <v>25.933544604836051</v>
      </c>
      <c r="Z16" s="77"/>
      <c r="AA16" s="72">
        <f t="shared" si="7"/>
        <v>1.4061281726347475E-15</v>
      </c>
      <c r="AB16" s="72">
        <f t="shared" si="8"/>
        <v>1.215096015621977E-7</v>
      </c>
      <c r="AC16" s="72">
        <f t="shared" si="9"/>
        <v>4.3250960156219772E-7</v>
      </c>
      <c r="AD16" s="72">
        <f t="shared" si="10"/>
        <v>1.4850960156219772E-7</v>
      </c>
      <c r="AE16" s="72">
        <f t="shared" si="11"/>
        <v>2.7450960156219771E-7</v>
      </c>
      <c r="AF16" s="72">
        <f t="shared" si="12"/>
        <v>2.0853978454625971E-11</v>
      </c>
      <c r="AG16" s="72">
        <f t="shared" si="26"/>
        <v>2.4E-9</v>
      </c>
      <c r="AH16" s="72">
        <f t="shared" si="27"/>
        <v>2.4208553845827985E-9</v>
      </c>
      <c r="AI16" s="84">
        <f t="shared" si="13"/>
        <v>6.5325046115320091E-6</v>
      </c>
      <c r="AJ16" s="84">
        <f t="shared" si="28"/>
        <v>6532.5046115320092</v>
      </c>
      <c r="AK16" s="77"/>
      <c r="AL16" s="72">
        <f t="shared" si="29"/>
        <v>7.4583394507566758E-10</v>
      </c>
      <c r="AM16" s="84">
        <f t="shared" si="30"/>
        <v>5.0000000000000001E-9</v>
      </c>
      <c r="AN16" s="84">
        <f t="shared" si="31"/>
        <v>5.479871001544554E-8</v>
      </c>
      <c r="AO16" s="81"/>
      <c r="AP16" s="72">
        <f t="shared" si="32"/>
        <v>2.9104468987483929E-13</v>
      </c>
      <c r="AQ16" s="72">
        <f t="shared" si="33"/>
        <v>1.7170628645975676E-11</v>
      </c>
      <c r="AR16" s="72">
        <f t="shared" si="34"/>
        <v>-2.3108618389730199E-11</v>
      </c>
      <c r="AS16" s="72">
        <f t="shared" si="35"/>
        <v>-1.7577647757800477E-15</v>
      </c>
      <c r="AT16" s="72">
        <f t="shared" si="36"/>
        <v>-5.6487028186554645E-12</v>
      </c>
      <c r="AU16" s="77"/>
      <c r="AV16" s="71">
        <v>-92.193989356767275</v>
      </c>
      <c r="AW16" s="71">
        <v>23223.113922809371</v>
      </c>
    </row>
    <row r="17" spans="1:49" x14ac:dyDescent="0.35">
      <c r="A17" t="s">
        <v>3</v>
      </c>
      <c r="B17" s="47">
        <f>Control!B10</f>
        <v>8.8500000000000005E-12</v>
      </c>
      <c r="C17" s="2" t="s">
        <v>4</v>
      </c>
      <c r="E17" s="71">
        <v>60</v>
      </c>
      <c r="F17" s="71">
        <f t="shared" si="14"/>
        <v>333.15</v>
      </c>
      <c r="G17" s="71">
        <f t="shared" si="15"/>
        <v>983.19888300964794</v>
      </c>
      <c r="H17" s="83">
        <f t="shared" si="0"/>
        <v>0.98320206691044787</v>
      </c>
      <c r="I17" s="83">
        <f t="shared" si="16"/>
        <v>983.20206691044791</v>
      </c>
      <c r="J17" s="72">
        <f t="shared" si="1"/>
        <v>1.0170909699386454E-4</v>
      </c>
      <c r="K17" s="82">
        <f t="shared" si="2"/>
        <v>66.74525578711625</v>
      </c>
      <c r="L17" s="72">
        <f t="shared" si="17"/>
        <v>4.5510397968809047E-4</v>
      </c>
      <c r="M17" s="72">
        <f t="shared" si="3"/>
        <v>2.1177177240704901E-3</v>
      </c>
      <c r="N17" s="83">
        <f t="shared" si="18"/>
        <v>13.007657769459144</v>
      </c>
      <c r="O17" s="71">
        <f t="shared" si="19"/>
        <v>9.8252187996499737E-14</v>
      </c>
      <c r="P17" s="83">
        <f t="shared" si="20"/>
        <v>4.5639759870810348</v>
      </c>
      <c r="Q17" s="72">
        <f t="shared" si="21"/>
        <v>2.7291286770440392E-5</v>
      </c>
      <c r="R17" s="72">
        <f t="shared" si="22"/>
        <v>1.272912867704404E-4</v>
      </c>
      <c r="S17" s="71">
        <f t="shared" si="23"/>
        <v>2.6281573350680553E-8</v>
      </c>
      <c r="T17" s="77"/>
      <c r="U17" s="72">
        <f t="shared" si="4"/>
        <v>0.55113390671764462</v>
      </c>
      <c r="V17" s="72">
        <f t="shared" si="5"/>
        <v>-1.1406799409727662E-2</v>
      </c>
      <c r="W17" s="84">
        <f t="shared" si="6"/>
        <v>-1.8930623894106664E-2</v>
      </c>
      <c r="X17" s="85">
        <f t="shared" si="24"/>
        <v>-18.930623894106663</v>
      </c>
      <c r="Y17" s="85">
        <f t="shared" si="25"/>
        <v>18.930623894106663</v>
      </c>
      <c r="Z17" s="77"/>
      <c r="AA17" s="72">
        <f t="shared" si="7"/>
        <v>9.276733289102308E-16</v>
      </c>
      <c r="AB17" s="72">
        <f t="shared" si="8"/>
        <v>1.2655109372652316E-7</v>
      </c>
      <c r="AC17" s="72">
        <f t="shared" si="9"/>
        <v>4.3755109372652313E-7</v>
      </c>
      <c r="AD17" s="72">
        <f t="shared" si="10"/>
        <v>1.5355109372652315E-7</v>
      </c>
      <c r="AE17" s="72">
        <f t="shared" si="11"/>
        <v>2.7955109372652311E-7</v>
      </c>
      <c r="AF17" s="72">
        <f t="shared" si="12"/>
        <v>1.3374901613832564E-11</v>
      </c>
      <c r="AG17" s="72">
        <f t="shared" si="26"/>
        <v>2.4E-9</v>
      </c>
      <c r="AH17" s="72">
        <f t="shared" si="27"/>
        <v>2.4133758292871614E-9</v>
      </c>
      <c r="AI17" s="84">
        <f t="shared" si="13"/>
        <v>4.9108671217262972E-6</v>
      </c>
      <c r="AJ17" s="84">
        <f t="shared" si="28"/>
        <v>4910.8671217262972</v>
      </c>
      <c r="AK17" s="77"/>
      <c r="AL17" s="72">
        <f t="shared" si="29"/>
        <v>7.5148097618117884E-10</v>
      </c>
      <c r="AM17" s="84">
        <f t="shared" si="30"/>
        <v>5.0000000000000001E-9</v>
      </c>
      <c r="AN17" s="84">
        <f t="shared" si="31"/>
        <v>5.2563146701361107E-8</v>
      </c>
      <c r="AO17" s="81"/>
      <c r="AP17" s="72">
        <f t="shared" si="32"/>
        <v>1.5904800307432554E-13</v>
      </c>
      <c r="AQ17" s="72">
        <f t="shared" si="33"/>
        <v>1.3302629018632076E-11</v>
      </c>
      <c r="AR17" s="72">
        <f t="shared" si="34"/>
        <v>-1.4024583873030936E-11</v>
      </c>
      <c r="AS17" s="72">
        <f t="shared" si="35"/>
        <v>-9.1921368886202153E-16</v>
      </c>
      <c r="AT17" s="72">
        <f t="shared" si="36"/>
        <v>-5.6382606501339655E-13</v>
      </c>
      <c r="AU17" s="77"/>
      <c r="AV17" s="71">
        <v>-93.440124928578655</v>
      </c>
      <c r="AW17" s="71">
        <v>24239.66795776306</v>
      </c>
    </row>
    <row r="18" spans="1:49" x14ac:dyDescent="0.35">
      <c r="A18" t="s">
        <v>22</v>
      </c>
      <c r="B18" s="47">
        <f>Control!B11</f>
        <v>1.3809999999999999E-23</v>
      </c>
      <c r="C18" s="2" t="s">
        <v>24</v>
      </c>
      <c r="E18" s="71">
        <v>65</v>
      </c>
      <c r="F18" s="71">
        <f t="shared" si="14"/>
        <v>338.15</v>
      </c>
      <c r="G18" s="71">
        <f t="shared" si="15"/>
        <v>980.55481983181551</v>
      </c>
      <c r="H18" s="83">
        <f t="shared" si="0"/>
        <v>0.98055801088627526</v>
      </c>
      <c r="I18" s="83">
        <f t="shared" si="16"/>
        <v>980.55801088627527</v>
      </c>
      <c r="J18" s="72">
        <f t="shared" si="1"/>
        <v>1.0198335527374143E-4</v>
      </c>
      <c r="K18" s="82">
        <f t="shared" si="2"/>
        <v>65.249444213741242</v>
      </c>
      <c r="L18" s="72">
        <f t="shared" si="17"/>
        <v>4.2280984384773535E-4</v>
      </c>
      <c r="M18" s="72">
        <f t="shared" si="3"/>
        <v>2.2428487811084279E-3</v>
      </c>
      <c r="N18" s="83">
        <f t="shared" si="18"/>
        <v>12.893913443972313</v>
      </c>
      <c r="O18" s="71">
        <f t="shared" si="19"/>
        <v>1.2766932317617458E-13</v>
      </c>
      <c r="P18" s="83">
        <f t="shared" si="20"/>
        <v>4.3963561545827066</v>
      </c>
      <c r="Q18" s="72">
        <f t="shared" si="21"/>
        <v>4.0146144682461112E-5</v>
      </c>
      <c r="R18" s="72">
        <f t="shared" si="22"/>
        <v>1.4014614468246112E-4</v>
      </c>
      <c r="S18" s="71">
        <f t="shared" si="23"/>
        <v>2.4950147427504962E-8</v>
      </c>
      <c r="T18" s="77"/>
      <c r="U18" s="72">
        <f t="shared" si="4"/>
        <v>0.84738105931601415</v>
      </c>
      <c r="V18" s="72">
        <f t="shared" si="5"/>
        <v>-3.2182679524502128E-3</v>
      </c>
      <c r="W18" s="84">
        <f t="shared" si="6"/>
        <v>-1.2133842204656364E-2</v>
      </c>
      <c r="X18" s="85">
        <f t="shared" si="24"/>
        <v>-12.133842204656364</v>
      </c>
      <c r="Y18" s="85">
        <f t="shared" si="25"/>
        <v>12.133842204656364</v>
      </c>
      <c r="Z18" s="77"/>
      <c r="AA18" s="72">
        <f t="shared" si="7"/>
        <v>6.3066016018178279E-16</v>
      </c>
      <c r="AB18" s="72">
        <f t="shared" si="8"/>
        <v>1.3162428613512208E-7</v>
      </c>
      <c r="AC18" s="72">
        <f t="shared" si="9"/>
        <v>4.426242861351221E-7</v>
      </c>
      <c r="AD18" s="72">
        <f t="shared" si="10"/>
        <v>1.5862428613512209E-7</v>
      </c>
      <c r="AE18" s="72">
        <f t="shared" si="11"/>
        <v>2.8462428613512208E-7</v>
      </c>
      <c r="AF18" s="72">
        <f t="shared" si="12"/>
        <v>4.3497300392716289E-12</v>
      </c>
      <c r="AG18" s="72">
        <f t="shared" si="26"/>
        <v>2.4E-9</v>
      </c>
      <c r="AH18" s="72">
        <f t="shared" si="27"/>
        <v>2.4043503606994319E-9</v>
      </c>
      <c r="AI18" s="84">
        <f t="shared" si="13"/>
        <v>3.2313623364835587E-6</v>
      </c>
      <c r="AJ18" s="84">
        <f t="shared" si="28"/>
        <v>3231.3623364835585</v>
      </c>
      <c r="AK18" s="77"/>
      <c r="AL18" s="72">
        <f t="shared" si="29"/>
        <v>7.5734192931169309E-10</v>
      </c>
      <c r="AM18" s="84">
        <f t="shared" si="30"/>
        <v>5.0000000000000001E-9</v>
      </c>
      <c r="AN18" s="84">
        <f t="shared" si="31"/>
        <v>4.9900294855009924E-8</v>
      </c>
      <c r="AO18" s="81"/>
      <c r="AP18" s="72">
        <f t="shared" si="32"/>
        <v>4.2570125273242856E-14</v>
      </c>
      <c r="AQ18" s="72">
        <f t="shared" si="33"/>
        <v>4.8548869361294849E-12</v>
      </c>
      <c r="AR18" s="72">
        <f t="shared" si="34"/>
        <v>-4.1010585238634719E-12</v>
      </c>
      <c r="AS18" s="72">
        <f t="shared" si="35"/>
        <v>-2.3401352107658331E-16</v>
      </c>
      <c r="AT18" s="72">
        <f t="shared" si="36"/>
        <v>7.9616452401817943E-13</v>
      </c>
      <c r="AU18" s="77"/>
      <c r="AV18" s="71">
        <v>-94.67765761085704</v>
      </c>
      <c r="AW18" s="71">
        <v>25213.597782396937</v>
      </c>
    </row>
    <row r="19" spans="1:49" x14ac:dyDescent="0.35">
      <c r="A19" t="s">
        <v>21</v>
      </c>
      <c r="B19" s="47">
        <f>Control!B12</f>
        <v>6.0220000000000003E+23</v>
      </c>
      <c r="C19" s="2" t="s">
        <v>12</v>
      </c>
      <c r="E19" s="71">
        <v>70</v>
      </c>
      <c r="F19" s="71">
        <f t="shared" si="14"/>
        <v>343.15</v>
      </c>
      <c r="G19" s="71">
        <f t="shared" si="15"/>
        <v>977.76961965898226</v>
      </c>
      <c r="H19" s="83">
        <f t="shared" si="0"/>
        <v>0.97777281824895579</v>
      </c>
      <c r="I19" s="83">
        <f t="shared" si="16"/>
        <v>977.77281824895579</v>
      </c>
      <c r="J19" s="72">
        <f t="shared" si="1"/>
        <v>1.0227385730307796E-4</v>
      </c>
      <c r="K19" s="82">
        <f t="shared" si="2"/>
        <v>63.786813915366224</v>
      </c>
      <c r="L19" s="72">
        <f t="shared" si="17"/>
        <v>3.9426337404231627E-4</v>
      </c>
      <c r="M19" s="72">
        <f t="shared" si="3"/>
        <v>2.3672298381463668E-3</v>
      </c>
      <c r="N19" s="83">
        <f t="shared" si="18"/>
        <v>12.788133131675163</v>
      </c>
      <c r="O19" s="71">
        <f t="shared" si="19"/>
        <v>1.6287966533569951E-13</v>
      </c>
      <c r="P19" s="83">
        <f t="shared" si="20"/>
        <v>4.2404725256369975</v>
      </c>
      <c r="Q19" s="72">
        <f t="shared" si="21"/>
        <v>5.7481418162380936E-5</v>
      </c>
      <c r="R19" s="72">
        <f t="shared" si="22"/>
        <v>1.5748141816238095E-4</v>
      </c>
      <c r="S19" s="71">
        <f t="shared" si="23"/>
        <v>2.3443010799164091E-8</v>
      </c>
      <c r="T19" s="77"/>
      <c r="U19" s="72">
        <f t="shared" si="4"/>
        <v>1.28099892146628</v>
      </c>
      <c r="V19" s="72">
        <f t="shared" si="5"/>
        <v>4.8836555349453595E-3</v>
      </c>
      <c r="W19" s="84">
        <f t="shared" si="6"/>
        <v>-5.5543613097430592E-3</v>
      </c>
      <c r="X19" s="85">
        <f t="shared" si="24"/>
        <v>-5.5543613097430589</v>
      </c>
      <c r="Y19" s="85">
        <f t="shared" si="25"/>
        <v>5.5543613097430589</v>
      </c>
      <c r="Z19" s="77"/>
      <c r="AA19" s="72">
        <f t="shared" si="7"/>
        <v>4.4048106520809916E-16</v>
      </c>
      <c r="AB19" s="72">
        <f t="shared" si="8"/>
        <v>1.3670965487625003E-7</v>
      </c>
      <c r="AC19" s="72">
        <f t="shared" si="9"/>
        <v>4.4770965487625002E-7</v>
      </c>
      <c r="AD19" s="72">
        <f t="shared" si="10"/>
        <v>1.6370965487625002E-7</v>
      </c>
      <c r="AE19" s="72">
        <f t="shared" si="11"/>
        <v>2.8970965487625001E-7</v>
      </c>
      <c r="AF19" s="72">
        <f t="shared" si="12"/>
        <v>-7.7501266290338047E-12</v>
      </c>
      <c r="AG19" s="72">
        <f t="shared" si="26"/>
        <v>2.4E-9</v>
      </c>
      <c r="AH19" s="72">
        <f t="shared" si="27"/>
        <v>2.3922503138520314E-9</v>
      </c>
      <c r="AI19" s="84">
        <f t="shared" si="13"/>
        <v>1.51400364767137E-6</v>
      </c>
      <c r="AJ19" s="84">
        <f t="shared" si="28"/>
        <v>1514.0036476713701</v>
      </c>
      <c r="AK19" s="77"/>
      <c r="AL19" s="72">
        <f t="shared" si="29"/>
        <v>7.6341958421662796E-10</v>
      </c>
      <c r="AM19" s="84">
        <f t="shared" si="30"/>
        <v>5.0000000000000001E-9</v>
      </c>
      <c r="AN19" s="84">
        <f t="shared" si="31"/>
        <v>4.6886021598328183E-8</v>
      </c>
      <c r="AO19" s="81"/>
      <c r="AP19" s="72">
        <f t="shared" si="32"/>
        <v>-6.148046417684252E-14</v>
      </c>
      <c r="AQ19" s="72">
        <f t="shared" si="33"/>
        <v>-9.2229305926620308E-12</v>
      </c>
      <c r="AR19" s="72">
        <f t="shared" si="34"/>
        <v>6.371899053761451E-12</v>
      </c>
      <c r="AS19" s="72">
        <f t="shared" si="35"/>
        <v>3.1951919744666784E-16</v>
      </c>
      <c r="AT19" s="72">
        <f t="shared" si="36"/>
        <v>-2.9121924838799759E-12</v>
      </c>
      <c r="AU19" s="77"/>
      <c r="AV19" s="71">
        <v>-95.90536315307078</v>
      </c>
      <c r="AW19" s="71">
        <v>26141.812084553301</v>
      </c>
    </row>
    <row r="20" spans="1:49" x14ac:dyDescent="0.35">
      <c r="A20" t="s">
        <v>13</v>
      </c>
      <c r="B20" s="47">
        <f>Control!B13</f>
        <v>1.602E-19</v>
      </c>
      <c r="C20" s="2" t="s">
        <v>96</v>
      </c>
      <c r="E20" s="71">
        <v>75</v>
      </c>
      <c r="F20" s="71">
        <f t="shared" si="14"/>
        <v>348.15</v>
      </c>
      <c r="G20" s="71">
        <f t="shared" si="15"/>
        <v>974.84896849496351</v>
      </c>
      <c r="H20" s="83">
        <f t="shared" si="0"/>
        <v>0.97485217498692101</v>
      </c>
      <c r="I20" s="83">
        <f t="shared" si="16"/>
        <v>974.852174986921</v>
      </c>
      <c r="J20" s="72">
        <f t="shared" si="1"/>
        <v>1.025802701629511E-4</v>
      </c>
      <c r="K20" s="82">
        <f t="shared" si="2"/>
        <v>62.356307391991216</v>
      </c>
      <c r="L20" s="72">
        <f t="shared" si="17"/>
        <v>3.6893227816411851E-4</v>
      </c>
      <c r="M20" s="72">
        <f t="shared" si="3"/>
        <v>2.4908608951843057E-3</v>
      </c>
      <c r="N20" s="83">
        <f t="shared" si="18"/>
        <v>12.689470621937891</v>
      </c>
      <c r="O20" s="71">
        <f t="shared" si="19"/>
        <v>2.0442282141402446E-13</v>
      </c>
      <c r="P20" s="83">
        <f t="shared" si="20"/>
        <v>4.0950780781756064</v>
      </c>
      <c r="Q20" s="72">
        <f t="shared" si="21"/>
        <v>8.0338167592376665E-5</v>
      </c>
      <c r="R20" s="72">
        <f t="shared" si="22"/>
        <v>1.8033816759237666E-4</v>
      </c>
      <c r="S20" s="71">
        <f t="shared" si="23"/>
        <v>2.1817257507521646E-8</v>
      </c>
      <c r="T20" s="77"/>
      <c r="U20" s="72">
        <f t="shared" si="4"/>
        <v>1.9080362596860589</v>
      </c>
      <c r="V20" s="72">
        <f t="shared" si="5"/>
        <v>1.2926738372836071E-2</v>
      </c>
      <c r="W20" s="84">
        <f t="shared" si="6"/>
        <v>7.7919071526911729E-4</v>
      </c>
      <c r="X20" s="85">
        <f t="shared" si="24"/>
        <v>0.77919071526911732</v>
      </c>
      <c r="Y20" s="85">
        <f t="shared" si="25"/>
        <v>-0.77919071526911732</v>
      </c>
      <c r="Z20" s="77"/>
      <c r="AA20" s="72">
        <f t="shared" si="7"/>
        <v>3.1516986136828262E-16</v>
      </c>
      <c r="AB20" s="72">
        <f t="shared" si="8"/>
        <v>1.4178516153617696E-7</v>
      </c>
      <c r="AC20" s="72">
        <f t="shared" si="9"/>
        <v>4.5278516153617698E-7</v>
      </c>
      <c r="AD20" s="72">
        <f t="shared" si="10"/>
        <v>1.6878516153617698E-7</v>
      </c>
      <c r="AE20" s="72">
        <f t="shared" si="11"/>
        <v>2.9478516153617697E-7</v>
      </c>
      <c r="AF20" s="72">
        <f t="shared" si="12"/>
        <v>-2.415680821608379E-11</v>
      </c>
      <c r="AG20" s="72">
        <f t="shared" si="26"/>
        <v>2.4E-9</v>
      </c>
      <c r="AH20" s="72">
        <f t="shared" si="27"/>
        <v>2.3758435069537776E-9</v>
      </c>
      <c r="AI20" s="84">
        <f t="shared" si="13"/>
        <v>-2.167817417190779E-7</v>
      </c>
      <c r="AJ20" s="84">
        <f t="shared" si="28"/>
        <v>-216.7817417190779</v>
      </c>
      <c r="AK20" s="77"/>
      <c r="AL20" s="72">
        <f t="shared" si="29"/>
        <v>7.6971760772437806E-10</v>
      </c>
      <c r="AM20" s="84">
        <f t="shared" si="30"/>
        <v>5.0000000000000001E-9</v>
      </c>
      <c r="AN20" s="84">
        <f t="shared" si="31"/>
        <v>4.3634515015043293E-8</v>
      </c>
      <c r="AO20" s="81"/>
      <c r="AP20" s="72">
        <f t="shared" si="32"/>
        <v>-1.5528238956316961E-13</v>
      </c>
      <c r="AQ20" s="72">
        <f t="shared" si="33"/>
        <v>-2.9667668548666688E-11</v>
      </c>
      <c r="AR20" s="72">
        <f t="shared" si="34"/>
        <v>1.707388881091474E-11</v>
      </c>
      <c r="AS20" s="72">
        <f t="shared" si="35"/>
        <v>7.5877193705422994E-16</v>
      </c>
      <c r="AT20" s="72">
        <f t="shared" si="36"/>
        <v>-1.2748303355378064E-11</v>
      </c>
      <c r="AU20" s="77"/>
      <c r="AV20" s="71">
        <v>-97.122001004014038</v>
      </c>
      <c r="AW20" s="71">
        <v>27020.697388828139</v>
      </c>
    </row>
    <row r="21" spans="1:49" x14ac:dyDescent="0.35">
      <c r="A21" t="s">
        <v>14</v>
      </c>
      <c r="B21" s="32">
        <f>Control!B14</f>
        <v>10</v>
      </c>
      <c r="C21" s="2" t="s">
        <v>112</v>
      </c>
      <c r="E21" s="71">
        <v>80</v>
      </c>
      <c r="F21" s="71">
        <f t="shared" si="14"/>
        <v>353.15</v>
      </c>
      <c r="G21" s="71">
        <f t="shared" si="15"/>
        <v>971.79778269157964</v>
      </c>
      <c r="H21" s="83">
        <f t="shared" si="0"/>
        <v>0.97180099743868997</v>
      </c>
      <c r="I21" s="83">
        <f t="shared" si="16"/>
        <v>971.80099743868993</v>
      </c>
      <c r="J21" s="72">
        <f t="shared" si="1"/>
        <v>1.0290234484721471E-4</v>
      </c>
      <c r="K21" s="82">
        <f t="shared" si="2"/>
        <v>60.956867143616215</v>
      </c>
      <c r="L21" s="72">
        <f t="shared" si="17"/>
        <v>3.4638313521666731E-4</v>
      </c>
      <c r="M21" s="72">
        <f t="shared" si="3"/>
        <v>2.6137419522222448E-3</v>
      </c>
      <c r="N21" s="83">
        <f t="shared" si="18"/>
        <v>12.597156969451365</v>
      </c>
      <c r="O21" s="71">
        <f t="shared" si="19"/>
        <v>2.5283839835009936E-13</v>
      </c>
      <c r="P21" s="83">
        <f t="shared" si="20"/>
        <v>3.9590396525146097</v>
      </c>
      <c r="Q21" s="72">
        <f t="shared" si="21"/>
        <v>1.0989055011653832E-4</v>
      </c>
      <c r="R21" s="72">
        <f t="shared" si="22"/>
        <v>2.0989055011653833E-4</v>
      </c>
      <c r="S21" s="71">
        <f t="shared" si="23"/>
        <v>2.0137941323234541E-8</v>
      </c>
      <c r="T21" s="77"/>
      <c r="U21" s="72">
        <f t="shared" si="4"/>
        <v>2.8037792960272361</v>
      </c>
      <c r="V21" s="72">
        <f t="shared" si="5"/>
        <v>2.0923985557043639E-2</v>
      </c>
      <c r="W21" s="84">
        <f t="shared" si="6"/>
        <v>6.8235457637161375E-3</v>
      </c>
      <c r="X21" s="85">
        <f t="shared" si="24"/>
        <v>6.8235457637161376</v>
      </c>
      <c r="Y21" s="85">
        <f t="shared" si="25"/>
        <v>-6.8235457637161376</v>
      </c>
      <c r="Z21" s="77"/>
      <c r="AA21" s="72">
        <f t="shared" si="7"/>
        <v>2.3041746476541359E-16</v>
      </c>
      <c r="AB21" s="72">
        <f t="shared" si="8"/>
        <v>1.4682646117579541E-7</v>
      </c>
      <c r="AC21" s="72">
        <f t="shared" si="9"/>
        <v>4.5782646117579543E-7</v>
      </c>
      <c r="AD21" s="72">
        <f t="shared" si="10"/>
        <v>1.7382646117579543E-7</v>
      </c>
      <c r="AE21" s="72">
        <f t="shared" si="11"/>
        <v>2.9982646117579542E-7</v>
      </c>
      <c r="AF21" s="72">
        <f t="shared" si="12"/>
        <v>-4.5744408169795597E-11</v>
      </c>
      <c r="AG21" s="72">
        <f t="shared" si="26"/>
        <v>2.4E-9</v>
      </c>
      <c r="AH21" s="72">
        <f t="shared" si="27"/>
        <v>2.354255822247669E-9</v>
      </c>
      <c r="AI21" s="84">
        <f t="shared" si="13"/>
        <v>-1.9324443965218901E-6</v>
      </c>
      <c r="AJ21" s="84">
        <f t="shared" si="28"/>
        <v>-1932.44439652189</v>
      </c>
      <c r="AK21" s="77"/>
      <c r="AL21" s="72">
        <f t="shared" si="29"/>
        <v>7.7624061260400327E-10</v>
      </c>
      <c r="AM21" s="84">
        <f t="shared" si="30"/>
        <v>5.0000000000000001E-9</v>
      </c>
      <c r="AN21" s="84">
        <f t="shared" si="31"/>
        <v>4.0275882646469083E-8</v>
      </c>
      <c r="AO21" s="81"/>
      <c r="AP21" s="72">
        <f t="shared" si="32"/>
        <v>-2.4036013581210517E-13</v>
      </c>
      <c r="AQ21" s="72">
        <f t="shared" si="33"/>
        <v>-5.6851852104707713E-11</v>
      </c>
      <c r="AR21" s="72">
        <f t="shared" si="34"/>
        <v>2.7697923418692852E-11</v>
      </c>
      <c r="AS21" s="72">
        <f t="shared" si="35"/>
        <v>1.0992183337950231E-15</v>
      </c>
      <c r="AT21" s="72">
        <f t="shared" si="36"/>
        <v>-2.9393189603493172E-11</v>
      </c>
      <c r="AU21" s="77"/>
      <c r="AV21" s="71">
        <v>-98.326321644411152</v>
      </c>
      <c r="AW21" s="71">
        <v>27846.248226128359</v>
      </c>
    </row>
    <row r="22" spans="1:49" x14ac:dyDescent="0.35">
      <c r="A22" t="s">
        <v>14</v>
      </c>
      <c r="B22" s="4">
        <f>B21*1000000000000000000</f>
        <v>1E+19</v>
      </c>
      <c r="C22" s="2" t="s">
        <v>113</v>
      </c>
      <c r="E22" s="71">
        <v>85</v>
      </c>
      <c r="F22" s="71">
        <f t="shared" si="14"/>
        <v>358.15</v>
      </c>
      <c r="G22" s="71">
        <f t="shared" si="15"/>
        <v>968.62029913592266</v>
      </c>
      <c r="H22" s="83">
        <f t="shared" si="0"/>
        <v>0.96862352247989114</v>
      </c>
      <c r="I22" s="83">
        <f t="shared" si="16"/>
        <v>968.62352247989111</v>
      </c>
      <c r="J22" s="72">
        <f t="shared" si="1"/>
        <v>1.032399079861271E-4</v>
      </c>
      <c r="K22" s="82">
        <f t="shared" si="2"/>
        <v>59.587435670241277</v>
      </c>
      <c r="L22" s="72">
        <f t="shared" si="17"/>
        <v>3.2625848802072394E-4</v>
      </c>
      <c r="M22" s="72">
        <f t="shared" si="3"/>
        <v>2.735873009260184E-3</v>
      </c>
      <c r="N22" s="83">
        <f t="shared" si="18"/>
        <v>12.510511201702162</v>
      </c>
      <c r="O22" s="71">
        <f t="shared" si="19"/>
        <v>3.0866600308287458E-13</v>
      </c>
      <c r="P22" s="83">
        <f t="shared" si="20"/>
        <v>3.8313537304727916</v>
      </c>
      <c r="Q22" s="72">
        <f t="shared" si="21"/>
        <v>1.4745050677608302E-4</v>
      </c>
      <c r="R22" s="72">
        <f t="shared" si="22"/>
        <v>2.4745050677608304E-4</v>
      </c>
      <c r="S22" s="71">
        <f t="shared" si="23"/>
        <v>1.8466570206057412E-8</v>
      </c>
      <c r="T22" s="77"/>
      <c r="U22" s="72">
        <f t="shared" si="4"/>
        <v>4.067197750807809</v>
      </c>
      <c r="V22" s="72">
        <f t="shared" si="5"/>
        <v>2.8876753923113414E-2</v>
      </c>
      <c r="W22" s="84">
        <f t="shared" si="6"/>
        <v>1.2527184989369984E-2</v>
      </c>
      <c r="X22" s="85">
        <f t="shared" si="24"/>
        <v>12.527184989369983</v>
      </c>
      <c r="Y22" s="85">
        <f t="shared" si="25"/>
        <v>-12.527184989369983</v>
      </c>
      <c r="Z22" s="77"/>
      <c r="AA22" s="72">
        <f t="shared" si="7"/>
        <v>1.7172618584901057E-16</v>
      </c>
      <c r="AB22" s="72">
        <f t="shared" si="8"/>
        <v>1.5180729044021612E-7</v>
      </c>
      <c r="AC22" s="72">
        <f t="shared" si="9"/>
        <v>4.6280729044021611E-7</v>
      </c>
      <c r="AD22" s="72">
        <f t="shared" si="10"/>
        <v>1.7880729044021611E-7</v>
      </c>
      <c r="AE22" s="72">
        <f t="shared" si="11"/>
        <v>3.048072904402161E-7</v>
      </c>
      <c r="AF22" s="72">
        <f t="shared" si="12"/>
        <v>-7.3037929169781872E-11</v>
      </c>
      <c r="AG22" s="72">
        <f t="shared" si="26"/>
        <v>2.4E-9</v>
      </c>
      <c r="AH22" s="72">
        <f t="shared" si="27"/>
        <v>2.3269622425564038E-9</v>
      </c>
      <c r="AI22" s="84">
        <f t="shared" si="13"/>
        <v>-3.6019526121278444E-6</v>
      </c>
      <c r="AJ22" s="84">
        <f t="shared" si="28"/>
        <v>-3601.9526121278441</v>
      </c>
      <c r="AK22" s="77"/>
      <c r="AL22" s="72">
        <f t="shared" si="29"/>
        <v>7.8299422447676774E-10</v>
      </c>
      <c r="AM22" s="84">
        <f t="shared" si="30"/>
        <v>5.0000000000000001E-9</v>
      </c>
      <c r="AN22" s="84">
        <f t="shared" si="31"/>
        <v>3.6933140412114823E-8</v>
      </c>
      <c r="AO22" s="81"/>
      <c r="AP22" s="72">
        <f t="shared" si="32"/>
        <v>-3.1780293973697461E-13</v>
      </c>
      <c r="AQ22" s="72">
        <f t="shared" si="33"/>
        <v>-9.0821627993887832E-11</v>
      </c>
      <c r="AR22" s="72">
        <f t="shared" si="34"/>
        <v>3.7986254447890247E-11</v>
      </c>
      <c r="AS22" s="72">
        <f t="shared" si="35"/>
        <v>1.355529988525758E-15</v>
      </c>
      <c r="AT22" s="72">
        <f t="shared" si="36"/>
        <v>-5.3151820955746028E-11</v>
      </c>
      <c r="AU22" s="77"/>
      <c r="AV22" s="71">
        <v>-99.517074463462023</v>
      </c>
      <c r="AW22" s="71">
        <v>28614.232657169501</v>
      </c>
    </row>
    <row r="23" spans="1:49" x14ac:dyDescent="0.35">
      <c r="A23" t="s">
        <v>20</v>
      </c>
      <c r="B23" s="51">
        <v>0</v>
      </c>
      <c r="C23" s="4" t="s">
        <v>52</v>
      </c>
      <c r="E23" s="71">
        <v>90</v>
      </c>
      <c r="F23" s="71">
        <f t="shared" si="14"/>
        <v>363.15</v>
      </c>
      <c r="G23" s="71">
        <f t="shared" si="15"/>
        <v>965.3201473085868</v>
      </c>
      <c r="H23" s="83">
        <f t="shared" si="0"/>
        <v>0.96532337958129955</v>
      </c>
      <c r="I23" s="83">
        <f t="shared" si="16"/>
        <v>965.32337958129949</v>
      </c>
      <c r="J23" s="72">
        <f t="shared" si="1"/>
        <v>1.0359285552580533E-4</v>
      </c>
      <c r="K23" s="82">
        <f t="shared" si="2"/>
        <v>58.246955471866272</v>
      </c>
      <c r="L23" s="72">
        <f t="shared" si="17"/>
        <v>3.0825992134951883E-4</v>
      </c>
      <c r="M23" s="72">
        <f t="shared" si="3"/>
        <v>2.857254066298122E-3</v>
      </c>
      <c r="N23" s="83">
        <f t="shared" si="18"/>
        <v>12.428937568837505</v>
      </c>
      <c r="O23" s="71">
        <f t="shared" si="19"/>
        <v>3.7244524255129788E-13</v>
      </c>
      <c r="P23" s="83">
        <f t="shared" si="20"/>
        <v>3.7111423826228536</v>
      </c>
      <c r="Q23" s="72">
        <f t="shared" si="21"/>
        <v>1.9447224035430699E-4</v>
      </c>
      <c r="R23" s="72">
        <f t="shared" si="22"/>
        <v>2.9447224035430698E-4</v>
      </c>
      <c r="S23" s="71">
        <f t="shared" si="23"/>
        <v>1.6853032119356451E-8</v>
      </c>
      <c r="T23" s="77"/>
      <c r="U23" s="72">
        <f t="shared" si="4"/>
        <v>5.8257736215066407</v>
      </c>
      <c r="V23" s="72">
        <f t="shared" si="5"/>
        <v>3.6779326906355471E-2</v>
      </c>
      <c r="W23" s="84">
        <f t="shared" si="6"/>
        <v>1.7837336379392152E-2</v>
      </c>
      <c r="X23" s="85">
        <f t="shared" si="24"/>
        <v>17.837336379392152</v>
      </c>
      <c r="Y23" s="85">
        <f t="shared" si="25"/>
        <v>-17.837336379392152</v>
      </c>
      <c r="Z23" s="77"/>
      <c r="AA23" s="72">
        <f t="shared" si="7"/>
        <v>1.3020589589988746E-16</v>
      </c>
      <c r="AB23" s="72">
        <f t="shared" si="8"/>
        <v>1.5669999198727332E-7</v>
      </c>
      <c r="AC23" s="72">
        <f t="shared" si="9"/>
        <v>4.6769999198727329E-7</v>
      </c>
      <c r="AD23" s="72">
        <f t="shared" si="10"/>
        <v>1.8369999198727331E-7</v>
      </c>
      <c r="AE23" s="72">
        <f t="shared" si="11"/>
        <v>3.0969999198727327E-7</v>
      </c>
      <c r="AF23" s="72">
        <f t="shared" si="12"/>
        <v>-1.0627532789233104E-10</v>
      </c>
      <c r="AG23" s="72">
        <f t="shared" si="26"/>
        <v>2.4E-9</v>
      </c>
      <c r="AH23" s="72">
        <f t="shared" si="27"/>
        <v>2.2937248023135647E-9</v>
      </c>
      <c r="AI23" s="84">
        <f t="shared" si="13"/>
        <v>-5.1939788616010021E-6</v>
      </c>
      <c r="AJ23" s="84">
        <f t="shared" si="28"/>
        <v>-5193.9788616010028</v>
      </c>
      <c r="AK23" s="77"/>
      <c r="AL23" s="72">
        <f t="shared" si="29"/>
        <v>7.8998515746677005E-10</v>
      </c>
      <c r="AM23" s="84">
        <f t="shared" si="30"/>
        <v>5.0000000000000001E-9</v>
      </c>
      <c r="AN23" s="84">
        <f t="shared" si="31"/>
        <v>3.3706064238712901E-8</v>
      </c>
      <c r="AO23" s="81"/>
      <c r="AP23" s="72">
        <f t="shared" si="32"/>
        <v>-3.8842292673529229E-13</v>
      </c>
      <c r="AQ23" s="72">
        <f t="shared" si="33"/>
        <v>-1.3138941993249177E-10</v>
      </c>
      <c r="AR23" s="72">
        <f t="shared" si="34"/>
        <v>4.7748795545047696E-11</v>
      </c>
      <c r="AS23" s="72">
        <f t="shared" si="35"/>
        <v>1.5416979382031097E-15</v>
      </c>
      <c r="AT23" s="72">
        <f t="shared" si="36"/>
        <v>-8.4027505616241149E-11</v>
      </c>
      <c r="AU23" s="77"/>
      <c r="AV23" s="71">
        <v>-100.69301610065533</v>
      </c>
      <c r="AW23" s="71">
        <v>29320.375252081878</v>
      </c>
    </row>
    <row r="24" spans="1:49" x14ac:dyDescent="0.35">
      <c r="A24" t="s">
        <v>51</v>
      </c>
      <c r="B24" s="51">
        <f>IF(B15&gt;7,B31,0)</f>
        <v>0</v>
      </c>
      <c r="C24" s="4" t="s">
        <v>53</v>
      </c>
      <c r="E24" s="71">
        <v>95</v>
      </c>
      <c r="F24" s="71">
        <f t="shared" si="14"/>
        <v>368.15</v>
      </c>
      <c r="G24" s="71">
        <f t="shared" si="15"/>
        <v>961.90040732662351</v>
      </c>
      <c r="H24" s="83">
        <f t="shared" si="0"/>
        <v>0.9619036488516326</v>
      </c>
      <c r="I24" s="83">
        <f t="shared" si="16"/>
        <v>961.90364885163262</v>
      </c>
      <c r="J24" s="72">
        <f t="shared" si="1"/>
        <v>1.0396114794692193E-4</v>
      </c>
      <c r="K24" s="82">
        <f t="shared" si="2"/>
        <v>56.93436904849122</v>
      </c>
      <c r="L24" s="72">
        <f t="shared" si="17"/>
        <v>2.9213548041562423E-4</v>
      </c>
      <c r="M24" s="72">
        <f t="shared" si="3"/>
        <v>2.9778851233360614E-3</v>
      </c>
      <c r="N24" s="83">
        <f t="shared" si="18"/>
        <v>12.351917515046324</v>
      </c>
      <c r="O24" s="71">
        <f t="shared" si="19"/>
        <v>4.4471572369432338E-13</v>
      </c>
      <c r="P24" s="83">
        <f t="shared" si="20"/>
        <v>3.5976414368813039</v>
      </c>
      <c r="Q24" s="72">
        <f t="shared" si="21"/>
        <v>2.5255650742594862E-4</v>
      </c>
      <c r="R24" s="72">
        <f t="shared" si="22"/>
        <v>3.5255650742594861E-4</v>
      </c>
      <c r="S24" s="71">
        <f t="shared" si="23"/>
        <v>1.5332249586960932E-8</v>
      </c>
      <c r="T24" s="77"/>
      <c r="U24" s="72">
        <f t="shared" si="4"/>
        <v>8.2407378732518133</v>
      </c>
      <c r="V24" s="72">
        <f t="shared" si="5"/>
        <v>4.4623106599518375E-2</v>
      </c>
      <c r="W24" s="84">
        <f t="shared" si="6"/>
        <v>2.2705646823671717E-2</v>
      </c>
      <c r="X24" s="85">
        <f t="shared" si="24"/>
        <v>22.705646823671717</v>
      </c>
      <c r="Y24" s="85">
        <f t="shared" si="25"/>
        <v>-22.705646823671717</v>
      </c>
      <c r="Z24" s="77"/>
      <c r="AA24" s="72">
        <f t="shared" si="7"/>
        <v>1.0026145177292805E-16</v>
      </c>
      <c r="AB24" s="72">
        <f t="shared" si="8"/>
        <v>1.6147613187240694E-7</v>
      </c>
      <c r="AC24" s="72">
        <f t="shared" si="9"/>
        <v>4.7247613187240693E-7</v>
      </c>
      <c r="AD24" s="72">
        <f t="shared" si="10"/>
        <v>1.8847613187240693E-7</v>
      </c>
      <c r="AE24" s="72">
        <f t="shared" si="11"/>
        <v>3.1447613187240692E-7</v>
      </c>
      <c r="AF24" s="72">
        <f t="shared" si="12"/>
        <v>-1.4549066222688992E-10</v>
      </c>
      <c r="AG24" s="72">
        <f t="shared" si="26"/>
        <v>2.4E-9</v>
      </c>
      <c r="AH24" s="72">
        <f t="shared" si="27"/>
        <v>2.2545094380345617E-9</v>
      </c>
      <c r="AI24" s="84">
        <f t="shared" si="13"/>
        <v>-6.6789789746037415E-6</v>
      </c>
      <c r="AJ24" s="84">
        <f t="shared" si="28"/>
        <v>-6678.9789746037413</v>
      </c>
      <c r="AK24" s="77"/>
      <c r="AL24" s="72">
        <f t="shared" si="29"/>
        <v>7.9722129941970722E-10</v>
      </c>
      <c r="AM24" s="84">
        <f t="shared" si="30"/>
        <v>5.0000000000000001E-9</v>
      </c>
      <c r="AN24" s="84">
        <f t="shared" si="31"/>
        <v>3.0664499173921863E-8</v>
      </c>
      <c r="AO24" s="81"/>
      <c r="AP24" s="72">
        <f t="shared" si="32"/>
        <v>-4.5285604549919769E-13</v>
      </c>
      <c r="AQ24" s="72">
        <f t="shared" si="33"/>
        <v>-1.782368981889187E-10</v>
      </c>
      <c r="AR24" s="72">
        <f t="shared" si="34"/>
        <v>5.6864021701952356E-11</v>
      </c>
      <c r="AS24" s="72">
        <f t="shared" si="35"/>
        <v>1.6706782646967834E-15</v>
      </c>
      <c r="AT24" s="72">
        <f t="shared" si="36"/>
        <v>-1.2182406185420084E-10</v>
      </c>
      <c r="AU24" s="77"/>
      <c r="AV24" s="71">
        <v>-101.85291915716495</v>
      </c>
      <c r="AW24" s="71">
        <v>29960.54281621717</v>
      </c>
    </row>
    <row r="25" spans="1:49" x14ac:dyDescent="0.35">
      <c r="A25" t="s">
        <v>19</v>
      </c>
      <c r="B25" s="33">
        <f>Control!B18</f>
        <v>7.5</v>
      </c>
      <c r="C25" s="4"/>
      <c r="E25" s="71">
        <v>100</v>
      </c>
      <c r="F25" s="71">
        <f t="shared" si="14"/>
        <v>373.15</v>
      </c>
      <c r="G25" s="71">
        <f t="shared" si="15"/>
        <v>958.36365705165758</v>
      </c>
      <c r="H25" s="83">
        <f t="shared" si="0"/>
        <v>0.95836690814554104</v>
      </c>
      <c r="I25" s="83">
        <f t="shared" si="16"/>
        <v>958.36690814554106</v>
      </c>
      <c r="J25" s="72">
        <f t="shared" si="1"/>
        <v>1.0434480671348889E-4</v>
      </c>
      <c r="K25" s="82">
        <f t="shared" si="2"/>
        <v>55.648618900116233</v>
      </c>
      <c r="L25" s="72">
        <f t="shared" si="17"/>
        <v>2.7767024538806115E-4</v>
      </c>
      <c r="M25" s="72">
        <f t="shared" si="3"/>
        <v>3.0977661803740001E-3</v>
      </c>
      <c r="N25" s="83">
        <f t="shared" si="18"/>
        <v>12.279000175809061</v>
      </c>
      <c r="O25" s="71">
        <f t="shared" si="19"/>
        <v>5.2601705345089748E-13</v>
      </c>
      <c r="P25" s="83">
        <f t="shared" si="20"/>
        <v>3.4901864747382572</v>
      </c>
      <c r="Q25" s="72">
        <f t="shared" si="21"/>
        <v>3.234547440670547E-4</v>
      </c>
      <c r="R25" s="72">
        <f t="shared" si="22"/>
        <v>4.2345474406705469E-4</v>
      </c>
      <c r="S25" s="71">
        <f t="shared" si="23"/>
        <v>1.3924705096761696E-8</v>
      </c>
      <c r="T25" s="77"/>
      <c r="U25" s="72">
        <f t="shared" si="4"/>
        <v>11.51274679755767</v>
      </c>
      <c r="V25" s="72">
        <f t="shared" si="5"/>
        <v>5.2399563628834966E-2</v>
      </c>
      <c r="W25" s="84">
        <f t="shared" si="6"/>
        <v>2.7091802205026473E-2</v>
      </c>
      <c r="X25" s="85">
        <f t="shared" si="24"/>
        <v>27.091802205026472</v>
      </c>
      <c r="Y25" s="85">
        <f t="shared" si="25"/>
        <v>-27.091802205026472</v>
      </c>
      <c r="Z25" s="77"/>
      <c r="AA25" s="72">
        <f t="shared" si="7"/>
        <v>7.8285695928578486E-17</v>
      </c>
      <c r="AB25" s="72">
        <f t="shared" si="8"/>
        <v>1.6610716763496286E-7</v>
      </c>
      <c r="AC25" s="72">
        <f t="shared" si="9"/>
        <v>4.7710716763496291E-7</v>
      </c>
      <c r="AD25" s="72">
        <f t="shared" si="10"/>
        <v>1.9310716763496285E-7</v>
      </c>
      <c r="AE25" s="72">
        <f t="shared" si="11"/>
        <v>3.1910716763496284E-7</v>
      </c>
      <c r="AF25" s="72">
        <f t="shared" si="12"/>
        <v>-1.9059115754706644E-10</v>
      </c>
      <c r="AG25" s="72">
        <f t="shared" si="26"/>
        <v>2.4E-9</v>
      </c>
      <c r="AH25" s="72">
        <f t="shared" si="27"/>
        <v>2.2094089207386296E-9</v>
      </c>
      <c r="AI25" s="84">
        <f t="shared" si="13"/>
        <v>-8.0308073682264982E-6</v>
      </c>
      <c r="AJ25" s="84">
        <f t="shared" si="28"/>
        <v>-8030.8073682264976</v>
      </c>
      <c r="AK25" s="77"/>
      <c r="AL25" s="72">
        <f t="shared" si="29"/>
        <v>8.0471180768096772E-10</v>
      </c>
      <c r="AM25" s="84">
        <f t="shared" si="30"/>
        <v>5.0000000000000001E-9</v>
      </c>
      <c r="AN25" s="84">
        <f t="shared" si="31"/>
        <v>2.7849410193523393E-8</v>
      </c>
      <c r="AO25" s="81"/>
      <c r="AP25" s="72">
        <f t="shared" si="32"/>
        <v>-5.1162059809859737E-13</v>
      </c>
      <c r="AQ25" s="72">
        <f t="shared" si="33"/>
        <v>-2.3099752500005259E-10</v>
      </c>
      <c r="AR25" s="72">
        <f t="shared" si="34"/>
        <v>6.5268340731271524E-11</v>
      </c>
      <c r="AS25" s="72">
        <f t="shared" si="35"/>
        <v>1.7539896901564005E-15</v>
      </c>
      <c r="AT25" s="72">
        <f t="shared" si="36"/>
        <v>-1.6623905087718949E-10</v>
      </c>
      <c r="AU25" s="77"/>
      <c r="AV25" s="71">
        <v>-102.99558116550956</v>
      </c>
      <c r="AW25" s="71">
        <v>30530.920873162842</v>
      </c>
    </row>
    <row r="26" spans="1:49" x14ac:dyDescent="0.35">
      <c r="A26" t="s">
        <v>15</v>
      </c>
      <c r="B26" s="6">
        <f>10^-B25</f>
        <v>3.1622776601683699E-8</v>
      </c>
      <c r="C26" s="4"/>
      <c r="E26" s="71">
        <v>105</v>
      </c>
      <c r="F26" s="71">
        <f t="shared" si="14"/>
        <v>378.15</v>
      </c>
      <c r="G26" s="71">
        <f t="shared" si="15"/>
        <v>954.71201059337352</v>
      </c>
      <c r="H26" s="83">
        <f t="shared" si="0"/>
        <v>0.95471527156698932</v>
      </c>
      <c r="I26" s="83">
        <f t="shared" si="16"/>
        <v>954.71527156698937</v>
      </c>
      <c r="J26" s="72">
        <f t="shared" si="1"/>
        <v>1.0474391172070341E-4</v>
      </c>
      <c r="K26" s="82">
        <f t="shared" si="2"/>
        <v>54.38864752674121</v>
      </c>
      <c r="L26" s="72">
        <f t="shared" si="17"/>
        <v>2.6467920845626866E-4</v>
      </c>
      <c r="M26" s="72">
        <f t="shared" si="3"/>
        <v>3.2168972374119389E-3</v>
      </c>
      <c r="N26" s="83">
        <f t="shared" si="18"/>
        <v>12.209793087283666</v>
      </c>
      <c r="O26" s="71">
        <f t="shared" si="19"/>
        <v>6.1688883875997191E-13</v>
      </c>
      <c r="P26" s="83">
        <f t="shared" si="20"/>
        <v>3.3881991401026763</v>
      </c>
      <c r="Q26" s="72">
        <f t="shared" si="21"/>
        <v>4.0907304158007134E-4</v>
      </c>
      <c r="R26" s="72">
        <f t="shared" si="22"/>
        <v>5.0907304158007139E-4</v>
      </c>
      <c r="S26" s="71">
        <f t="shared" si="23"/>
        <v>1.2639116645885213E-8</v>
      </c>
      <c r="T26" s="77"/>
      <c r="U26" s="72">
        <f t="shared" si="4"/>
        <v>15.888017801030562</v>
      </c>
      <c r="V26" s="72">
        <f t="shared" si="5"/>
        <v>6.0101860835428692E-2</v>
      </c>
      <c r="W26" s="84">
        <f t="shared" si="6"/>
        <v>3.0965248197877042E-2</v>
      </c>
      <c r="X26" s="85">
        <f t="shared" si="24"/>
        <v>30.965248197877042</v>
      </c>
      <c r="Y26" s="85">
        <f t="shared" si="25"/>
        <v>-30.965248197877042</v>
      </c>
      <c r="Z26" s="77"/>
      <c r="AA26" s="72">
        <f t="shared" si="7"/>
        <v>6.1901019145069609E-17</v>
      </c>
      <c r="AB26" s="72">
        <f t="shared" si="8"/>
        <v>1.7056512681884605E-7</v>
      </c>
      <c r="AC26" s="72">
        <f t="shared" si="9"/>
        <v>4.8156512681884601E-7</v>
      </c>
      <c r="AD26" s="72">
        <f t="shared" si="10"/>
        <v>1.9756512681884606E-7</v>
      </c>
      <c r="AE26" s="72">
        <f t="shared" si="11"/>
        <v>3.2356512681884605E-7</v>
      </c>
      <c r="AF26" s="72">
        <f t="shared" si="12"/>
        <v>-2.4141465925411689E-10</v>
      </c>
      <c r="AG26" s="72">
        <f t="shared" si="26"/>
        <v>2.4E-9</v>
      </c>
      <c r="AH26" s="72">
        <f t="shared" si="27"/>
        <v>2.1585854026469021E-9</v>
      </c>
      <c r="AI26" s="84">
        <f t="shared" si="13"/>
        <v>-9.227781075280085E-6</v>
      </c>
      <c r="AJ26" s="84">
        <f t="shared" si="28"/>
        <v>-9227.7810752800851</v>
      </c>
      <c r="AK26" s="77"/>
      <c r="AL26" s="72">
        <f t="shared" si="29"/>
        <v>8.1246721661352548E-10</v>
      </c>
      <c r="AM26" s="84">
        <f t="shared" si="30"/>
        <v>5.0000000000000001E-9</v>
      </c>
      <c r="AN26" s="84">
        <f t="shared" si="31"/>
        <v>2.5278233291770426E-8</v>
      </c>
      <c r="AO26" s="81"/>
      <c r="AP26" s="72">
        <f t="shared" si="32"/>
        <v>-5.6514958475123736E-13</v>
      </c>
      <c r="AQ26" s="72">
        <f t="shared" si="33"/>
        <v>-2.8930818762003435E-10</v>
      </c>
      <c r="AR26" s="72">
        <f t="shared" si="34"/>
        <v>7.2940997056949895E-11</v>
      </c>
      <c r="AS26" s="72">
        <f t="shared" si="35"/>
        <v>1.8014788548238687E-15</v>
      </c>
      <c r="AT26" s="72">
        <f t="shared" si="36"/>
        <v>-2.1693053866898085E-10</v>
      </c>
      <c r="AU26" s="77"/>
      <c r="AV26" s="71">
        <v>-104.11983369265766</v>
      </c>
      <c r="AW26" s="71">
        <v>31028.171351306879</v>
      </c>
    </row>
    <row r="27" spans="1:49" x14ac:dyDescent="0.35">
      <c r="A27" t="s">
        <v>18</v>
      </c>
      <c r="B27" s="31">
        <f>Control!B20</f>
        <v>7.7</v>
      </c>
      <c r="C27" s="4"/>
      <c r="E27" s="71">
        <v>110</v>
      </c>
      <c r="F27" s="71">
        <f t="shared" si="14"/>
        <v>383.15</v>
      </c>
      <c r="G27" s="71">
        <f t="shared" si="15"/>
        <v>950.94714998784377</v>
      </c>
      <c r="H27" s="83">
        <f t="shared" si="0"/>
        <v>0.95095042114749917</v>
      </c>
      <c r="I27" s="83">
        <f t="shared" si="16"/>
        <v>950.95042114749913</v>
      </c>
      <c r="J27" s="72">
        <f t="shared" si="1"/>
        <v>1.0515859956840492E-4</v>
      </c>
      <c r="K27" s="82">
        <f t="shared" si="2"/>
        <v>53.153397428366233</v>
      </c>
      <c r="L27" s="72">
        <f t="shared" si="17"/>
        <v>2.5300183759611978E-4</v>
      </c>
      <c r="M27" s="72">
        <f t="shared" si="3"/>
        <v>3.3352782944498782E-3</v>
      </c>
      <c r="N27" s="83">
        <f t="shared" si="18"/>
        <v>12.143953780229984</v>
      </c>
      <c r="O27" s="71">
        <f t="shared" si="19"/>
        <v>7.1787068656049998E-13</v>
      </c>
      <c r="P27" s="83">
        <f t="shared" si="20"/>
        <v>3.2911747516515613</v>
      </c>
      <c r="Q27" s="72">
        <f t="shared" si="21"/>
        <v>5.114759861406668E-4</v>
      </c>
      <c r="R27" s="72">
        <f t="shared" si="22"/>
        <v>6.1147598614066684E-4</v>
      </c>
      <c r="S27" s="71">
        <f t="shared" si="23"/>
        <v>1.1475743055376022E-8</v>
      </c>
      <c r="T27" s="77"/>
      <c r="U27" s="72">
        <f t="shared" si="4"/>
        <v>21.664926328309676</v>
      </c>
      <c r="V27" s="72">
        <f t="shared" si="5"/>
        <v>6.772545875953899E-2</v>
      </c>
      <c r="W27" s="84">
        <f t="shared" si="6"/>
        <v>3.4305550270455801E-2</v>
      </c>
      <c r="X27" s="85">
        <f t="shared" si="24"/>
        <v>34.305550270455804</v>
      </c>
      <c r="Y27" s="85">
        <f t="shared" si="25"/>
        <v>-34.305550270455804</v>
      </c>
      <c r="Z27" s="77"/>
      <c r="AA27" s="72">
        <f t="shared" si="7"/>
        <v>4.950802732461502E-17</v>
      </c>
      <c r="AB27" s="72">
        <f t="shared" si="8"/>
        <v>1.7482325885234399E-7</v>
      </c>
      <c r="AC27" s="72">
        <f t="shared" si="9"/>
        <v>4.8582325885234401E-7</v>
      </c>
      <c r="AD27" s="72">
        <f t="shared" si="10"/>
        <v>2.0182325885234401E-7</v>
      </c>
      <c r="AE27" s="72">
        <f t="shared" si="11"/>
        <v>3.27823258852344E-7</v>
      </c>
      <c r="AF27" s="72">
        <f t="shared" si="12"/>
        <v>-2.9776577353021342E-10</v>
      </c>
      <c r="AG27" s="72">
        <f t="shared" si="26"/>
        <v>2.4E-9</v>
      </c>
      <c r="AH27" s="72">
        <f t="shared" si="27"/>
        <v>2.1022342759778137E-9</v>
      </c>
      <c r="AI27" s="84">
        <f t="shared" si="13"/>
        <v>-1.0253259313198615E-5</v>
      </c>
      <c r="AJ27" s="84">
        <f t="shared" si="28"/>
        <v>-10253.259313198616</v>
      </c>
      <c r="AK27" s="77"/>
      <c r="AL27" s="72">
        <f t="shared" si="29"/>
        <v>8.2049955825832347E-10</v>
      </c>
      <c r="AM27" s="84">
        <f t="shared" si="30"/>
        <v>5.0000000000000001E-9</v>
      </c>
      <c r="AN27" s="84">
        <f t="shared" si="31"/>
        <v>2.2951486110752044E-8</v>
      </c>
      <c r="AO27" s="81"/>
      <c r="AP27" s="72">
        <f t="shared" si="32"/>
        <v>-6.1380927111343027E-13</v>
      </c>
      <c r="AQ27" s="72">
        <f t="shared" si="33"/>
        <v>-3.5283348477392867E-10</v>
      </c>
      <c r="AR27" s="72">
        <f t="shared" si="34"/>
        <v>7.9889529384296973E-11</v>
      </c>
      <c r="AS27" s="72">
        <f t="shared" si="35"/>
        <v>1.8212911740143079E-15</v>
      </c>
      <c r="AT27" s="72">
        <f t="shared" si="36"/>
        <v>-2.7355594336957109E-10</v>
      </c>
      <c r="AU27" s="77"/>
      <c r="AV27" s="71">
        <v>-105.22455144113852</v>
      </c>
      <c r="AW27" s="71">
        <v>31449.564231128665</v>
      </c>
    </row>
    <row r="28" spans="1:49" x14ac:dyDescent="0.35">
      <c r="A28" t="s">
        <v>17</v>
      </c>
      <c r="B28" s="2">
        <f>10^-B27</f>
        <v>1.9952623149688773E-8</v>
      </c>
      <c r="E28" s="71">
        <v>115</v>
      </c>
      <c r="F28" s="71">
        <f t="shared" si="14"/>
        <v>388.15</v>
      </c>
      <c r="G28" s="71">
        <f t="shared" si="15"/>
        <v>947.07035142167331</v>
      </c>
      <c r="H28" s="83">
        <f t="shared" si="0"/>
        <v>0.94707363307022252</v>
      </c>
      <c r="I28" s="83">
        <f t="shared" si="16"/>
        <v>947.07363307022251</v>
      </c>
      <c r="J28" s="72">
        <f t="shared" si="1"/>
        <v>1.0558906252969953E-4</v>
      </c>
      <c r="K28" s="82">
        <f t="shared" si="2"/>
        <v>51.941811104991231</v>
      </c>
      <c r="L28" s="72">
        <f t="shared" si="17"/>
        <v>2.4249788196468414E-4</v>
      </c>
      <c r="M28" s="72">
        <f t="shared" si="3"/>
        <v>3.4529093514878159E-3</v>
      </c>
      <c r="N28" s="83">
        <f t="shared" si="18"/>
        <v>12.081182455820231</v>
      </c>
      <c r="O28" s="71">
        <f t="shared" si="19"/>
        <v>8.2950220379142061E-13</v>
      </c>
      <c r="P28" s="83">
        <f t="shared" si="20"/>
        <v>3.1986715095053926</v>
      </c>
      <c r="Q28" s="72">
        <f t="shared" si="21"/>
        <v>6.3289037430414605E-4</v>
      </c>
      <c r="R28" s="72">
        <f t="shared" si="22"/>
        <v>7.3289037430414609E-4</v>
      </c>
      <c r="S28" s="71">
        <f t="shared" si="23"/>
        <v>1.0429402300017266E-8</v>
      </c>
      <c r="T28" s="77"/>
      <c r="U28" s="72">
        <f t="shared" si="4"/>
        <v>29.201049065914276</v>
      </c>
      <c r="V28" s="72">
        <f t="shared" si="5"/>
        <v>7.5268093547415343E-2</v>
      </c>
      <c r="W28" s="84">
        <f t="shared" si="6"/>
        <v>3.7101953548546097E-2</v>
      </c>
      <c r="X28" s="85">
        <f t="shared" si="24"/>
        <v>37.101953548546099</v>
      </c>
      <c r="Y28" s="85">
        <f t="shared" si="25"/>
        <v>-37.101953548546099</v>
      </c>
      <c r="Z28" s="77"/>
      <c r="AA28" s="72">
        <f t="shared" si="7"/>
        <v>4.0010521212208152E-17</v>
      </c>
      <c r="AB28" s="72">
        <f t="shared" si="8"/>
        <v>1.7885662780688602E-7</v>
      </c>
      <c r="AC28" s="72">
        <f t="shared" si="9"/>
        <v>4.8985662780688598E-7</v>
      </c>
      <c r="AD28" s="72">
        <f t="shared" si="10"/>
        <v>2.0585662780688601E-7</v>
      </c>
      <c r="AE28" s="72">
        <f t="shared" si="11"/>
        <v>3.3185662780688597E-7</v>
      </c>
      <c r="AF28" s="72">
        <f t="shared" si="12"/>
        <v>-3.5943509153845414E-10</v>
      </c>
      <c r="AG28" s="72">
        <f t="shared" si="26"/>
        <v>2.4E-9</v>
      </c>
      <c r="AH28" s="72">
        <f t="shared" si="27"/>
        <v>2.0405649484720669E-9</v>
      </c>
      <c r="AI28" s="84">
        <f t="shared" si="13"/>
        <v>-1.1095853372424322E-5</v>
      </c>
      <c r="AJ28" s="84">
        <f t="shared" si="28"/>
        <v>-11095.853372424323</v>
      </c>
      <c r="AK28" s="77"/>
      <c r="AL28" s="72">
        <f t="shared" si="29"/>
        <v>8.2882249780209375E-10</v>
      </c>
      <c r="AM28" s="84">
        <f t="shared" si="30"/>
        <v>5.0000000000000001E-9</v>
      </c>
      <c r="AN28" s="84">
        <f t="shared" si="31"/>
        <v>2.0858804600034532E-8</v>
      </c>
      <c r="AO28" s="81"/>
      <c r="AP28" s="72">
        <f t="shared" si="32"/>
        <v>-6.5791148590936715E-13</v>
      </c>
      <c r="AQ28" s="72">
        <f t="shared" si="33"/>
        <v>-4.2127153379852098E-10</v>
      </c>
      <c r="AR28" s="72">
        <f t="shared" si="34"/>
        <v>8.6138169909537334E-11</v>
      </c>
      <c r="AS28" s="72">
        <f t="shared" si="35"/>
        <v>1.8199955903652718E-15</v>
      </c>
      <c r="AT28" s="72">
        <f t="shared" si="36"/>
        <v>-3.3578945537930267E-10</v>
      </c>
      <c r="AU28" s="77"/>
      <c r="AV28" s="71">
        <v>-106.30866120563469</v>
      </c>
      <c r="AW28" s="71">
        <v>31793.078185235907</v>
      </c>
    </row>
    <row r="29" spans="1:49" x14ac:dyDescent="0.35">
      <c r="A29" s="34" t="s">
        <v>23</v>
      </c>
      <c r="B29" s="30">
        <f>Control!B22</f>
        <v>5.0000000000000001E-9</v>
      </c>
      <c r="C29" s="6" t="s">
        <v>9</v>
      </c>
      <c r="E29" s="71">
        <v>120</v>
      </c>
      <c r="F29" s="71">
        <f t="shared" si="14"/>
        <v>393.15</v>
      </c>
      <c r="G29" s="71">
        <f t="shared" si="15"/>
        <v>943.08250706697231</v>
      </c>
      <c r="H29" s="83">
        <f t="shared" si="0"/>
        <v>0.94308579950485605</v>
      </c>
      <c r="I29" s="83">
        <f t="shared" si="16"/>
        <v>943.08579950485603</v>
      </c>
      <c r="J29" s="72">
        <f t="shared" si="1"/>
        <v>1.0603554811687979E-4</v>
      </c>
      <c r="K29" s="82">
        <f t="shared" si="2"/>
        <v>50.752831056616259</v>
      </c>
      <c r="L29" s="72">
        <f t="shared" si="17"/>
        <v>2.3304409663979527E-4</v>
      </c>
      <c r="M29" s="72">
        <f t="shared" si="3"/>
        <v>3.569790408525756E-3</v>
      </c>
      <c r="N29" s="83">
        <f t="shared" si="18"/>
        <v>12.021215727882712</v>
      </c>
      <c r="O29" s="71">
        <f t="shared" si="19"/>
        <v>9.523229973916958E-13</v>
      </c>
      <c r="P29" s="83">
        <f t="shared" si="20"/>
        <v>3.1103012734576732</v>
      </c>
      <c r="Q29" s="72">
        <f t="shared" si="21"/>
        <v>7.7570881470416552E-4</v>
      </c>
      <c r="R29" s="72">
        <f t="shared" si="22"/>
        <v>8.7570881470416557E-4</v>
      </c>
      <c r="S29" s="71">
        <f t="shared" si="23"/>
        <v>9.4918311776441691E-9</v>
      </c>
      <c r="T29" s="77"/>
      <c r="U29" s="72">
        <f t="shared" si="4"/>
        <v>38.920625428386813</v>
      </c>
      <c r="V29" s="72">
        <f t="shared" si="5"/>
        <v>8.2729445160594661E-2</v>
      </c>
      <c r="W29" s="84">
        <f t="shared" si="6"/>
        <v>3.9352562873390631E-2</v>
      </c>
      <c r="X29" s="85">
        <f t="shared" si="24"/>
        <v>39.352562873390632</v>
      </c>
      <c r="Y29" s="85">
        <f t="shared" si="25"/>
        <v>-39.352562873390632</v>
      </c>
      <c r="Z29" s="77"/>
      <c r="AA29" s="72">
        <f t="shared" si="7"/>
        <v>3.2644161140083075E-17</v>
      </c>
      <c r="AB29" s="72">
        <f t="shared" si="8"/>
        <v>1.8264261952169736E-7</v>
      </c>
      <c r="AC29" s="72">
        <f t="shared" si="9"/>
        <v>4.9364261952169738E-7</v>
      </c>
      <c r="AD29" s="72">
        <f t="shared" si="10"/>
        <v>2.0964261952169735E-7</v>
      </c>
      <c r="AE29" s="72">
        <f t="shared" si="11"/>
        <v>3.3564261952169736E-7</v>
      </c>
      <c r="AF29" s="72">
        <f t="shared" si="12"/>
        <v>-4.2620729656192055E-10</v>
      </c>
      <c r="AG29" s="72">
        <f t="shared" si="26"/>
        <v>2.4E-9</v>
      </c>
      <c r="AH29" s="72">
        <f t="shared" si="27"/>
        <v>1.9737927360822405E-9</v>
      </c>
      <c r="AI29" s="84">
        <f t="shared" si="13"/>
        <v>-1.1749371291371996E-5</v>
      </c>
      <c r="AJ29" s="84">
        <f t="shared" si="28"/>
        <v>-11749.371291371996</v>
      </c>
      <c r="AK29" s="77"/>
      <c r="AL29" s="72">
        <f t="shared" si="29"/>
        <v>8.3745148582824533E-10</v>
      </c>
      <c r="AM29" s="84">
        <f t="shared" si="30"/>
        <v>5.0000000000000001E-9</v>
      </c>
      <c r="AN29" s="84">
        <f t="shared" si="31"/>
        <v>1.8983662355288338E-8</v>
      </c>
      <c r="AO29" s="81"/>
      <c r="AP29" s="72">
        <f t="shared" si="32"/>
        <v>-6.9772333817196034E-13</v>
      </c>
      <c r="AQ29" s="72">
        <f t="shared" si="33"/>
        <v>-4.9434978592464402E-10</v>
      </c>
      <c r="AR29" s="72">
        <f t="shared" si="34"/>
        <v>9.1719671397053691E-11</v>
      </c>
      <c r="AS29" s="72">
        <f t="shared" si="35"/>
        <v>1.8027917415141388E-15</v>
      </c>
      <c r="AT29" s="72">
        <f t="shared" si="36"/>
        <v>-4.0332603507402073E-10</v>
      </c>
      <c r="AU29" s="77"/>
      <c r="AV29" s="71">
        <v>-107.37115053951442</v>
      </c>
      <c r="AW29" s="71">
        <v>32057.46748881201</v>
      </c>
    </row>
    <row r="30" spans="1:49" x14ac:dyDescent="0.35">
      <c r="A30" t="s">
        <v>26</v>
      </c>
      <c r="B30" s="30">
        <f>Control!B23</f>
        <v>2.4E-9</v>
      </c>
      <c r="C30" s="2" t="s">
        <v>8</v>
      </c>
      <c r="E30" s="71">
        <v>125</v>
      </c>
      <c r="F30" s="71">
        <f t="shared" si="14"/>
        <v>398.15</v>
      </c>
      <c r="G30" s="71">
        <f t="shared" si="15"/>
        <v>938.98414336096175</v>
      </c>
      <c r="H30" s="83">
        <f t="shared" si="0"/>
        <v>0.93898744688719615</v>
      </c>
      <c r="I30" s="83">
        <f t="shared" si="16"/>
        <v>938.98744688719614</v>
      </c>
      <c r="J30" s="72">
        <f t="shared" si="1"/>
        <v>1.0649835917180736E-4</v>
      </c>
      <c r="K30" s="82">
        <f t="shared" si="2"/>
        <v>49.585399783241272</v>
      </c>
      <c r="L30" s="72">
        <f t="shared" si="17"/>
        <v>2.2453165277215136E-4</v>
      </c>
      <c r="M30" s="72">
        <f t="shared" si="3"/>
        <v>3.6859214655636939E-3</v>
      </c>
      <c r="N30" s="83">
        <f t="shared" si="18"/>
        <v>11.963821329959377</v>
      </c>
      <c r="O30" s="71">
        <f t="shared" si="19"/>
        <v>1.0868726743002748E-12</v>
      </c>
      <c r="P30" s="83">
        <f t="shared" si="20"/>
        <v>3.025721763006703</v>
      </c>
      <c r="Q30" s="72">
        <f t="shared" si="21"/>
        <v>9.424932249528365E-4</v>
      </c>
      <c r="R30" s="72">
        <f t="shared" si="22"/>
        <v>1.0424932249528365E-3</v>
      </c>
      <c r="S30" s="71">
        <f t="shared" si="23"/>
        <v>8.6533493735187676E-9</v>
      </c>
      <c r="T30" s="77"/>
      <c r="U30" s="72">
        <f t="shared" si="4"/>
        <v>51.322398602954934</v>
      </c>
      <c r="V30" s="72">
        <f t="shared" si="5"/>
        <v>9.0110702590338002E-2</v>
      </c>
      <c r="W30" s="84">
        <f t="shared" si="6"/>
        <v>4.1063400070685478E-2</v>
      </c>
      <c r="X30" s="85">
        <f t="shared" si="24"/>
        <v>41.063400070685475</v>
      </c>
      <c r="Y30" s="85">
        <f t="shared" si="25"/>
        <v>-41.063400070685475</v>
      </c>
      <c r="Z30" s="77"/>
      <c r="AA30" s="72">
        <f t="shared" si="7"/>
        <v>2.6867504073204684E-17</v>
      </c>
      <c r="AB30" s="72">
        <f t="shared" si="8"/>
        <v>1.8616134364565036E-7</v>
      </c>
      <c r="AC30" s="72">
        <f t="shared" si="9"/>
        <v>4.9716134364565038E-7</v>
      </c>
      <c r="AD30" s="72">
        <f t="shared" si="10"/>
        <v>2.1316134364565035E-7</v>
      </c>
      <c r="AE30" s="72">
        <f t="shared" si="11"/>
        <v>3.3916134364565036E-7</v>
      </c>
      <c r="AF30" s="72">
        <f t="shared" si="12"/>
        <v>-4.9786302143761332E-10</v>
      </c>
      <c r="AG30" s="72">
        <f t="shared" si="26"/>
        <v>2.4E-9</v>
      </c>
      <c r="AH30" s="72">
        <f t="shared" si="27"/>
        <v>1.9021370054298907E-9</v>
      </c>
      <c r="AI30" s="84">
        <f t="shared" si="13"/>
        <v>-1.2212573691319381E-5</v>
      </c>
      <c r="AJ30" s="84">
        <f t="shared" si="28"/>
        <v>-12212.573691319381</v>
      </c>
      <c r="AK30" s="77"/>
      <c r="AL30" s="72">
        <f t="shared" si="29"/>
        <v>8.4640392969629777E-10</v>
      </c>
      <c r="AM30" s="84">
        <f t="shared" si="30"/>
        <v>5.0000000000000001E-9</v>
      </c>
      <c r="AN30" s="84">
        <f t="shared" si="31"/>
        <v>1.7306698747037535E-8</v>
      </c>
      <c r="AO30" s="81"/>
      <c r="AP30" s="72">
        <f t="shared" si="32"/>
        <v>-7.3347576062338649E-13</v>
      </c>
      <c r="AQ30" s="72">
        <f t="shared" si="33"/>
        <v>-5.7181684424440174E-10</v>
      </c>
      <c r="AR30" s="72">
        <f t="shared" si="34"/>
        <v>9.6670089028971659E-11</v>
      </c>
      <c r="AS30" s="72">
        <f t="shared" si="35"/>
        <v>1.7737419996667707E-15</v>
      </c>
      <c r="AT30" s="72">
        <f t="shared" si="36"/>
        <v>-4.758784572340538E-10</v>
      </c>
      <c r="AU30" s="77"/>
      <c r="AV30" s="71">
        <v>-108.41107598718257</v>
      </c>
      <c r="AW30" s="71">
        <v>32242.294635232716</v>
      </c>
    </row>
    <row r="31" spans="1:49" x14ac:dyDescent="0.35">
      <c r="A31" s="69" t="s">
        <v>141</v>
      </c>
      <c r="B31" s="4" t="str">
        <f>Control!B24</f>
        <v>on</v>
      </c>
      <c r="E31" s="71">
        <v>130</v>
      </c>
      <c r="F31" s="71">
        <f t="shared" si="14"/>
        <v>403.15</v>
      </c>
      <c r="G31" s="71">
        <f t="shared" si="15"/>
        <v>934.77543638776638</v>
      </c>
      <c r="H31" s="83">
        <f t="shared" si="0"/>
        <v>0.93477875130089139</v>
      </c>
      <c r="I31" s="83">
        <f t="shared" si="16"/>
        <v>934.77875130089137</v>
      </c>
      <c r="J31" s="72">
        <f t="shared" si="1"/>
        <v>1.069778544274939E-4</v>
      </c>
      <c r="K31" s="82">
        <f t="shared" si="2"/>
        <v>48.438459784866268</v>
      </c>
      <c r="L31" s="72">
        <f t="shared" si="17"/>
        <v>2.1686406284657001E-4</v>
      </c>
      <c r="M31" s="72">
        <f t="shared" si="3"/>
        <v>3.8013025226016333E-3</v>
      </c>
      <c r="N31" s="83">
        <f t="shared" si="18"/>
        <v>11.908793659323456</v>
      </c>
      <c r="O31" s="71">
        <f t="shared" si="19"/>
        <v>1.2336908414560967E-12</v>
      </c>
      <c r="P31" s="83">
        <f t="shared" si="20"/>
        <v>2.9446299907772904</v>
      </c>
      <c r="Q31" s="72">
        <f t="shared" si="21"/>
        <v>1.1359782316496846E-3</v>
      </c>
      <c r="R31" s="72">
        <f t="shared" si="22"/>
        <v>1.2359782316496847E-3</v>
      </c>
      <c r="S31" s="71">
        <f t="shared" si="23"/>
        <v>7.9039406991626568E-9</v>
      </c>
      <c r="T31" s="77"/>
      <c r="U31" s="72">
        <f t="shared" si="4"/>
        <v>66.987787505330004</v>
      </c>
      <c r="V31" s="72">
        <f t="shared" si="5"/>
        <v>9.7414138788484095E-2</v>
      </c>
      <c r="W31" s="84">
        <f t="shared" si="6"/>
        <v>4.224746901149451E-2</v>
      </c>
      <c r="X31" s="85">
        <f t="shared" si="24"/>
        <v>42.247469011494509</v>
      </c>
      <c r="Y31" s="85">
        <f t="shared" si="25"/>
        <v>-42.247469011494509</v>
      </c>
      <c r="Z31" s="77"/>
      <c r="AA31" s="72">
        <f t="shared" si="7"/>
        <v>2.2291367167165358E-17</v>
      </c>
      <c r="AB31" s="72">
        <f t="shared" si="8"/>
        <v>1.8939591883946381E-7</v>
      </c>
      <c r="AC31" s="72">
        <f t="shared" si="9"/>
        <v>5.0039591883946378E-7</v>
      </c>
      <c r="AD31" s="72">
        <f t="shared" si="10"/>
        <v>2.1639591883946383E-7</v>
      </c>
      <c r="AE31" s="72">
        <f t="shared" si="11"/>
        <v>3.4239591883946382E-7</v>
      </c>
      <c r="AF31" s="72">
        <f t="shared" si="12"/>
        <v>-5.7417777512912226E-10</v>
      </c>
      <c r="AG31" s="72">
        <f t="shared" si="26"/>
        <v>2.4E-9</v>
      </c>
      <c r="AH31" s="72">
        <f t="shared" si="27"/>
        <v>1.8258222471622449E-9</v>
      </c>
      <c r="AI31" s="84">
        <f t="shared" si="13"/>
        <v>-1.2488792140337314E-5</v>
      </c>
      <c r="AJ31" s="84">
        <f t="shared" si="28"/>
        <v>-12488.792140337315</v>
      </c>
      <c r="AK31" s="77"/>
      <c r="AL31" s="72">
        <f t="shared" si="29"/>
        <v>8.5569938683709039E-10</v>
      </c>
      <c r="AM31" s="84">
        <f t="shared" si="30"/>
        <v>5.0000000000000001E-9</v>
      </c>
      <c r="AN31" s="84">
        <f t="shared" si="31"/>
        <v>1.5807881398325314E-8</v>
      </c>
      <c r="AO31" s="81"/>
      <c r="AP31" s="72">
        <f t="shared" si="32"/>
        <v>-7.6537119212571291E-13</v>
      </c>
      <c r="AQ31" s="72">
        <f t="shared" si="33"/>
        <v>-6.5343375609779902E-10</v>
      </c>
      <c r="AR31" s="72">
        <f t="shared" si="34"/>
        <v>1.0102574811347881E-10</v>
      </c>
      <c r="AS31" s="72">
        <f t="shared" si="35"/>
        <v>1.7359928025538336E-15</v>
      </c>
      <c r="AT31" s="72">
        <f t="shared" si="36"/>
        <v>-5.5317164318364336E-10</v>
      </c>
      <c r="AU31" s="77"/>
      <c r="AV31" s="71">
        <v>-109.42757074413717</v>
      </c>
      <c r="AW31" s="71">
        <v>32347.930062104722</v>
      </c>
    </row>
    <row r="32" spans="1:49" x14ac:dyDescent="0.35">
      <c r="A32" t="s">
        <v>45</v>
      </c>
      <c r="B32" s="30">
        <f>Control!B25</f>
        <v>5.0000000000000001E-9</v>
      </c>
      <c r="C32" s="2" t="s">
        <v>39</v>
      </c>
      <c r="E32" s="71">
        <v>135</v>
      </c>
      <c r="F32" s="71">
        <f t="shared" si="14"/>
        <v>408.15</v>
      </c>
      <c r="G32" s="71">
        <f t="shared" si="15"/>
        <v>930.45622488454865</v>
      </c>
      <c r="H32" s="83">
        <f t="shared" si="0"/>
        <v>0.93045955148354031</v>
      </c>
      <c r="I32" s="83">
        <f t="shared" si="16"/>
        <v>930.45955148354028</v>
      </c>
      <c r="J32" s="72">
        <f t="shared" si="1"/>
        <v>1.0747444950319466E-4</v>
      </c>
      <c r="K32" s="82">
        <f t="shared" si="2"/>
        <v>47.310953561491232</v>
      </c>
      <c r="L32" s="72">
        <f t="shared" si="17"/>
        <v>2.0995549662387747E-4</v>
      </c>
      <c r="M32" s="72">
        <f t="shared" si="3"/>
        <v>3.9159335796395715E-3</v>
      </c>
      <c r="N32" s="83">
        <f t="shared" si="18"/>
        <v>11.855950031009247</v>
      </c>
      <c r="O32" s="71">
        <f t="shared" si="19"/>
        <v>1.3933171057981192E-12</v>
      </c>
      <c r="P32" s="83">
        <f t="shared" si="20"/>
        <v>2.8667567422550402</v>
      </c>
      <c r="Q32" s="72">
        <f t="shared" si="21"/>
        <v>1.359074480481874E-3</v>
      </c>
      <c r="R32" s="72">
        <f t="shared" si="22"/>
        <v>1.459074480481874E-3</v>
      </c>
      <c r="S32" s="71">
        <f t="shared" si="23"/>
        <v>7.2339018142871055E-9</v>
      </c>
      <c r="T32" s="77"/>
      <c r="U32" s="72">
        <f t="shared" si="4"/>
        <v>86.589330584497645</v>
      </c>
      <c r="V32" s="72">
        <f t="shared" si="5"/>
        <v>0.10464274524440766</v>
      </c>
      <c r="W32" s="84">
        <f t="shared" si="6"/>
        <v>4.292387958301698E-2</v>
      </c>
      <c r="X32" s="85">
        <f t="shared" si="24"/>
        <v>42.923879583016983</v>
      </c>
      <c r="Y32" s="85">
        <f t="shared" si="25"/>
        <v>-42.923879583016983</v>
      </c>
      <c r="Z32" s="77"/>
      <c r="AA32" s="72">
        <f t="shared" si="7"/>
        <v>1.8632214875754896E-17</v>
      </c>
      <c r="AB32" s="72">
        <f t="shared" si="8"/>
        <v>1.9233263712322404E-7</v>
      </c>
      <c r="AC32" s="72">
        <f t="shared" si="9"/>
        <v>5.0333263712322406E-7</v>
      </c>
      <c r="AD32" s="72">
        <f t="shared" si="10"/>
        <v>2.1933263712322405E-7</v>
      </c>
      <c r="AE32" s="72">
        <f t="shared" si="11"/>
        <v>3.4533263712322404E-7</v>
      </c>
      <c r="AF32" s="72">
        <f t="shared" si="12"/>
        <v>-6.5491989697455363E-10</v>
      </c>
      <c r="AG32" s="72">
        <f t="shared" si="26"/>
        <v>2.4E-9</v>
      </c>
      <c r="AH32" s="72">
        <f t="shared" si="27"/>
        <v>1.7450801216576613E-9</v>
      </c>
      <c r="AI32" s="84">
        <f t="shared" si="13"/>
        <v>-1.2585445504963992E-5</v>
      </c>
      <c r="AJ32" s="84">
        <f t="shared" si="28"/>
        <v>-12585.445504963993</v>
      </c>
      <c r="AK32" s="77"/>
      <c r="AL32" s="72">
        <f t="shared" si="29"/>
        <v>8.6535978328096532E-10</v>
      </c>
      <c r="AM32" s="84">
        <f t="shared" si="30"/>
        <v>5.0000000000000001E-9</v>
      </c>
      <c r="AN32" s="84">
        <f t="shared" si="31"/>
        <v>1.4467803628574211E-8</v>
      </c>
      <c r="AO32" s="81"/>
      <c r="AP32" s="72">
        <f t="shared" si="32"/>
        <v>-7.9359032033493575E-13</v>
      </c>
      <c r="AQ32" s="72">
        <f t="shared" si="33"/>
        <v>-7.3896642734223519E-10</v>
      </c>
      <c r="AR32" s="72">
        <f t="shared" si="34"/>
        <v>1.0482167119674961E-10</v>
      </c>
      <c r="AS32" s="72">
        <f t="shared" si="35"/>
        <v>1.6919680408579307E-15</v>
      </c>
      <c r="AT32" s="72">
        <f t="shared" si="36"/>
        <v>-6.3493665449777974E-10</v>
      </c>
      <c r="AU32" s="77"/>
      <c r="AV32" s="71">
        <v>-110.41985161714079</v>
      </c>
      <c r="AW32" s="71">
        <v>32375.522070013703</v>
      </c>
    </row>
    <row r="33" spans="1:49" x14ac:dyDescent="0.35">
      <c r="A33" t="s">
        <v>31</v>
      </c>
      <c r="B33" s="40">
        <f>Control!B26</f>
        <v>1.2999999999999999E-4</v>
      </c>
      <c r="C33" s="2" t="s">
        <v>9</v>
      </c>
      <c r="E33" s="71">
        <v>140</v>
      </c>
      <c r="F33" s="71">
        <f t="shared" si="14"/>
        <v>413.15</v>
      </c>
      <c r="G33" s="71">
        <f t="shared" si="15"/>
        <v>926.0260212893005</v>
      </c>
      <c r="H33" s="83">
        <f t="shared" si="0"/>
        <v>0.92602935987445401</v>
      </c>
      <c r="I33" s="83">
        <f t="shared" si="16"/>
        <v>926.02935987445403</v>
      </c>
      <c r="J33" s="72">
        <f t="shared" si="1"/>
        <v>1.0798861830800153E-4</v>
      </c>
      <c r="K33" s="82">
        <f t="shared" si="2"/>
        <v>46.201823613116261</v>
      </c>
      <c r="L33" s="72">
        <f t="shared" si="17"/>
        <v>2.0372939645514404E-4</v>
      </c>
      <c r="M33" s="72">
        <f t="shared" si="3"/>
        <v>4.0298146366775107E-3</v>
      </c>
      <c r="N33" s="83">
        <f t="shared" si="18"/>
        <v>11.805127526952067</v>
      </c>
      <c r="O33" s="71">
        <f t="shared" si="19"/>
        <v>1.566291074265293E-12</v>
      </c>
      <c r="P33" s="83">
        <f t="shared" si="20"/>
        <v>2.7918619325073974</v>
      </c>
      <c r="Q33" s="72">
        <f t="shared" si="21"/>
        <v>1.6148718626153816E-3</v>
      </c>
      <c r="R33" s="72">
        <f t="shared" si="22"/>
        <v>1.7148718626153817E-3</v>
      </c>
      <c r="S33" s="71">
        <f t="shared" si="23"/>
        <v>6.6341943423878365E-9</v>
      </c>
      <c r="T33" s="77"/>
      <c r="U33" s="72">
        <f t="shared" si="4"/>
        <v>110.89933067136283</v>
      </c>
      <c r="V33" s="72">
        <f t="shared" si="5"/>
        <v>0.11179994026944935</v>
      </c>
      <c r="W33" s="84">
        <f t="shared" si="6"/>
        <v>4.3117039334509714E-2</v>
      </c>
      <c r="X33" s="85">
        <f t="shared" si="24"/>
        <v>43.117039334509712</v>
      </c>
      <c r="Y33" s="85">
        <f t="shared" si="25"/>
        <v>-43.117039334509712</v>
      </c>
      <c r="Z33" s="77"/>
      <c r="AA33" s="72">
        <f t="shared" si="7"/>
        <v>1.5680886273415324E-17</v>
      </c>
      <c r="AB33" s="72">
        <f t="shared" si="8"/>
        <v>1.9496101055943753E-7</v>
      </c>
      <c r="AC33" s="72">
        <f t="shared" si="9"/>
        <v>5.0596101055943754E-7</v>
      </c>
      <c r="AD33" s="72">
        <f t="shared" si="10"/>
        <v>2.2196101055943754E-7</v>
      </c>
      <c r="AE33" s="72">
        <f t="shared" si="11"/>
        <v>3.4796101055943753E-7</v>
      </c>
      <c r="AF33" s="72">
        <f t="shared" si="12"/>
        <v>-7.3984854186139987E-10</v>
      </c>
      <c r="AG33" s="72">
        <f t="shared" si="26"/>
        <v>2.4E-9</v>
      </c>
      <c r="AH33" s="72">
        <f t="shared" si="27"/>
        <v>1.6601514738194862E-9</v>
      </c>
      <c r="AI33" s="84">
        <f t="shared" si="13"/>
        <v>-1.251348181115915E-5</v>
      </c>
      <c r="AJ33" s="84">
        <f t="shared" si="28"/>
        <v>-12513.481811159148</v>
      </c>
      <c r="AK33" s="77"/>
      <c r="AL33" s="72">
        <f t="shared" si="29"/>
        <v>8.7540966137425979E-10</v>
      </c>
      <c r="AM33" s="84">
        <f t="shared" si="30"/>
        <v>5.0000000000000001E-9</v>
      </c>
      <c r="AN33" s="84">
        <f t="shared" si="31"/>
        <v>1.3268388684775673E-8</v>
      </c>
      <c r="AO33" s="81"/>
      <c r="AP33" s="72">
        <f t="shared" si="32"/>
        <v>-8.1829775007235394E-13</v>
      </c>
      <c r="AQ33" s="72">
        <f t="shared" si="33"/>
        <v>-8.2817970743553473E-10</v>
      </c>
      <c r="AR33" s="72">
        <f t="shared" si="34"/>
        <v>1.0809090040494013E-10</v>
      </c>
      <c r="AS33" s="72">
        <f t="shared" si="35"/>
        <v>1.6435292215983024E-15</v>
      </c>
      <c r="AT33" s="72">
        <f t="shared" si="36"/>
        <v>-7.2090546125144536E-10</v>
      </c>
      <c r="AU33" s="77"/>
      <c r="AV33" s="71">
        <v>-111.38722517163148</v>
      </c>
      <c r="AW33" s="71">
        <v>32326.941310078269</v>
      </c>
    </row>
    <row r="34" spans="1:49" x14ac:dyDescent="0.35">
      <c r="A34" t="s">
        <v>0</v>
      </c>
      <c r="B34" s="39">
        <f>Control!B27</f>
        <v>1.84</v>
      </c>
      <c r="C34" s="2" t="s">
        <v>1</v>
      </c>
      <c r="E34" s="71">
        <v>145</v>
      </c>
      <c r="F34" s="71">
        <f t="shared" si="14"/>
        <v>418.15</v>
      </c>
      <c r="G34" s="71">
        <f t="shared" si="15"/>
        <v>921.4840211658875</v>
      </c>
      <c r="H34" s="83">
        <f t="shared" si="0"/>
        <v>0.92148737203967468</v>
      </c>
      <c r="I34" s="83">
        <f t="shared" si="16"/>
        <v>921.48737203967471</v>
      </c>
      <c r="J34" s="72">
        <f t="shared" si="1"/>
        <v>1.0852089483848501E-4</v>
      </c>
      <c r="K34" s="82">
        <f t="shared" si="2"/>
        <v>45.110012439741297</v>
      </c>
      <c r="L34" s="72">
        <f t="shared" si="17"/>
        <v>1.9811732461264109E-4</v>
      </c>
      <c r="M34" s="72">
        <f t="shared" si="3"/>
        <v>4.14294569371545E-3</v>
      </c>
      <c r="N34" s="83">
        <f t="shared" si="18"/>
        <v>11.756180340872524</v>
      </c>
      <c r="O34" s="71">
        <f t="shared" si="19"/>
        <v>1.753152353796568E-12</v>
      </c>
      <c r="P34" s="83">
        <f t="shared" si="20"/>
        <v>2.7197306934605097</v>
      </c>
      <c r="Q34" s="72">
        <f t="shared" si="21"/>
        <v>1.9066426629102402E-3</v>
      </c>
      <c r="R34" s="72">
        <f t="shared" si="22"/>
        <v>2.00664266291024E-3</v>
      </c>
      <c r="S34" s="71">
        <f t="shared" si="23"/>
        <v>6.0966054884902962E-9</v>
      </c>
      <c r="T34" s="77"/>
      <c r="U34" s="72">
        <f t="shared" si="4"/>
        <v>140.79861646542719</v>
      </c>
      <c r="V34" s="72">
        <f t="shared" si="5"/>
        <v>0.11888934736151298</v>
      </c>
      <c r="W34" s="84">
        <f t="shared" si="6"/>
        <v>4.2855903060267472E-2</v>
      </c>
      <c r="X34" s="85">
        <f t="shared" si="24"/>
        <v>42.855903060267472</v>
      </c>
      <c r="Y34" s="85">
        <f t="shared" si="25"/>
        <v>-42.855903060267472</v>
      </c>
      <c r="Z34" s="77"/>
      <c r="AA34" s="72">
        <f t="shared" si="7"/>
        <v>1.3281288899723018E-17</v>
      </c>
      <c r="AB34" s="72">
        <f t="shared" si="8"/>
        <v>1.9727370962412217E-7</v>
      </c>
      <c r="AC34" s="72">
        <f t="shared" si="9"/>
        <v>5.0827370962412214E-7</v>
      </c>
      <c r="AD34" s="72">
        <f t="shared" si="10"/>
        <v>2.2427370962412219E-7</v>
      </c>
      <c r="AE34" s="72">
        <f t="shared" si="11"/>
        <v>3.5027370962412218E-7</v>
      </c>
      <c r="AF34" s="72">
        <f t="shared" si="12"/>
        <v>-8.2871211115772417E-10</v>
      </c>
      <c r="AG34" s="72">
        <f t="shared" si="26"/>
        <v>2.4E-9</v>
      </c>
      <c r="AH34" s="72">
        <f t="shared" si="27"/>
        <v>1.5712879021235648E-9</v>
      </c>
      <c r="AI34" s="84">
        <f t="shared" si="13"/>
        <v>-1.2286770059309115E-5</v>
      </c>
      <c r="AJ34" s="84">
        <f t="shared" si="28"/>
        <v>-12286.770059309114</v>
      </c>
      <c r="AK34" s="77"/>
      <c r="AL34" s="72">
        <f t="shared" si="29"/>
        <v>8.8587646141115347E-10</v>
      </c>
      <c r="AM34" s="84">
        <f t="shared" si="30"/>
        <v>5.0000000000000001E-9</v>
      </c>
      <c r="AN34" s="84">
        <f t="shared" si="31"/>
        <v>1.2193210976980592E-8</v>
      </c>
      <c r="AO34" s="81"/>
      <c r="AP34" s="72">
        <f t="shared" si="32"/>
        <v>-8.3964653170781769E-13</v>
      </c>
      <c r="AQ34" s="72">
        <f t="shared" si="33"/>
        <v>-9.2083312345432408E-10</v>
      </c>
      <c r="AR34" s="72">
        <f t="shared" si="34"/>
        <v>1.1086432292962354E-10</v>
      </c>
      <c r="AS34" s="72">
        <f t="shared" si="35"/>
        <v>1.5921036457745503E-15</v>
      </c>
      <c r="AT34" s="72">
        <f t="shared" si="36"/>
        <v>-8.1080685495276268E-10</v>
      </c>
      <c r="AU34" s="77"/>
      <c r="AV34" s="71">
        <v>-112.32909297185427</v>
      </c>
      <c r="AW34" s="71">
        <v>32204.705072155717</v>
      </c>
    </row>
    <row r="35" spans="1:49" x14ac:dyDescent="0.35">
      <c r="A35" t="s">
        <v>2</v>
      </c>
      <c r="B35" s="3">
        <f>$B$36^-$B$34</f>
        <v>21.237010131998339</v>
      </c>
      <c r="C35" s="2" t="s">
        <v>1</v>
      </c>
      <c r="E35" s="71">
        <v>150</v>
      </c>
      <c r="F35" s="71">
        <f t="shared" si="14"/>
        <v>423.15</v>
      </c>
      <c r="G35" s="71">
        <f t="shared" si="15"/>
        <v>916.82911127778289</v>
      </c>
      <c r="H35" s="83">
        <f t="shared" si="0"/>
        <v>0.91683247474568752</v>
      </c>
      <c r="I35" s="83">
        <f t="shared" si="16"/>
        <v>916.83247474568748</v>
      </c>
      <c r="J35" s="72">
        <f t="shared" si="1"/>
        <v>1.0907187536499291E-4</v>
      </c>
      <c r="K35" s="82">
        <f t="shared" si="2"/>
        <v>44.034462541366224</v>
      </c>
      <c r="L35" s="72">
        <f t="shared" si="17"/>
        <v>1.9305799264118822E-4</v>
      </c>
      <c r="M35" s="72">
        <f t="shared" si="3"/>
        <v>4.2553267507533877E-3</v>
      </c>
      <c r="N35" s="83">
        <f t="shared" si="18"/>
        <v>11.708977535066271</v>
      </c>
      <c r="O35" s="71">
        <f t="shared" si="19"/>
        <v>1.9544405513308934E-12</v>
      </c>
      <c r="P35" s="83">
        <f t="shared" si="20"/>
        <v>2.6501700681824492</v>
      </c>
      <c r="Q35" s="72">
        <f t="shared" si="21"/>
        <v>2.2378446349208066E-3</v>
      </c>
      <c r="R35" s="72">
        <f t="shared" si="22"/>
        <v>2.3378446349208064E-3</v>
      </c>
      <c r="S35" s="71">
        <f t="shared" si="23"/>
        <v>5.613791634627082E-9</v>
      </c>
      <c r="T35" s="77"/>
      <c r="U35" s="72">
        <f t="shared" si="4"/>
        <v>177.28532040949864</v>
      </c>
      <c r="V35" s="72">
        <f t="shared" si="5"/>
        <v>0.12591463296098876</v>
      </c>
      <c r="W35" s="84">
        <f t="shared" si="6"/>
        <v>4.2173265396620724E-2</v>
      </c>
      <c r="X35" s="85">
        <f t="shared" si="24"/>
        <v>42.173265396620721</v>
      </c>
      <c r="Y35" s="85">
        <f t="shared" si="25"/>
        <v>-42.173265396620721</v>
      </c>
      <c r="Z35" s="77"/>
      <c r="AA35" s="72">
        <f t="shared" si="7"/>
        <v>1.1315673327445531E-17</v>
      </c>
      <c r="AB35" s="72">
        <f t="shared" si="8"/>
        <v>1.9926640737619576E-7</v>
      </c>
      <c r="AC35" s="72">
        <f t="shared" si="9"/>
        <v>5.1026640737619573E-7</v>
      </c>
      <c r="AD35" s="72">
        <f t="shared" si="10"/>
        <v>2.2626640737619578E-7</v>
      </c>
      <c r="AE35" s="72">
        <f t="shared" si="11"/>
        <v>3.5226640737619577E-7</v>
      </c>
      <c r="AF35" s="72">
        <f t="shared" si="12"/>
        <v>-9.2124721767541808E-10</v>
      </c>
      <c r="AG35" s="72">
        <f t="shared" si="26"/>
        <v>2.4E-9</v>
      </c>
      <c r="AH35" s="72">
        <f t="shared" si="27"/>
        <v>1.4787527936402551E-9</v>
      </c>
      <c r="AI35" s="84">
        <f t="shared" si="13"/>
        <v>-1.1921465425465536E-5</v>
      </c>
      <c r="AJ35" s="84">
        <f t="shared" si="28"/>
        <v>-11921.465425465536</v>
      </c>
      <c r="AK35" s="77"/>
      <c r="AL35" s="72">
        <f t="shared" si="29"/>
        <v>8.9679084284498047E-10</v>
      </c>
      <c r="AM35" s="84">
        <f t="shared" si="30"/>
        <v>5.0000000000000001E-9</v>
      </c>
      <c r="AN35" s="84">
        <f t="shared" si="31"/>
        <v>1.1227583269254164E-8</v>
      </c>
      <c r="AO35" s="81"/>
      <c r="AP35" s="72">
        <f t="shared" si="32"/>
        <v>-8.5778157507493175E-13</v>
      </c>
      <c r="AQ35" s="72">
        <f t="shared" si="33"/>
        <v>-1.016677993568148E-9</v>
      </c>
      <c r="AR35" s="72">
        <f t="shared" si="34"/>
        <v>1.1317074807652456E-10</v>
      </c>
      <c r="AS35" s="72">
        <f t="shared" si="35"/>
        <v>1.5387847327274624E-15</v>
      </c>
      <c r="AT35" s="72">
        <f t="shared" si="36"/>
        <v>-9.0436348828196562E-10</v>
      </c>
      <c r="AU35" s="77"/>
      <c r="AV35" s="71">
        <v>-113.24495584042455</v>
      </c>
      <c r="AW35" s="71">
        <v>32011.887011522504</v>
      </c>
    </row>
    <row r="36" spans="1:49" x14ac:dyDescent="0.35">
      <c r="A36" t="s">
        <v>32</v>
      </c>
      <c r="B36" s="38">
        <f>Control!B29</f>
        <v>0.19</v>
      </c>
      <c r="C36" s="2" t="s">
        <v>1</v>
      </c>
      <c r="Z36" s="86"/>
    </row>
    <row r="37" spans="1:49" x14ac:dyDescent="0.35">
      <c r="A37" t="s">
        <v>44</v>
      </c>
      <c r="B37" s="37">
        <f>Control!B30</f>
        <v>-9.4999999999999998E-3</v>
      </c>
      <c r="C37" s="2" t="s">
        <v>5</v>
      </c>
      <c r="G37" s="71">
        <f>100*(G35-G5)/G5</f>
        <v>-8.3023732370787968</v>
      </c>
      <c r="H37" s="71">
        <f t="shared" ref="H37:AT37" si="37">100*(H35-H5)/H5</f>
        <v>-8.3023247103743376</v>
      </c>
      <c r="I37" s="71">
        <f t="shared" si="37"/>
        <v>-8.3023247103743483</v>
      </c>
      <c r="J37" s="71">
        <f t="shared" si="37"/>
        <v>9.0540764577736308</v>
      </c>
      <c r="K37" s="71">
        <f t="shared" si="37"/>
        <v>-49.771375717514182</v>
      </c>
      <c r="L37" s="71">
        <f t="shared" si="37"/>
        <v>-89.124366269221994</v>
      </c>
      <c r="M37" s="71">
        <f t="shared" si="37"/>
        <v>663.08878380583735</v>
      </c>
      <c r="N37" s="71">
        <f t="shared" si="37"/>
        <v>-22.738700343636562</v>
      </c>
      <c r="O37" s="71">
        <f t="shared" si="37"/>
        <v>279191.77864706103</v>
      </c>
      <c r="P37" s="71">
        <f t="shared" si="37"/>
        <v>-65.708990261428923</v>
      </c>
      <c r="Q37" s="71">
        <f t="shared" si="37"/>
        <v>11975546.369050944</v>
      </c>
      <c r="R37" s="71">
        <f t="shared" si="37"/>
        <v>2237.4078521818683</v>
      </c>
      <c r="S37" s="71">
        <f t="shared" si="37"/>
        <v>-81.754533892338102</v>
      </c>
      <c r="U37" s="71">
        <f t="shared" si="37"/>
        <v>51044819.546508908</v>
      </c>
      <c r="V37" s="71">
        <f t="shared" si="37"/>
        <v>-200.70098493563162</v>
      </c>
      <c r="W37" s="71">
        <f t="shared" si="37"/>
        <v>-136.42414493280927</v>
      </c>
      <c r="X37" s="71">
        <f t="shared" si="37"/>
        <v>-136.42414493280927</v>
      </c>
      <c r="AA37" s="71">
        <f t="shared" si="37"/>
        <v>-99.999160661481909</v>
      </c>
      <c r="AB37" s="71">
        <f t="shared" si="37"/>
        <v>174.53499445744916</v>
      </c>
      <c r="AC37" s="71">
        <f t="shared" si="37"/>
        <v>33.026250274031106</v>
      </c>
      <c r="AD37" s="71">
        <f t="shared" si="37"/>
        <v>127.21333050825592</v>
      </c>
      <c r="AE37" s="71">
        <f t="shared" si="37"/>
        <v>56.158054879027546</v>
      </c>
      <c r="AF37" s="71">
        <f t="shared" si="37"/>
        <v>-278.72005807926149</v>
      </c>
      <c r="AG37" s="71">
        <f t="shared" si="37"/>
        <v>0</v>
      </c>
      <c r="AH37" s="71">
        <f t="shared" si="37"/>
        <v>-49.302527206561372</v>
      </c>
      <c r="AI37" s="71">
        <f t="shared" si="37"/>
        <v>-181.11491316415942</v>
      </c>
      <c r="AJ37" s="71">
        <f t="shared" si="37"/>
        <v>-181.11491316415942</v>
      </c>
      <c r="AL37" s="71">
        <f t="shared" si="37"/>
        <v>28.515519540740605</v>
      </c>
      <c r="AM37" s="71">
        <f t="shared" si="37"/>
        <v>0</v>
      </c>
      <c r="AN37" s="71">
        <f t="shared" si="37"/>
        <v>-81.754533892338102</v>
      </c>
      <c r="AP37" s="71">
        <f t="shared" si="37"/>
        <v>-115.05036857757749</v>
      </c>
      <c r="AQ37" s="71">
        <f t="shared" si="37"/>
        <v>-180741.89811680539</v>
      </c>
      <c r="AR37" s="71">
        <f t="shared" si="37"/>
        <v>-305.90496754915358</v>
      </c>
      <c r="AS37" s="71">
        <f t="shared" si="37"/>
        <v>-103.30032413991229</v>
      </c>
      <c r="AT37" s="71">
        <f t="shared" si="37"/>
        <v>1755.2181011442535</v>
      </c>
      <c r="AV37" s="71">
        <v>44.748541157364187</v>
      </c>
      <c r="AW37" s="71">
        <v>222.34840931402226</v>
      </c>
    </row>
    <row r="38" spans="1:49" x14ac:dyDescent="0.35">
      <c r="B38" s="37">
        <v>-9.4999999999999998E-3</v>
      </c>
      <c r="C38" s="6"/>
      <c r="G38" s="71" t="str">
        <f>G1</f>
        <v>Density water</v>
      </c>
      <c r="H38" s="71" t="str">
        <f t="shared" ref="H38:AT38" si="38">H1</f>
        <v>Density Soln</v>
      </c>
      <c r="I38" s="71" t="str">
        <f t="shared" si="38"/>
        <v>Density Soln</v>
      </c>
      <c r="J38" s="71" t="str">
        <f t="shared" si="38"/>
        <v>Molality</v>
      </c>
      <c r="K38" s="71" t="str">
        <f t="shared" si="38"/>
        <v>RelPerm Soln</v>
      </c>
      <c r="L38" s="71" t="str">
        <f t="shared" si="38"/>
        <v>Visc Soln</v>
      </c>
      <c r="M38" s="71" t="str">
        <f t="shared" si="38"/>
        <v>Condy Soln</v>
      </c>
      <c r="N38" s="71" t="str">
        <f t="shared" si="38"/>
        <v>pKw</v>
      </c>
      <c r="O38" s="71" t="str">
        <f t="shared" si="38"/>
        <v>Kw</v>
      </c>
      <c r="P38" s="71" t="str">
        <f t="shared" si="38"/>
        <v>pH</v>
      </c>
      <c r="Q38" s="71" t="str">
        <f t="shared" si="38"/>
        <v>[H+]</v>
      </c>
      <c r="R38" s="71" t="str">
        <f t="shared" si="38"/>
        <v>Ionic Conc</v>
      </c>
      <c r="S38" s="71" t="str">
        <f t="shared" si="38"/>
        <v>Debye Length</v>
      </c>
      <c r="U38" s="71" t="str">
        <f t="shared" si="38"/>
        <v>Theta2</v>
      </c>
      <c r="V38" s="71" t="str">
        <f t="shared" si="38"/>
        <v>SternPot</v>
      </c>
      <c r="W38" s="71" t="str">
        <f t="shared" si="38"/>
        <v>Zeta Pot</v>
      </c>
      <c r="X38" s="71" t="str">
        <f t="shared" si="38"/>
        <v>Zeta Pot</v>
      </c>
      <c r="AA38" s="71" t="str">
        <f t="shared" si="38"/>
        <v>SurfConStern</v>
      </c>
      <c r="AB38" s="71" t="str">
        <f t="shared" si="38"/>
        <v>EffMobNa</v>
      </c>
      <c r="AC38" s="71" t="str">
        <f t="shared" si="38"/>
        <v>EffMobHyd</v>
      </c>
      <c r="AD38" s="71" t="str">
        <f t="shared" si="38"/>
        <v>EffMobCl</v>
      </c>
      <c r="AE38" s="71" t="str">
        <f t="shared" si="38"/>
        <v>EffMobOH</v>
      </c>
      <c r="AF38" s="71" t="str">
        <f t="shared" si="38"/>
        <v>SurfConEDL</v>
      </c>
      <c r="AG38" s="71" t="str">
        <f t="shared" si="38"/>
        <v>SurfConProt</v>
      </c>
      <c r="AH38" s="71" t="str">
        <f t="shared" si="38"/>
        <v>TotSurfCon</v>
      </c>
      <c r="AI38" s="71" t="str">
        <f t="shared" si="38"/>
        <v>Cs</v>
      </c>
      <c r="AJ38" s="71" t="str">
        <f t="shared" si="38"/>
        <v>Cs</v>
      </c>
      <c r="AL38" s="71" t="str">
        <f t="shared" si="38"/>
        <v>Bjerrum</v>
      </c>
      <c r="AM38" s="71" t="str">
        <f t="shared" si="38"/>
        <v>Shear Plane</v>
      </c>
      <c r="AN38" s="71" t="str">
        <f t="shared" si="38"/>
        <v>Twice Debye</v>
      </c>
      <c r="AP38" s="71" t="str">
        <f t="shared" si="38"/>
        <v>SurfConEDLNa</v>
      </c>
      <c r="AQ38" s="71" t="str">
        <f t="shared" si="38"/>
        <v>SurfConEDLH</v>
      </c>
      <c r="AR38" s="71" t="str">
        <f t="shared" si="38"/>
        <v>SurfConEDLCl</v>
      </c>
      <c r="AS38" s="71" t="str">
        <f t="shared" si="38"/>
        <v>SurfConEDLOH</v>
      </c>
      <c r="AT38" s="71" t="str">
        <f t="shared" si="38"/>
        <v>SurfConEDL</v>
      </c>
      <c r="AV38" s="71" t="s">
        <v>110</v>
      </c>
      <c r="AW38" s="71" t="s">
        <v>10</v>
      </c>
    </row>
    <row r="39" spans="1:49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Z39" s="86"/>
    </row>
    <row r="40" spans="1:49" x14ac:dyDescent="0.35">
      <c r="B40" s="6"/>
      <c r="C40" s="6"/>
      <c r="O40" s="71" t="s">
        <v>145</v>
      </c>
      <c r="P40" s="84">
        <v>1E-4</v>
      </c>
    </row>
    <row r="41" spans="1:49" x14ac:dyDescent="0.35">
      <c r="C41" s="6"/>
      <c r="O41" s="71" t="s">
        <v>146</v>
      </c>
      <c r="P41" s="90">
        <f>Control!B41</f>
        <v>7.5</v>
      </c>
    </row>
    <row r="42" spans="1:49" x14ac:dyDescent="0.35">
      <c r="C42" s="6"/>
      <c r="O42" s="71" t="s">
        <v>147</v>
      </c>
      <c r="P42" s="90">
        <f>Control!B42</f>
        <v>1</v>
      </c>
    </row>
    <row r="43" spans="1:49" x14ac:dyDescent="0.35">
      <c r="C43" s="6"/>
      <c r="O43" s="71" t="s">
        <v>148</v>
      </c>
      <c r="P43" s="90">
        <f>Control!B43</f>
        <v>0.32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V45"/>
  <sheetViews>
    <sheetView zoomScale="115" zoomScaleNormal="115" workbookViewId="0">
      <selection activeCell="G5" sqref="G5:G35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2.453125" customWidth="1"/>
    <col min="5" max="10" width="15.453125" style="2" customWidth="1"/>
    <col min="11" max="11" width="15.453125" style="41" customWidth="1"/>
    <col min="12" max="12" width="15.453125" style="2" customWidth="1"/>
    <col min="13" max="13" width="15.453125" style="5" customWidth="1"/>
    <col min="14" max="24" width="15.453125" style="2" customWidth="1"/>
    <col min="25" max="25" width="15.453125" style="6" customWidth="1"/>
    <col min="26" max="48" width="15.453125" style="2" customWidth="1"/>
  </cols>
  <sheetData>
    <row r="1" spans="1:48" ht="18.5" x14ac:dyDescent="0.45">
      <c r="A1" s="7" t="s">
        <v>33</v>
      </c>
      <c r="B1" s="8"/>
      <c r="C1" s="52">
        <v>1</v>
      </c>
      <c r="E1" s="44" t="s">
        <v>102</v>
      </c>
      <c r="F1" s="44" t="s">
        <v>102</v>
      </c>
      <c r="G1" s="44" t="s">
        <v>97</v>
      </c>
      <c r="H1" s="44" t="s">
        <v>101</v>
      </c>
      <c r="I1" s="44" t="s">
        <v>101</v>
      </c>
      <c r="J1" s="44" t="s">
        <v>103</v>
      </c>
      <c r="K1" s="45" t="s">
        <v>104</v>
      </c>
      <c r="L1" s="44" t="s">
        <v>105</v>
      </c>
      <c r="M1" s="46" t="s">
        <v>106</v>
      </c>
      <c r="N1" s="44" t="s">
        <v>43</v>
      </c>
      <c r="O1" s="44" t="s">
        <v>58</v>
      </c>
      <c r="P1" s="44" t="s">
        <v>16</v>
      </c>
      <c r="Q1" s="44" t="s">
        <v>108</v>
      </c>
      <c r="R1" s="44" t="s">
        <v>107</v>
      </c>
      <c r="S1" s="44" t="s">
        <v>28</v>
      </c>
      <c r="T1" s="53"/>
      <c r="U1" s="44" t="s">
        <v>46</v>
      </c>
      <c r="V1" s="44" t="s">
        <v>109</v>
      </c>
      <c r="W1" s="44" t="s">
        <v>110</v>
      </c>
      <c r="X1" s="44" t="s">
        <v>110</v>
      </c>
      <c r="Y1" s="54"/>
      <c r="Z1" s="44" t="s">
        <v>25</v>
      </c>
      <c r="AA1" s="44" t="s">
        <v>38</v>
      </c>
      <c r="AB1" s="44" t="s">
        <v>40</v>
      </c>
      <c r="AC1" s="44" t="s">
        <v>41</v>
      </c>
      <c r="AD1" s="44" t="s">
        <v>42</v>
      </c>
      <c r="AE1" s="44" t="s">
        <v>27</v>
      </c>
      <c r="AF1" s="44" t="s">
        <v>26</v>
      </c>
      <c r="AG1" s="44" t="s">
        <v>29</v>
      </c>
      <c r="AH1" s="44" t="s">
        <v>10</v>
      </c>
      <c r="AI1" s="44" t="s">
        <v>10</v>
      </c>
      <c r="AJ1" s="54"/>
      <c r="AK1" s="55" t="s">
        <v>90</v>
      </c>
      <c r="AL1" s="44" t="s">
        <v>91</v>
      </c>
      <c r="AM1" s="44" t="s">
        <v>131</v>
      </c>
      <c r="AN1" s="87"/>
      <c r="AO1" s="44" t="s">
        <v>47</v>
      </c>
      <c r="AP1" s="44" t="s">
        <v>48</v>
      </c>
      <c r="AQ1" s="44" t="s">
        <v>49</v>
      </c>
      <c r="AR1" s="44" t="s">
        <v>50</v>
      </c>
      <c r="AS1" s="44" t="s">
        <v>27</v>
      </c>
      <c r="AT1" s="54"/>
      <c r="AU1" s="2" t="s">
        <v>110</v>
      </c>
      <c r="AV1" s="2" t="s">
        <v>10</v>
      </c>
    </row>
    <row r="2" spans="1:48" x14ac:dyDescent="0.35">
      <c r="B2" s="4"/>
      <c r="E2" s="44" t="s">
        <v>96</v>
      </c>
      <c r="F2" s="44" t="s">
        <v>11</v>
      </c>
      <c r="G2" s="44" t="s">
        <v>98</v>
      </c>
      <c r="H2" s="44" t="s">
        <v>93</v>
      </c>
      <c r="I2" s="44" t="s">
        <v>98</v>
      </c>
      <c r="J2" s="44" t="s">
        <v>94</v>
      </c>
      <c r="K2" s="45" t="s">
        <v>1</v>
      </c>
      <c r="L2" s="44" t="s">
        <v>6</v>
      </c>
      <c r="M2" s="46" t="s">
        <v>7</v>
      </c>
      <c r="N2" s="44" t="s">
        <v>1</v>
      </c>
      <c r="O2" s="44" t="s">
        <v>1</v>
      </c>
      <c r="P2" s="44" t="s">
        <v>1</v>
      </c>
      <c r="Q2" s="44" t="s">
        <v>1</v>
      </c>
      <c r="R2" s="44" t="s">
        <v>100</v>
      </c>
      <c r="S2" s="44" t="s">
        <v>9</v>
      </c>
      <c r="T2" s="53"/>
      <c r="U2" s="44" t="s">
        <v>1</v>
      </c>
      <c r="V2" s="44" t="s">
        <v>5</v>
      </c>
      <c r="W2" s="44" t="s">
        <v>5</v>
      </c>
      <c r="X2" s="44" t="s">
        <v>111</v>
      </c>
      <c r="Y2" s="54"/>
      <c r="Z2" s="44" t="s">
        <v>8</v>
      </c>
      <c r="AA2" s="44" t="s">
        <v>39</v>
      </c>
      <c r="AB2" s="44" t="s">
        <v>39</v>
      </c>
      <c r="AC2" s="44" t="s">
        <v>39</v>
      </c>
      <c r="AD2" s="44" t="s">
        <v>39</v>
      </c>
      <c r="AE2" s="44" t="s">
        <v>8</v>
      </c>
      <c r="AF2" s="44" t="s">
        <v>8</v>
      </c>
      <c r="AG2" s="44" t="s">
        <v>8</v>
      </c>
      <c r="AH2" s="44" t="s">
        <v>30</v>
      </c>
      <c r="AI2" s="44" t="s">
        <v>130</v>
      </c>
      <c r="AJ2" s="54"/>
      <c r="AK2" s="56" t="s">
        <v>9</v>
      </c>
      <c r="AL2" s="56" t="s">
        <v>9</v>
      </c>
      <c r="AM2" s="56" t="s">
        <v>9</v>
      </c>
      <c r="AN2" s="87"/>
      <c r="AO2" s="44" t="s">
        <v>8</v>
      </c>
      <c r="AP2" s="44" t="s">
        <v>8</v>
      </c>
      <c r="AQ2" s="44" t="s">
        <v>8</v>
      </c>
      <c r="AR2" s="44" t="s">
        <v>8</v>
      </c>
      <c r="AS2" s="44" t="s">
        <v>8</v>
      </c>
      <c r="AT2" s="54"/>
      <c r="AU2" s="2" t="s">
        <v>111</v>
      </c>
      <c r="AV2" s="2" t="s">
        <v>130</v>
      </c>
    </row>
    <row r="3" spans="1:48" x14ac:dyDescent="0.35">
      <c r="B3" s="4"/>
      <c r="E3" s="44"/>
      <c r="F3" s="44"/>
      <c r="G3" s="44"/>
      <c r="H3" s="44"/>
      <c r="I3" s="44"/>
      <c r="J3" s="44"/>
      <c r="K3" s="45"/>
      <c r="L3" s="44"/>
      <c r="M3" s="46"/>
      <c r="N3" s="44"/>
      <c r="O3" s="44"/>
      <c r="P3" s="44"/>
      <c r="Q3" s="44"/>
      <c r="R3" s="44"/>
      <c r="S3" s="44"/>
      <c r="T3" s="53"/>
      <c r="U3" s="44"/>
      <c r="V3" s="44"/>
      <c r="W3" s="44"/>
      <c r="X3" s="44"/>
      <c r="Y3" s="54"/>
      <c r="Z3" s="44"/>
      <c r="AA3" s="44"/>
      <c r="AB3" s="44"/>
      <c r="AC3" s="44"/>
      <c r="AD3" s="44"/>
      <c r="AE3" s="2" t="s">
        <v>128</v>
      </c>
      <c r="AJ3" s="54"/>
      <c r="AL3" s="56"/>
      <c r="AM3" s="56"/>
      <c r="AN3" s="88"/>
      <c r="AT3" s="54"/>
    </row>
    <row r="4" spans="1:48" x14ac:dyDescent="0.35">
      <c r="B4" s="4"/>
      <c r="T4" s="54"/>
      <c r="Y4" s="54"/>
      <c r="AJ4" s="54"/>
      <c r="AK4" s="5"/>
      <c r="AN4" s="88"/>
      <c r="AO4" s="5"/>
      <c r="AT4" s="54"/>
    </row>
    <row r="5" spans="1:48" x14ac:dyDescent="0.35">
      <c r="A5" t="s">
        <v>99</v>
      </c>
      <c r="B5" s="4">
        <v>1E-3</v>
      </c>
      <c r="C5" s="2" t="s">
        <v>100</v>
      </c>
      <c r="E5" s="2">
        <v>0</v>
      </c>
      <c r="F5" s="2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42">
        <f t="shared" ref="H5:H35" si="0">(($B$5*58.44)+(($G5/1000)*(1000-($B$5*58.44/2.16))))/1000</f>
        <v>0.99987090878632001</v>
      </c>
      <c r="I5" s="42">
        <f>H5*1000</f>
        <v>999.87090878632</v>
      </c>
      <c r="J5" s="5">
        <f t="shared" ref="J5:J35" si="1">$B$5/($H5-($B$5*58.44/1000))</f>
        <v>1.0001875663882324E-3</v>
      </c>
      <c r="K5" s="41">
        <f t="shared" ref="K5:K35" si="2">(295.68-1.2283*$F5+0.002094*$F5^2-0.00000141*$F5^3)-13*$B$5+1.065*$B$5^2-0.03006*$B$5^3</f>
        <v>87.656365171936201</v>
      </c>
      <c r="L5" s="5">
        <f>(0.0495166+0.6034658*EXP(-0.06653081*$E5)+0.09703832*EXP(0.1447269*$J5)+1.025107*EXP(-0.02062455*$E5+0.1301095*$J5))*0.001</f>
        <v>1.77527517756262E-3</v>
      </c>
      <c r="M5" s="5">
        <f t="shared" ref="M5:M35" si="3">((5.6+0.27*$E5-0.00015*$E5^2)*$B$5)-((2.36+0.099*$E5)*($B$5^(3/2))/(1+0.214*SQRT($B$5)))</f>
        <v>5.5258718924492125E-3</v>
      </c>
      <c r="N5" s="42">
        <f>-LOG10(6.997844909E-16 + 5.017799566E-16*$E5 - 2.443366453E-17*$E5^2 + 7.194759186E-19*$E5^3)</f>
        <v>15.155035686876243</v>
      </c>
      <c r="O5" s="2">
        <f>10^(-1*$N5)</f>
        <v>6.9978449090000084E-16</v>
      </c>
      <c r="P5" s="83">
        <f>IF($B$31="on",$P$41+($P$41-$N5/2)*LN(P$40/$P$42)*$P$43,7)</f>
        <v>7.671351773511998</v>
      </c>
      <c r="Q5" s="5">
        <f>10^(-1*P5)</f>
        <v>2.1313178709511425E-8</v>
      </c>
      <c r="R5" s="5">
        <f t="shared" ref="R5:R35" si="4">(2*$B$5+2*$Q5)/2</f>
        <v>1.0000213131787096E-3</v>
      </c>
      <c r="S5" s="2">
        <f t="shared" ref="S5:S35" si="5">(($K5*$B$17*$F5*$B$18)/(2*$B$19*$B$20^2*$R5*1000))^0.5</f>
        <v>9.7298981181998271E-9</v>
      </c>
      <c r="T5" s="54"/>
      <c r="U5" s="5">
        <f>((10^-$P5+$B$5*$B$26)*SQRT(8000*$B$19*$B$17*$K5*$B$18*$F5)/(2*$B$20*$B$22*$B$28))*(($B$23+$B$24+$B$5+(10^-$P5)+10^($P5-$N5))/SQRT($R5))</f>
        <v>1.2537030275546162E-3</v>
      </c>
      <c r="V5" s="5">
        <f t="shared" ref="V5:V35" si="6">(2*$B$18*$F5*LN($U5))/(3*$B$20)</f>
        <v>-0.10488782377381374</v>
      </c>
      <c r="W5" s="4">
        <f t="shared" ref="W5:W35" si="7">$V5*EXP(-$B$29/$S5)+$B$37</f>
        <v>-7.2240767686273466E-2</v>
      </c>
      <c r="X5" s="3">
        <f>W5*1000</f>
        <v>-72.240767686273472</v>
      </c>
      <c r="Y5" s="54"/>
      <c r="Z5" s="5">
        <f t="shared" ref="Z5:Z35" si="8">($B$20*$B$32*$B$22*$B$26*$B$5)/(10^-$P5+$B$28*$U5^(2/3)+$B$26*$B$5)</f>
        <v>1.173939504855316E-11</v>
      </c>
      <c r="AA5" s="5">
        <f t="shared" ref="AA5:AA35" si="9">$B$6+((2*$B$17*$K5*$B$18*$F5)/($L5*$B$20*1))</f>
        <v>7.2578959632320062E-8</v>
      </c>
      <c r="AB5" s="5">
        <f t="shared" ref="AB5:AB35" si="10">$B$7+((2*$B$17*$K5*$B$18*$F5)/($L5*$B$20*1))</f>
        <v>3.8357895963232008E-7</v>
      </c>
      <c r="AC5" s="5">
        <f t="shared" ref="AC5:AC35" si="11">$B$8+((2*$B$17*$K5*$B$18*$F5)/($L5*$B$20*1))</f>
        <v>9.9578959632320066E-8</v>
      </c>
      <c r="AD5" s="5">
        <f t="shared" ref="AD5:AD35" si="12">$B$9+((2*$B$17*$K5*$B$18*$F5)/($L5*$B$20*1))</f>
        <v>2.2557895963232007E-7</v>
      </c>
      <c r="AE5" s="5">
        <f t="shared" ref="AE5:AE35" si="13">(SQRT((2000*$B$19*$B$17*$K5*$B$18*$F5)/($B$5+10^-$P5))*((($AA5*$B$5+$AB5*10^(-1*$P5))*($U5^(-1/3)-1)+($AC5*$B$5+$AD5*10^($P5-$N5))*($U5^(1/3)-1))))</f>
        <v>9.6070668851676613E-10</v>
      </c>
      <c r="AF5" s="5">
        <f>$B$30</f>
        <v>2.4E-9</v>
      </c>
      <c r="AG5" s="5">
        <f>$Z5+$AE5+$AF5</f>
        <v>3.3724460835653194E-9</v>
      </c>
      <c r="AH5" s="4">
        <f t="shared" ref="AH5:AH35" si="14">-1*($B$33*$K5*$B$17*$W5)/($L5*($B$33*$M5+4*$AF5*$B$34*$B$35))</f>
        <v>3.7529293674885284E-6</v>
      </c>
      <c r="AI5" s="4">
        <f>AH5*1000000*1000</f>
        <v>3752.9293674885284</v>
      </c>
      <c r="AJ5" s="54"/>
      <c r="AK5" s="5">
        <f>$B$20^2/(4*PI()*$K5*$B$17*$B$18*$F5)</f>
        <v>6.9790056103992862E-10</v>
      </c>
      <c r="AL5" s="4">
        <f>$B$29</f>
        <v>5.0000000000000001E-9</v>
      </c>
      <c r="AM5" s="4">
        <f>2*S5</f>
        <v>1.9459796236399654E-8</v>
      </c>
      <c r="AN5" s="88"/>
      <c r="AO5" s="5">
        <f>ABS((SQRT((2000*$B$19*$B$17*$K5*$B$18*$F5)/($B$5+10^-$B$13))*((($AA5*$B$5)*($U5^(-1/3)-1)))))</f>
        <v>3.5633370976101044E-11</v>
      </c>
      <c r="AP5" s="5">
        <f>ABS((SQRT((2000*$B$19*$B$17*$K5*$B$18*$F5)/($B$5+10^-$P5))*((($AB5*10^(-1*$P5))*($U5^(-1/3)-1)))))</f>
        <v>1.2698767877644966E-13</v>
      </c>
      <c r="AQ5" s="5">
        <f>ABS((SQRT((2000*$B$19*$B$17*$K5*$B$18*$F5)/($B$5+10^-$P5))*((($AC5*$B$5)*($U5^(1/3)-1)))))</f>
        <v>1.6678528222255065E-10</v>
      </c>
      <c r="AR5" s="5">
        <f>ABS((SQRT((2000*$B$19*$B$17*$K5*$B$18*$F5)/($B$5+10^-$P5))*((($AD5*10^($P5-$N5))*($U5^(1/3)-1)))))</f>
        <v>1.2405229852078524E-14</v>
      </c>
      <c r="AS5" s="5">
        <f>SUM(AO5:AR5)</f>
        <v>2.0255804610728023E-10</v>
      </c>
      <c r="AT5" s="54"/>
      <c r="AU5" s="2">
        <v>-50.640518961453367</v>
      </c>
      <c r="AV5" s="2">
        <v>2630.7900279198889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E6" s="2">
        <v>5</v>
      </c>
      <c r="F6" s="2">
        <f t="shared" ref="F6:F35" si="15">E6+273.15</f>
        <v>278.14999999999998</v>
      </c>
      <c r="G6" s="71">
        <f t="shared" ref="G6:G35" si="16">(((((-0.00000000028054253*E6+0.00000010556302)*E6-0.000046170461)*E6-0.0079870401)*E6+16.945176)*E6+999.83952)/(1+0.01687985*E6)</f>
        <v>999.96382124947729</v>
      </c>
      <c r="H6" s="42">
        <f t="shared" si="0"/>
        <v>0.99999520667275799</v>
      </c>
      <c r="I6" s="42">
        <f t="shared" ref="I6:I35" si="17">H6*1000</f>
        <v>999.99520667275794</v>
      </c>
      <c r="J6" s="5">
        <f t="shared" si="1"/>
        <v>1.0000632373259486E-3</v>
      </c>
      <c r="K6" s="41">
        <f t="shared" si="2"/>
        <v>85.679893298561211</v>
      </c>
      <c r="L6" s="5">
        <f t="shared" ref="L6:L35" si="18">(0.0495166+0.6034658*EXP(-0.06653081*$E6)+0.09703832*EXP(0.1447269*$J6)+1.025107*EXP(-0.02062455*$E6+0.1301095*$J6))*0.001</f>
        <v>1.5040484188036081E-3</v>
      </c>
      <c r="M6" s="5">
        <f t="shared" si="3"/>
        <v>6.8565738359925854E-3</v>
      </c>
      <c r="N6" s="42">
        <f t="shared" ref="N6:N35" si="19">-LOG10(6.997844909E-16 + 5.017799566E-16*$E6 - 2.443366453E-17*$E6^2 + 7.194759186E-19*$E6^3)</f>
        <v>14.570606742437821</v>
      </c>
      <c r="O6" s="2">
        <f t="shared" ref="O6:O35" si="20">10^(-1*$N6)</f>
        <v>2.6877771504749887E-15</v>
      </c>
      <c r="P6" s="83">
        <f t="shared" ref="P6:P35" si="21">IF($B$31="on",$P$41+($P$41-$N6/2)*LN(P$40/$P$42)*$P$43,7)</f>
        <v>7.0254170333304833</v>
      </c>
      <c r="Q6" s="5">
        <f t="shared" ref="Q6:Q35" si="22">10^(-1*P6)</f>
        <v>9.4315477247887042E-8</v>
      </c>
      <c r="R6" s="5">
        <f t="shared" si="4"/>
        <v>1.0000943154772478E-3</v>
      </c>
      <c r="S6" s="2">
        <f t="shared" si="5"/>
        <v>9.7068674827307167E-9</v>
      </c>
      <c r="T6" s="54"/>
      <c r="U6" s="5">
        <f t="shared" ref="U6:U35" si="23">((10^-$P6+$B$5*$B$26)*SQRT(8000*$B$19*$B$17*$K6*$B$18*$F6)/(2*$B$20*$B$22*$B$28))*(($B$23+$B$24+$B$5+(10^-$P6)+10^($P6-$N6))/SQRT($R6))</f>
        <v>5.5288109111485875E-3</v>
      </c>
      <c r="V6" s="5">
        <f t="shared" si="6"/>
        <v>-8.3087764750962745E-2</v>
      </c>
      <c r="W6" s="4">
        <f t="shared" si="7"/>
        <v>-5.9140062642834119E-2</v>
      </c>
      <c r="X6" s="3">
        <f t="shared" ref="X6:X35" si="24">W6*1000</f>
        <v>-59.140062642834117</v>
      </c>
      <c r="Y6" s="54"/>
      <c r="Z6" s="5">
        <f t="shared" si="8"/>
        <v>2.6671146410891817E-12</v>
      </c>
      <c r="AA6" s="5">
        <f t="shared" si="9"/>
        <v>7.6176899044866738E-8</v>
      </c>
      <c r="AB6" s="5">
        <f t="shared" si="10"/>
        <v>3.8717689904486673E-7</v>
      </c>
      <c r="AC6" s="5">
        <f t="shared" si="11"/>
        <v>1.0317689904486674E-7</v>
      </c>
      <c r="AD6" s="5">
        <f t="shared" si="12"/>
        <v>2.2917689904486675E-7</v>
      </c>
      <c r="AE6" s="5">
        <f t="shared" si="13"/>
        <v>5.0541584063644318E-10</v>
      </c>
      <c r="AF6" s="5">
        <f t="shared" ref="AF6:AF35" si="25">$B$30</f>
        <v>2.4E-9</v>
      </c>
      <c r="AG6" s="5">
        <f t="shared" ref="AG6:AG35" si="26">$Z6+$AE6+$AF6</f>
        <v>2.9080829552775325E-9</v>
      </c>
      <c r="AH6" s="4">
        <f t="shared" si="14"/>
        <v>3.0604508014909271E-6</v>
      </c>
      <c r="AI6" s="4">
        <f t="shared" ref="AI6:AI35" si="27">AH6*1000000*1000</f>
        <v>3060.450801490927</v>
      </c>
      <c r="AJ6" s="54"/>
      <c r="AK6" s="5">
        <f t="shared" ref="AK6:AK35" si="28">$B$20^2/(4*PI()*$K6*$B$17*$B$18*$F6)</f>
        <v>7.0116499939825281E-10</v>
      </c>
      <c r="AL6" s="4">
        <f t="shared" ref="AL6:AL35" si="29">$B$29</f>
        <v>5.0000000000000001E-9</v>
      </c>
      <c r="AM6" s="4">
        <f t="shared" ref="AM6:AM35" si="30">2*S6</f>
        <v>1.9413734965461433E-8</v>
      </c>
      <c r="AN6" s="88"/>
      <c r="AO6" s="5">
        <f t="shared" ref="AO6:AO35" si="31">ABS((SQRT((2000*$B$19*$B$17*$K6*$B$18*$F6)/($B$5+10^-$B$13))*((($AA6*$B$5)*($U6^(-1/3)-1)))))</f>
        <v>2.099361830936007E-11</v>
      </c>
      <c r="AP6" s="5">
        <f t="shared" ref="AP6:AP35" si="32">ABS((SQRT((2000*$B$19*$B$17*$K6*$B$18*$F6)/($B$5+10^-$P6))*((($AB6*10^(-1*$P6))*($U6^(-1/3)-1)))))</f>
        <v>3.1838527246481362E-13</v>
      </c>
      <c r="AQ6" s="5">
        <f t="shared" ref="AQ6:AQ35" si="33">ABS((SQRT((2000*$B$19*$B$17*$K6*$B$18*$F6)/($B$5+10^-$P6))*((($AC6*$B$5)*($U6^(1/3)-1)))))</f>
        <v>1.5906951247012353E-10</v>
      </c>
      <c r="AR6" s="5">
        <f t="shared" ref="AR6:AR35" si="34">ABS((SQRT((2000*$B$19*$B$17*$K6*$B$18*$F6)/($B$5+10^-$P6))*((($AD6*10^($P6-$N6))*($U6^(1/3)-1)))))</f>
        <v>1.0068983021517453E-14</v>
      </c>
      <c r="AS6" s="5">
        <f t="shared" ref="AS6:AS35" si="35">SUM(AO6:AR6)</f>
        <v>1.8039158503496993E-10</v>
      </c>
      <c r="AT6" s="54"/>
      <c r="AU6" s="2">
        <v>-51.384190294202114</v>
      </c>
      <c r="AV6" s="2">
        <v>2659.0906356302253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E7" s="2">
        <v>10</v>
      </c>
      <c r="F7" s="2">
        <f t="shared" si="15"/>
        <v>283.14999999999998</v>
      </c>
      <c r="G7" s="71">
        <f t="shared" si="16"/>
        <v>999.69963437234651</v>
      </c>
      <c r="H7" s="42">
        <f t="shared" si="0"/>
        <v>0.99973102694335003</v>
      </c>
      <c r="I7" s="42">
        <f t="shared" si="17"/>
        <v>999.73102694335</v>
      </c>
      <c r="J7" s="5">
        <f t="shared" si="1"/>
        <v>1.0003275202910696E-3</v>
      </c>
      <c r="K7" s="41">
        <f t="shared" si="2"/>
        <v>83.749292700186174</v>
      </c>
      <c r="L7" s="5">
        <f t="shared" si="18"/>
        <v>1.2909896105253646E-3</v>
      </c>
      <c r="M7" s="5">
        <f t="shared" si="3"/>
        <v>8.1797757795359603E-3</v>
      </c>
      <c r="N7" s="42">
        <f t="shared" si="19"/>
        <v>14.398625266103792</v>
      </c>
      <c r="O7" s="2">
        <f t="shared" si="20"/>
        <v>3.9936935224999789E-15</v>
      </c>
      <c r="P7" s="83">
        <f t="shared" si="21"/>
        <v>6.8353360811651189</v>
      </c>
      <c r="Q7" s="5">
        <f t="shared" si="22"/>
        <v>1.4610460983374772E-7</v>
      </c>
      <c r="R7" s="5">
        <f t="shared" si="4"/>
        <v>1.0001461046098338E-3</v>
      </c>
      <c r="S7" s="2">
        <f t="shared" si="5"/>
        <v>9.6825048347366283E-9</v>
      </c>
      <c r="T7" s="54"/>
      <c r="U7" s="5">
        <f t="shared" si="23"/>
        <v>8.5426319077143674E-3</v>
      </c>
      <c r="V7" s="5">
        <f t="shared" si="6"/>
        <v>-7.7501201535191327E-2</v>
      </c>
      <c r="W7" s="4">
        <f t="shared" si="7"/>
        <v>-5.5742446826913816E-2</v>
      </c>
      <c r="X7" s="3">
        <f t="shared" si="24"/>
        <v>-55.742446826913813</v>
      </c>
      <c r="Y7" s="54"/>
      <c r="Z7" s="5">
        <f t="shared" si="8"/>
        <v>1.7234700067848861E-12</v>
      </c>
      <c r="AA7" s="5">
        <f t="shared" si="9"/>
        <v>8.0027179815195593E-8</v>
      </c>
      <c r="AB7" s="5">
        <f t="shared" si="10"/>
        <v>3.9102717981519558E-7</v>
      </c>
      <c r="AC7" s="5">
        <f t="shared" si="11"/>
        <v>1.070271798151956E-7</v>
      </c>
      <c r="AD7" s="5">
        <f t="shared" si="12"/>
        <v>2.330271798151956E-7</v>
      </c>
      <c r="AE7" s="5">
        <f t="shared" si="13"/>
        <v>4.2318121905209252E-10</v>
      </c>
      <c r="AF7" s="5">
        <f t="shared" si="25"/>
        <v>2.4E-9</v>
      </c>
      <c r="AG7" s="5">
        <f t="shared" si="26"/>
        <v>2.8249046890588774E-9</v>
      </c>
      <c r="AH7" s="4">
        <f t="shared" si="14"/>
        <v>2.8921496662149598E-6</v>
      </c>
      <c r="AI7" s="4">
        <f t="shared" si="27"/>
        <v>2892.1496662149598</v>
      </c>
      <c r="AJ7" s="54"/>
      <c r="AK7" s="5">
        <f t="shared" si="28"/>
        <v>7.0466142269916927E-10</v>
      </c>
      <c r="AL7" s="4">
        <f t="shared" si="29"/>
        <v>5.0000000000000001E-9</v>
      </c>
      <c r="AM7" s="4">
        <f t="shared" si="30"/>
        <v>1.9365009669473257E-8</v>
      </c>
      <c r="AN7" s="88"/>
      <c r="AO7" s="5">
        <f t="shared" si="31"/>
        <v>1.8391816538342981E-11</v>
      </c>
      <c r="AP7" s="5">
        <f t="shared" si="32"/>
        <v>4.1537781073404522E-13</v>
      </c>
      <c r="AQ7" s="5">
        <f t="shared" si="33"/>
        <v>1.5907322094060106E-10</v>
      </c>
      <c r="AR7" s="5">
        <f t="shared" si="34"/>
        <v>9.4671746110888729E-15</v>
      </c>
      <c r="AS7" s="5">
        <f t="shared" si="35"/>
        <v>1.7788988246428918E-10</v>
      </c>
      <c r="AT7" s="54"/>
      <c r="AU7" s="2">
        <v>-52.12687712429139</v>
      </c>
      <c r="AV7" s="2">
        <v>2704.5589001824878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E8" s="2">
        <v>15</v>
      </c>
      <c r="F8" s="2">
        <f t="shared" si="15"/>
        <v>288.14999999999998</v>
      </c>
      <c r="G8" s="71">
        <f t="shared" si="16"/>
        <v>999.09960879081439</v>
      </c>
      <c r="H8" s="42">
        <f t="shared" si="0"/>
        <v>0.99913101759584322</v>
      </c>
      <c r="I8" s="42">
        <f t="shared" si="17"/>
        <v>999.13101759584322</v>
      </c>
      <c r="J8" s="5">
        <f t="shared" si="1"/>
        <v>1.0009282833149005E-3</v>
      </c>
      <c r="K8" s="41">
        <f t="shared" si="2"/>
        <v>81.863505876811246</v>
      </c>
      <c r="L8" s="5">
        <f t="shared" si="18"/>
        <v>1.1214592397853899E-3</v>
      </c>
      <c r="M8" s="5">
        <f t="shared" si="3"/>
        <v>9.495477723079333E-3</v>
      </c>
      <c r="N8" s="42">
        <f t="shared" si="19"/>
        <v>14.287591032741444</v>
      </c>
      <c r="O8" s="2">
        <f t="shared" si="20"/>
        <v>5.1571405459249914E-15</v>
      </c>
      <c r="P8" s="83">
        <f t="shared" si="21"/>
        <v>6.7126165113000802</v>
      </c>
      <c r="Q8" s="5">
        <f t="shared" si="22"/>
        <v>1.9381326094434809E-7</v>
      </c>
      <c r="R8" s="5">
        <f t="shared" si="4"/>
        <v>1.0001938132609444E-3</v>
      </c>
      <c r="S8" s="2">
        <f t="shared" si="5"/>
        <v>9.6567944956330016E-9</v>
      </c>
      <c r="T8" s="54"/>
      <c r="U8" s="5">
        <f t="shared" si="23"/>
        <v>1.1301960799188071E-2</v>
      </c>
      <c r="V8" s="5">
        <f t="shared" si="6"/>
        <v>-7.4234513199847016E-2</v>
      </c>
      <c r="W8" s="4">
        <f t="shared" si="7"/>
        <v>-5.3732465043478755E-2</v>
      </c>
      <c r="X8" s="3">
        <f t="shared" si="24"/>
        <v>-53.732465043478754</v>
      </c>
      <c r="Y8" s="54"/>
      <c r="Z8" s="5">
        <f t="shared" si="8"/>
        <v>1.2999680925889549E-12</v>
      </c>
      <c r="AA8" s="5">
        <f t="shared" si="9"/>
        <v>8.4094447470781884E-8</v>
      </c>
      <c r="AB8" s="5">
        <f t="shared" si="10"/>
        <v>3.9509444747078188E-7</v>
      </c>
      <c r="AC8" s="5">
        <f t="shared" si="11"/>
        <v>1.110944474707819E-7</v>
      </c>
      <c r="AD8" s="5">
        <f t="shared" si="12"/>
        <v>2.3709444747078189E-7</v>
      </c>
      <c r="AE8" s="5">
        <f t="shared" si="13"/>
        <v>3.8145889282263215E-10</v>
      </c>
      <c r="AF8" s="5">
        <f t="shared" si="25"/>
        <v>2.4E-9</v>
      </c>
      <c r="AG8" s="5">
        <f t="shared" si="26"/>
        <v>2.7827588609152211E-9</v>
      </c>
      <c r="AH8" s="4">
        <f t="shared" si="14"/>
        <v>2.8036754876570092E-6</v>
      </c>
      <c r="AI8" s="4">
        <f t="shared" si="27"/>
        <v>2803.6754876570089</v>
      </c>
      <c r="AJ8" s="54"/>
      <c r="AK8" s="5">
        <f t="shared" si="28"/>
        <v>7.0838482068657092E-10</v>
      </c>
      <c r="AL8" s="4">
        <f t="shared" si="29"/>
        <v>5.0000000000000001E-9</v>
      </c>
      <c r="AM8" s="4">
        <f t="shared" si="30"/>
        <v>1.9313588991266003E-8</v>
      </c>
      <c r="AN8" s="88"/>
      <c r="AO8" s="5">
        <f t="shared" si="31"/>
        <v>1.7117365598171058E-11</v>
      </c>
      <c r="AP8" s="5">
        <f t="shared" si="32"/>
        <v>4.9309315852561201E-13</v>
      </c>
      <c r="AQ8" s="5">
        <f t="shared" si="33"/>
        <v>1.605418195165389E-10</v>
      </c>
      <c r="AR8" s="5">
        <f t="shared" si="34"/>
        <v>9.1168054954045262E-15</v>
      </c>
      <c r="AS8" s="5">
        <f t="shared" si="35"/>
        <v>1.7816139507873099E-10</v>
      </c>
      <c r="AT8" s="54"/>
      <c r="AU8" s="2">
        <v>-52.868486282945007</v>
      </c>
      <c r="AV8" s="2">
        <v>2758.5944432300098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E9" s="2">
        <v>20</v>
      </c>
      <c r="F9" s="2">
        <f t="shared" si="15"/>
        <v>293.14999999999998</v>
      </c>
      <c r="G9" s="71">
        <f t="shared" si="16"/>
        <v>998.20413220058367</v>
      </c>
      <c r="H9" s="42">
        <f t="shared" si="0"/>
        <v>0.99823556523322921</v>
      </c>
      <c r="I9" s="42">
        <f t="shared" si="17"/>
        <v>998.23556523322918</v>
      </c>
      <c r="J9" s="5">
        <f t="shared" si="1"/>
        <v>1.001826203707428E-3</v>
      </c>
      <c r="K9" s="41">
        <f t="shared" si="2"/>
        <v>80.021475328436225</v>
      </c>
      <c r="L9" s="5">
        <f t="shared" si="18"/>
        <v>9.8478208507849462E-4</v>
      </c>
      <c r="M9" s="5">
        <f t="shared" si="3"/>
        <v>1.0803679666622705E-2</v>
      </c>
      <c r="N9" s="42">
        <f t="shared" si="19"/>
        <v>14.172777768292415</v>
      </c>
      <c r="O9" s="2">
        <f t="shared" si="20"/>
        <v>6.7177251596999975E-15</v>
      </c>
      <c r="P9" s="83">
        <f t="shared" si="21"/>
        <v>6.5857202019248868</v>
      </c>
      <c r="Q9" s="5">
        <f t="shared" si="22"/>
        <v>2.5958512236988796E-7</v>
      </c>
      <c r="R9" s="5">
        <f t="shared" si="4"/>
        <v>1.0002595851223699E-3</v>
      </c>
      <c r="S9" s="2">
        <f t="shared" si="5"/>
        <v>9.6296932901383352E-9</v>
      </c>
      <c r="T9" s="54"/>
      <c r="U9" s="5">
        <f t="shared" si="23"/>
        <v>1.5095234366008544E-2</v>
      </c>
      <c r="V9" s="5">
        <f t="shared" si="6"/>
        <v>-7.0646984840426502E-2</v>
      </c>
      <c r="W9" s="4">
        <f t="shared" si="7"/>
        <v>-5.1533549377987237E-2</v>
      </c>
      <c r="X9" s="3">
        <f t="shared" si="24"/>
        <v>-51.533549377987235</v>
      </c>
      <c r="Y9" s="54"/>
      <c r="Z9" s="5">
        <f t="shared" si="8"/>
        <v>9.7110440710402732E-13</v>
      </c>
      <c r="AA9" s="5">
        <f t="shared" si="9"/>
        <v>8.8346345146878329E-8</v>
      </c>
      <c r="AB9" s="5">
        <f t="shared" si="10"/>
        <v>3.9934634514687833E-7</v>
      </c>
      <c r="AC9" s="5">
        <f t="shared" si="11"/>
        <v>1.1534634514687833E-7</v>
      </c>
      <c r="AD9" s="5">
        <f t="shared" si="12"/>
        <v>2.4134634514687832E-7</v>
      </c>
      <c r="AE9" s="5">
        <f t="shared" si="13"/>
        <v>3.3926573967818337E-10</v>
      </c>
      <c r="AF9" s="5">
        <f t="shared" si="25"/>
        <v>2.4E-9</v>
      </c>
      <c r="AG9" s="5">
        <f t="shared" si="26"/>
        <v>2.7402368440852875E-9</v>
      </c>
      <c r="AH9" s="4">
        <f t="shared" si="14"/>
        <v>2.7071886670017349E-6</v>
      </c>
      <c r="AI9" s="4">
        <f t="shared" si="27"/>
        <v>2707.1886670017352</v>
      </c>
      <c r="AJ9" s="54"/>
      <c r="AK9" s="5">
        <f t="shared" si="28"/>
        <v>7.1233085691498375E-10</v>
      </c>
      <c r="AL9" s="4">
        <f t="shared" si="29"/>
        <v>5.0000000000000001E-9</v>
      </c>
      <c r="AM9" s="4">
        <f t="shared" si="30"/>
        <v>1.925938658027667E-8</v>
      </c>
      <c r="AN9" s="88"/>
      <c r="AO9" s="5">
        <f t="shared" si="31"/>
        <v>1.5806657828095921E-11</v>
      </c>
      <c r="AP9" s="5">
        <f t="shared" si="32"/>
        <v>5.8673453915908758E-13</v>
      </c>
      <c r="AQ9" s="5">
        <f t="shared" si="33"/>
        <v>1.6134763368256707E-10</v>
      </c>
      <c r="AR9" s="5">
        <f t="shared" si="34"/>
        <v>8.7365893417446617E-15</v>
      </c>
      <c r="AS9" s="5">
        <f t="shared" si="35"/>
        <v>1.7774976263916381E-10</v>
      </c>
      <c r="AT9" s="54"/>
      <c r="AU9" s="2">
        <v>-53.608918695152433</v>
      </c>
      <c r="AV9" s="2">
        <v>2816.2131143709485</v>
      </c>
    </row>
    <row r="10" spans="1:48" x14ac:dyDescent="0.35">
      <c r="B10" s="4"/>
      <c r="E10" s="2">
        <v>25</v>
      </c>
      <c r="F10" s="2">
        <f t="shared" si="15"/>
        <v>298.14999999999998</v>
      </c>
      <c r="G10" s="71">
        <f t="shared" si="16"/>
        <v>997.04489541791554</v>
      </c>
      <c r="H10" s="42">
        <f t="shared" si="0"/>
        <v>0.99707635981435627</v>
      </c>
      <c r="I10" s="42">
        <f t="shared" si="17"/>
        <v>997.07635981435624</v>
      </c>
      <c r="J10" s="5">
        <f t="shared" si="1"/>
        <v>1.0029909995862452E-3</v>
      </c>
      <c r="K10" s="41">
        <f t="shared" si="2"/>
        <v>78.222143555061223</v>
      </c>
      <c r="L10" s="5">
        <f t="shared" si="18"/>
        <v>8.7314287659130132E-4</v>
      </c>
      <c r="M10" s="5">
        <f t="shared" si="3"/>
        <v>1.2104381610166078E-2</v>
      </c>
      <c r="N10" s="42">
        <f t="shared" si="19"/>
        <v>14.035502101212563</v>
      </c>
      <c r="O10" s="2">
        <f t="shared" si="20"/>
        <v>9.215054302775012E-15</v>
      </c>
      <c r="P10" s="83">
        <f t="shared" si="21"/>
        <v>6.4339975276934247</v>
      </c>
      <c r="Q10" s="5">
        <f t="shared" si="22"/>
        <v>3.6813106929492953E-7</v>
      </c>
      <c r="R10" s="5">
        <f t="shared" si="4"/>
        <v>1.0003681310692949E-3</v>
      </c>
      <c r="S10" s="2">
        <f t="shared" si="5"/>
        <v>9.6011427942996836E-9</v>
      </c>
      <c r="T10" s="54"/>
      <c r="U10" s="5">
        <f t="shared" si="23"/>
        <v>2.1345393611357562E-2</v>
      </c>
      <c r="V10" s="5">
        <f t="shared" si="6"/>
        <v>-6.5915537737469942E-2</v>
      </c>
      <c r="W10" s="4">
        <f t="shared" si="7"/>
        <v>-4.8657925883033241E-2</v>
      </c>
      <c r="X10" s="3">
        <f t="shared" si="24"/>
        <v>-48.657925883033244</v>
      </c>
      <c r="Y10" s="54"/>
      <c r="Z10" s="5">
        <f t="shared" si="8"/>
        <v>6.8514956243281764E-13</v>
      </c>
      <c r="AA10" s="5">
        <f t="shared" si="9"/>
        <v>9.2755257794835222E-8</v>
      </c>
      <c r="AB10" s="5">
        <f t="shared" si="10"/>
        <v>4.0375525779483524E-7</v>
      </c>
      <c r="AC10" s="5">
        <f t="shared" si="11"/>
        <v>1.1975525779483524E-7</v>
      </c>
      <c r="AD10" s="5">
        <f t="shared" si="12"/>
        <v>2.4575525779483523E-7</v>
      </c>
      <c r="AE10" s="5">
        <f t="shared" si="13"/>
        <v>2.8800594658743094E-10</v>
      </c>
      <c r="AF10" s="5">
        <f t="shared" si="25"/>
        <v>2.4E-9</v>
      </c>
      <c r="AG10" s="5">
        <f t="shared" si="26"/>
        <v>2.6886910961498639E-9</v>
      </c>
      <c r="AH10" s="4">
        <f t="shared" si="14"/>
        <v>2.5735913799806566E-6</v>
      </c>
      <c r="AI10" s="4">
        <f t="shared" si="27"/>
        <v>2573.5913799806567</v>
      </c>
      <c r="AJ10" s="54"/>
      <c r="AK10" s="5">
        <f t="shared" si="28"/>
        <v>7.1649585710289329E-10</v>
      </c>
      <c r="AL10" s="4">
        <f t="shared" si="29"/>
        <v>5.0000000000000001E-9</v>
      </c>
      <c r="AM10" s="4">
        <f t="shared" si="30"/>
        <v>1.9202285588599367E-8</v>
      </c>
      <c r="AN10" s="88"/>
      <c r="AO10" s="5">
        <f t="shared" si="31"/>
        <v>1.414998966969634E-11</v>
      </c>
      <c r="AP10" s="5">
        <f t="shared" si="32"/>
        <v>7.1725793904081608E-13</v>
      </c>
      <c r="AQ10" s="5">
        <f t="shared" si="33"/>
        <v>1.603063330929292E-10</v>
      </c>
      <c r="AR10" s="5">
        <f t="shared" si="34"/>
        <v>8.2348242467781398E-15</v>
      </c>
      <c r="AS10" s="5">
        <f t="shared" si="35"/>
        <v>1.7518181552591311E-10</v>
      </c>
      <c r="AT10" s="54"/>
      <c r="AU10" s="2">
        <v>-54.348069323389218</v>
      </c>
      <c r="AV10" s="2">
        <v>2874.5516921912563</v>
      </c>
    </row>
    <row r="11" spans="1:48" x14ac:dyDescent="0.35">
      <c r="B11" s="4"/>
      <c r="E11" s="2">
        <v>30</v>
      </c>
      <c r="F11" s="2">
        <f t="shared" si="15"/>
        <v>303.14999999999998</v>
      </c>
      <c r="G11" s="71">
        <f t="shared" si="16"/>
        <v>995.64725885447808</v>
      </c>
      <c r="H11" s="42">
        <f t="shared" si="0"/>
        <v>0.9956787610647525</v>
      </c>
      <c r="I11" s="42">
        <f t="shared" si="17"/>
        <v>995.67876106475251</v>
      </c>
      <c r="J11" s="5">
        <f t="shared" si="1"/>
        <v>1.0043989449015703E-3</v>
      </c>
      <c r="K11" s="41">
        <f t="shared" si="2"/>
        <v>76.46445305668621</v>
      </c>
      <c r="L11" s="5">
        <f t="shared" si="18"/>
        <v>7.8079275157354785E-4</v>
      </c>
      <c r="M11" s="5">
        <f t="shared" si="3"/>
        <v>1.3397583553709453E-2</v>
      </c>
      <c r="N11" s="42">
        <f t="shared" si="19"/>
        <v>13.879796860721664</v>
      </c>
      <c r="O11" s="2">
        <f t="shared" si="20"/>
        <v>1.3188734914099951E-14</v>
      </c>
      <c r="P11" s="83">
        <f t="shared" si="21"/>
        <v>6.2619057361788339</v>
      </c>
      <c r="Q11" s="5">
        <f t="shared" si="22"/>
        <v>5.4713470585164189E-7</v>
      </c>
      <c r="R11" s="5">
        <f t="shared" si="4"/>
        <v>1.0005471347058516E-3</v>
      </c>
      <c r="S11" s="2">
        <f t="shared" si="5"/>
        <v>9.5710677986735731E-9</v>
      </c>
      <c r="T11" s="54"/>
      <c r="U11" s="5">
        <f t="shared" si="23"/>
        <v>3.162995099104355E-2</v>
      </c>
      <c r="V11" s="5">
        <f t="shared" si="6"/>
        <v>-6.0169430784281878E-2</v>
      </c>
      <c r="W11" s="4">
        <f t="shared" si="7"/>
        <v>-4.5185936600515883E-2</v>
      </c>
      <c r="X11" s="3">
        <f t="shared" si="24"/>
        <v>-45.18593660051588</v>
      </c>
      <c r="Y11" s="54"/>
      <c r="Z11" s="5">
        <f t="shared" si="8"/>
        <v>4.6124547959372198E-13</v>
      </c>
      <c r="AA11" s="5">
        <f t="shared" si="9"/>
        <v>9.7298708406190365E-8</v>
      </c>
      <c r="AB11" s="5">
        <f t="shared" si="10"/>
        <v>4.0829870840619036E-7</v>
      </c>
      <c r="AC11" s="5">
        <f t="shared" si="11"/>
        <v>1.2429870840619035E-7</v>
      </c>
      <c r="AD11" s="5">
        <f t="shared" si="12"/>
        <v>2.5029870840619034E-7</v>
      </c>
      <c r="AE11" s="5">
        <f t="shared" si="13"/>
        <v>2.3241200626277991E-10</v>
      </c>
      <c r="AF11" s="5">
        <f t="shared" si="25"/>
        <v>2.4E-9</v>
      </c>
      <c r="AG11" s="5">
        <f t="shared" si="26"/>
        <v>2.6328732517423737E-9</v>
      </c>
      <c r="AH11" s="4">
        <f t="shared" si="14"/>
        <v>2.4050855648693144E-6</v>
      </c>
      <c r="AI11" s="4">
        <f t="shared" si="27"/>
        <v>2405.0855648693146</v>
      </c>
      <c r="AJ11" s="54"/>
      <c r="AK11" s="5">
        <f t="shared" si="28"/>
        <v>7.2087680395805748E-10</v>
      </c>
      <c r="AL11" s="4">
        <f t="shared" si="29"/>
        <v>5.0000000000000001E-9</v>
      </c>
      <c r="AM11" s="4">
        <f t="shared" si="30"/>
        <v>1.9142135597347146E-8</v>
      </c>
      <c r="AN11" s="88"/>
      <c r="AO11" s="5">
        <f t="shared" si="31"/>
        <v>1.2281909626202994E-11</v>
      </c>
      <c r="AP11" s="5">
        <f t="shared" si="32"/>
        <v>8.9192708956843172E-13</v>
      </c>
      <c r="AQ11" s="5">
        <f t="shared" si="33"/>
        <v>1.5694827259763535E-10</v>
      </c>
      <c r="AR11" s="5">
        <f t="shared" si="34"/>
        <v>7.6182883799863579E-15</v>
      </c>
      <c r="AS11" s="5">
        <f t="shared" si="35"/>
        <v>1.7012972760178676E-10</v>
      </c>
      <c r="AT11" s="54"/>
      <c r="AU11" s="2">
        <v>-55.085827090781983</v>
      </c>
      <c r="AV11" s="2">
        <v>2932.021287777322</v>
      </c>
    </row>
    <row r="12" spans="1:48" x14ac:dyDescent="0.35">
      <c r="B12" s="4"/>
      <c r="E12" s="2">
        <v>35</v>
      </c>
      <c r="F12" s="2">
        <f t="shared" si="15"/>
        <v>308.14999999999998</v>
      </c>
      <c r="G12" s="71">
        <f t="shared" si="16"/>
        <v>994.03186567551825</v>
      </c>
      <c r="H12" s="42">
        <f t="shared" si="0"/>
        <v>0.99406341159115252</v>
      </c>
      <c r="I12" s="42">
        <f t="shared" si="17"/>
        <v>994.06341159115254</v>
      </c>
      <c r="J12" s="5">
        <f t="shared" si="1"/>
        <v>1.0060311855374837E-3</v>
      </c>
      <c r="K12" s="41">
        <f t="shared" si="2"/>
        <v>74.747346333311199</v>
      </c>
      <c r="L12" s="5">
        <f t="shared" si="18"/>
        <v>7.0347872326172742E-4</v>
      </c>
      <c r="M12" s="5">
        <f t="shared" si="3"/>
        <v>1.4683285497252825E-2</v>
      </c>
      <c r="N12" s="42">
        <f t="shared" si="19"/>
        <v>13.717188217917446</v>
      </c>
      <c r="O12" s="2">
        <f t="shared" si="20"/>
        <v>1.9178373932624932E-14</v>
      </c>
      <c r="P12" s="83">
        <f t="shared" si="21"/>
        <v>6.0821840224606012</v>
      </c>
      <c r="Q12" s="5">
        <f t="shared" si="22"/>
        <v>8.2759141626891265E-7</v>
      </c>
      <c r="R12" s="5">
        <f t="shared" si="4"/>
        <v>1.000827591416269E-3</v>
      </c>
      <c r="S12" s="2">
        <f t="shared" si="5"/>
        <v>9.5393751884620041E-9</v>
      </c>
      <c r="T12" s="54"/>
      <c r="U12" s="5">
        <f t="shared" si="23"/>
        <v>4.7697165874137012E-2</v>
      </c>
      <c r="V12" s="5">
        <f t="shared" si="6"/>
        <v>-5.3887418165677062E-2</v>
      </c>
      <c r="W12" s="4">
        <f t="shared" si="7"/>
        <v>-4.1404710983025332E-2</v>
      </c>
      <c r="X12" s="3">
        <f t="shared" si="24"/>
        <v>-41.404710983025332</v>
      </c>
      <c r="Y12" s="54"/>
      <c r="Z12" s="5">
        <f t="shared" si="8"/>
        <v>3.0508796914434473E-13</v>
      </c>
      <c r="AA12" s="5">
        <f t="shared" si="9"/>
        <v>1.0195873321147753E-7</v>
      </c>
      <c r="AB12" s="5">
        <f t="shared" si="10"/>
        <v>4.1295873321147752E-7</v>
      </c>
      <c r="AC12" s="5">
        <f t="shared" si="11"/>
        <v>1.2895873321147752E-7</v>
      </c>
      <c r="AD12" s="5">
        <f t="shared" si="12"/>
        <v>2.5495873321147751E-7</v>
      </c>
      <c r="AE12" s="5">
        <f t="shared" si="13"/>
        <v>1.7962174464854604E-10</v>
      </c>
      <c r="AF12" s="5">
        <f t="shared" si="25"/>
        <v>2.4E-9</v>
      </c>
      <c r="AG12" s="5">
        <f t="shared" si="26"/>
        <v>2.5799268326176903E-9</v>
      </c>
      <c r="AH12" s="4">
        <f t="shared" si="14"/>
        <v>2.2161193398132526E-6</v>
      </c>
      <c r="AI12" s="4">
        <f t="shared" si="27"/>
        <v>2216.1193398132527</v>
      </c>
      <c r="AJ12" s="54"/>
      <c r="AK12" s="5">
        <f t="shared" si="28"/>
        <v>7.2547133824278202E-10</v>
      </c>
      <c r="AL12" s="4">
        <f t="shared" si="29"/>
        <v>5.0000000000000001E-9</v>
      </c>
      <c r="AM12" s="4">
        <f t="shared" si="30"/>
        <v>1.9078750376924008E-8</v>
      </c>
      <c r="AN12" s="88"/>
      <c r="AO12" s="5">
        <f t="shared" si="31"/>
        <v>1.0428337555064476E-11</v>
      </c>
      <c r="AP12" s="5">
        <f t="shared" si="32"/>
        <v>1.1054794806955242E-12</v>
      </c>
      <c r="AQ12" s="5">
        <f t="shared" si="33"/>
        <v>1.5127819585331065E-10</v>
      </c>
      <c r="AR12" s="5">
        <f t="shared" si="34"/>
        <v>6.9309262125898594E-15</v>
      </c>
      <c r="AS12" s="5">
        <f t="shared" si="35"/>
        <v>1.6281894381528325E-10</v>
      </c>
      <c r="AT12" s="54"/>
      <c r="AU12" s="2">
        <v>-55.822074781810343</v>
      </c>
      <c r="AV12" s="2">
        <v>2987.7851340803645</v>
      </c>
    </row>
    <row r="13" spans="1:48" x14ac:dyDescent="0.35">
      <c r="B13" s="2"/>
      <c r="E13" s="2">
        <v>40</v>
      </c>
      <c r="F13" s="2">
        <f t="shared" si="15"/>
        <v>313.14999999999998</v>
      </c>
      <c r="G13" s="71">
        <f t="shared" si="16"/>
        <v>992.21576731538448</v>
      </c>
      <c r="H13" s="42">
        <f t="shared" si="0"/>
        <v>0.99224736236656885</v>
      </c>
      <c r="I13" s="42">
        <f t="shared" si="17"/>
        <v>992.24736236656884</v>
      </c>
      <c r="J13" s="5">
        <f t="shared" si="1"/>
        <v>1.0078725708958735E-3</v>
      </c>
      <c r="K13" s="41">
        <f t="shared" si="2"/>
        <v>73.069765884936217</v>
      </c>
      <c r="L13" s="5">
        <f t="shared" si="18"/>
        <v>6.3803320595602359E-4</v>
      </c>
      <c r="M13" s="5">
        <f t="shared" si="3"/>
        <v>1.5961487440796198E-2</v>
      </c>
      <c r="N13" s="42">
        <f t="shared" si="19"/>
        <v>13.557150715817892</v>
      </c>
      <c r="O13" s="2">
        <f t="shared" si="20"/>
        <v>2.7723578297299922E-14</v>
      </c>
      <c r="P13" s="83">
        <f t="shared" si="21"/>
        <v>5.9053040384664719</v>
      </c>
      <c r="Q13" s="5">
        <f t="shared" si="22"/>
        <v>1.2436436638005132E-6</v>
      </c>
      <c r="R13" s="5">
        <f t="shared" si="4"/>
        <v>1.0012436436638006E-3</v>
      </c>
      <c r="S13" s="2">
        <f t="shared" si="5"/>
        <v>9.505955336020966E-9</v>
      </c>
      <c r="T13" s="54"/>
      <c r="U13" s="5">
        <f t="shared" si="23"/>
        <v>7.1453410381130136E-2</v>
      </c>
      <c r="V13" s="5">
        <f t="shared" si="6"/>
        <v>-4.7488005358546713E-2</v>
      </c>
      <c r="W13" s="4">
        <f t="shared" si="7"/>
        <v>-3.7564097762111372E-2</v>
      </c>
      <c r="X13" s="3">
        <f t="shared" si="24"/>
        <v>-37.564097762111373</v>
      </c>
      <c r="Y13" s="54"/>
      <c r="Z13" s="5">
        <f t="shared" si="8"/>
        <v>2.0310817817208893E-13</v>
      </c>
      <c r="AA13" s="5">
        <f t="shared" si="9"/>
        <v>1.0672065450409306E-7</v>
      </c>
      <c r="AB13" s="5">
        <f t="shared" si="10"/>
        <v>4.1772065450409308E-7</v>
      </c>
      <c r="AC13" s="5">
        <f t="shared" si="11"/>
        <v>1.3372065450409308E-7</v>
      </c>
      <c r="AD13" s="5">
        <f t="shared" si="12"/>
        <v>2.5972065450409307E-7</v>
      </c>
      <c r="AE13" s="5">
        <f t="shared" si="13"/>
        <v>1.3381554792834848E-10</v>
      </c>
      <c r="AF13" s="5">
        <f t="shared" si="25"/>
        <v>2.4E-9</v>
      </c>
      <c r="AG13" s="5">
        <f t="shared" si="26"/>
        <v>2.5340186561065205E-9</v>
      </c>
      <c r="AH13" s="4">
        <f t="shared" si="14"/>
        <v>2.0200679113307207E-6</v>
      </c>
      <c r="AI13" s="4">
        <f t="shared" si="27"/>
        <v>2020.0679113307208</v>
      </c>
      <c r="AJ13" s="54"/>
      <c r="AK13" s="5">
        <f t="shared" si="28"/>
        <v>7.3027776592433645E-10</v>
      </c>
      <c r="AL13" s="4">
        <f t="shared" si="29"/>
        <v>5.0000000000000001E-9</v>
      </c>
      <c r="AM13" s="4">
        <f t="shared" si="30"/>
        <v>1.9011910672041932E-8</v>
      </c>
      <c r="AN13" s="88"/>
      <c r="AO13" s="5">
        <f t="shared" si="31"/>
        <v>8.7278496298407922E-12</v>
      </c>
      <c r="AP13" s="5">
        <f t="shared" si="32"/>
        <v>1.3433458540563588E-12</v>
      </c>
      <c r="AQ13" s="5">
        <f t="shared" si="33"/>
        <v>1.4348684141861023E-10</v>
      </c>
      <c r="AR13" s="5">
        <f t="shared" si="34"/>
        <v>6.212600012786977E-15</v>
      </c>
      <c r="AS13" s="5">
        <f t="shared" si="35"/>
        <v>1.5356424950252016E-10</v>
      </c>
      <c r="AT13" s="54"/>
      <c r="AU13" s="2">
        <v>-56.556688918461958</v>
      </c>
      <c r="AV13" s="2">
        <v>3041.4241171157469</v>
      </c>
    </row>
    <row r="14" spans="1:48" x14ac:dyDescent="0.35">
      <c r="B14" s="3"/>
      <c r="E14" s="2">
        <v>45</v>
      </c>
      <c r="F14" s="2">
        <f t="shared" si="15"/>
        <v>318.14999999999998</v>
      </c>
      <c r="G14" s="71">
        <f t="shared" si="16"/>
        <v>990.21322507955676</v>
      </c>
      <c r="H14" s="42">
        <f t="shared" si="0"/>
        <v>0.99024487431063379</v>
      </c>
      <c r="I14" s="42">
        <f t="shared" si="17"/>
        <v>990.2448743106338</v>
      </c>
      <c r="J14" s="5">
        <f t="shared" si="1"/>
        <v>1.0099108262336461E-3</v>
      </c>
      <c r="K14" s="41">
        <f t="shared" si="2"/>
        <v>71.430654211561176</v>
      </c>
      <c r="L14" s="5">
        <f t="shared" si="18"/>
        <v>5.8207843982775623E-4</v>
      </c>
      <c r="M14" s="5">
        <f t="shared" si="3"/>
        <v>1.7232189384339569E-2</v>
      </c>
      <c r="N14" s="42">
        <f t="shared" si="19"/>
        <v>13.404901273924571</v>
      </c>
      <c r="O14" s="2">
        <f t="shared" si="20"/>
        <v>3.9363954947074921E-14</v>
      </c>
      <c r="P14" s="83">
        <f t="shared" si="21"/>
        <v>5.7370317367127637</v>
      </c>
      <c r="Q14" s="5">
        <f t="shared" si="22"/>
        <v>1.8321805281721526E-6</v>
      </c>
      <c r="R14" s="5">
        <f t="shared" si="4"/>
        <v>1.0018321805281721E-3</v>
      </c>
      <c r="S14" s="2">
        <f t="shared" si="5"/>
        <v>9.4706846991259923E-9</v>
      </c>
      <c r="T14" s="54"/>
      <c r="U14" s="5">
        <f t="shared" si="23"/>
        <v>0.10493785324304145</v>
      </c>
      <c r="V14" s="5">
        <f t="shared" si="6"/>
        <v>-4.1219270608193824E-2</v>
      </c>
      <c r="W14" s="4">
        <f t="shared" si="7"/>
        <v>-3.381177855479222E-2</v>
      </c>
      <c r="X14" s="3">
        <f t="shared" si="24"/>
        <v>-33.81177855479222</v>
      </c>
      <c r="Y14" s="54"/>
      <c r="Z14" s="5">
        <f t="shared" si="8"/>
        <v>1.3791319938972074E-13</v>
      </c>
      <c r="AA14" s="5">
        <f t="shared" si="9"/>
        <v>1.1157162886397719E-7</v>
      </c>
      <c r="AB14" s="5">
        <f t="shared" si="10"/>
        <v>4.2257162886397719E-7</v>
      </c>
      <c r="AC14" s="5">
        <f t="shared" si="11"/>
        <v>1.3857162886397721E-7</v>
      </c>
      <c r="AD14" s="5">
        <f t="shared" si="12"/>
        <v>2.6457162886397718E-7</v>
      </c>
      <c r="AE14" s="5">
        <f t="shared" si="13"/>
        <v>9.6162161538297148E-11</v>
      </c>
      <c r="AF14" s="5">
        <f t="shared" si="25"/>
        <v>2.4E-9</v>
      </c>
      <c r="AG14" s="5">
        <f t="shared" si="26"/>
        <v>2.4963000747376867E-9</v>
      </c>
      <c r="AH14" s="4">
        <f t="shared" si="14"/>
        <v>1.8252977605001141E-6</v>
      </c>
      <c r="AI14" s="4">
        <f t="shared" si="27"/>
        <v>1825.2977605001142</v>
      </c>
      <c r="AJ14" s="54"/>
      <c r="AK14" s="5">
        <f t="shared" si="28"/>
        <v>7.3529507132845981E-10</v>
      </c>
      <c r="AL14" s="4">
        <f t="shared" si="29"/>
        <v>5.0000000000000001E-9</v>
      </c>
      <c r="AM14" s="4">
        <f t="shared" si="30"/>
        <v>1.8941369398251985E-8</v>
      </c>
      <c r="AN14" s="88"/>
      <c r="AO14" s="5">
        <f t="shared" si="31"/>
        <v>7.2244517029342372E-12</v>
      </c>
      <c r="AP14" s="5">
        <f t="shared" si="32"/>
        <v>1.5846715724669648E-12</v>
      </c>
      <c r="AQ14" s="5">
        <f t="shared" si="33"/>
        <v>1.3377933993775069E-10</v>
      </c>
      <c r="AR14" s="5">
        <f t="shared" si="34"/>
        <v>5.487675982778589E-15</v>
      </c>
      <c r="AS14" s="5">
        <f t="shared" si="35"/>
        <v>1.4259395088913467E-10</v>
      </c>
      <c r="AT14" s="54"/>
      <c r="AU14" s="2">
        <v>-57.2895396095591</v>
      </c>
      <c r="AV14" s="2">
        <v>3092.7231038809559</v>
      </c>
    </row>
    <row r="15" spans="1:48" x14ac:dyDescent="0.35">
      <c r="B15" s="6"/>
      <c r="E15" s="2">
        <v>50</v>
      </c>
      <c r="F15" s="2">
        <f t="shared" si="15"/>
        <v>323.14999999999998</v>
      </c>
      <c r="G15" s="71">
        <f t="shared" si="16"/>
        <v>988.03629161147626</v>
      </c>
      <c r="H15" s="42">
        <f t="shared" si="0"/>
        <v>0.9880679997406977</v>
      </c>
      <c r="I15" s="42">
        <f t="shared" si="17"/>
        <v>988.0679997406977</v>
      </c>
      <c r="J15" s="5">
        <f t="shared" si="1"/>
        <v>1.0121359557112475E-3</v>
      </c>
      <c r="K15" s="41">
        <f t="shared" si="2"/>
        <v>69.828953813186246</v>
      </c>
      <c r="L15" s="5">
        <f t="shared" si="18"/>
        <v>5.3381342410548603E-4</v>
      </c>
      <c r="M15" s="5">
        <f t="shared" si="3"/>
        <v>1.8495391327882946E-2</v>
      </c>
      <c r="N15" s="42">
        <f t="shared" si="19"/>
        <v>13.262496376836017</v>
      </c>
      <c r="O15" s="2">
        <f t="shared" si="20"/>
        <v>5.4639110820899895E-14</v>
      </c>
      <c r="P15" s="83">
        <f t="shared" si="21"/>
        <v>5.5796400279741452</v>
      </c>
      <c r="Q15" s="5">
        <f t="shared" si="22"/>
        <v>2.6324490359570643E-6</v>
      </c>
      <c r="R15" s="5">
        <f t="shared" si="4"/>
        <v>1.0026324490359571E-3</v>
      </c>
      <c r="S15" s="2">
        <f t="shared" si="5"/>
        <v>9.4334284402935989E-9</v>
      </c>
      <c r="T15" s="54"/>
      <c r="U15" s="5">
        <f t="shared" si="23"/>
        <v>0.15029905210479916</v>
      </c>
      <c r="V15" s="5">
        <f t="shared" si="6"/>
        <v>-3.5195138816916639E-2</v>
      </c>
      <c r="W15" s="4">
        <f t="shared" si="7"/>
        <v>-3.0215412311821711E-2</v>
      </c>
      <c r="X15" s="3">
        <f t="shared" si="24"/>
        <v>-30.215412311821712</v>
      </c>
      <c r="Y15" s="54"/>
      <c r="Z15" s="5">
        <f t="shared" si="8"/>
        <v>9.6014717331545038E-14</v>
      </c>
      <c r="AA15" s="5">
        <f t="shared" si="9"/>
        <v>1.164992460162889E-7</v>
      </c>
      <c r="AB15" s="5">
        <f t="shared" si="10"/>
        <v>4.2749924601628892E-7</v>
      </c>
      <c r="AC15" s="5">
        <f t="shared" si="11"/>
        <v>1.4349924601628892E-7</v>
      </c>
      <c r="AD15" s="5">
        <f t="shared" si="12"/>
        <v>2.6949924601628891E-7</v>
      </c>
      <c r="AE15" s="5">
        <f t="shared" si="13"/>
        <v>6.6253859968530375E-11</v>
      </c>
      <c r="AF15" s="5">
        <f t="shared" si="25"/>
        <v>2.4E-9</v>
      </c>
      <c r="AG15" s="5">
        <f t="shared" si="26"/>
        <v>2.4663498746858619E-9</v>
      </c>
      <c r="AH15" s="4">
        <f t="shared" si="14"/>
        <v>1.6360237525346761E-6</v>
      </c>
      <c r="AI15" s="4">
        <f t="shared" si="27"/>
        <v>1636.0237525346761</v>
      </c>
      <c r="AJ15" s="54"/>
      <c r="AK15" s="5">
        <f t="shared" si="28"/>
        <v>7.4052293628419303E-10</v>
      </c>
      <c r="AL15" s="4">
        <f t="shared" si="29"/>
        <v>5.0000000000000001E-9</v>
      </c>
      <c r="AM15" s="4">
        <f t="shared" si="30"/>
        <v>1.8866856880587198E-8</v>
      </c>
      <c r="AN15" s="88"/>
      <c r="AO15" s="5">
        <f t="shared" si="31"/>
        <v>5.91110130049875E-12</v>
      </c>
      <c r="AP15" s="5">
        <f t="shared" si="32"/>
        <v>1.8042087027182364E-12</v>
      </c>
      <c r="AQ15" s="5">
        <f t="shared" si="33"/>
        <v>1.2231878200833643E-10</v>
      </c>
      <c r="AR15" s="5">
        <f t="shared" si="34"/>
        <v>4.7680931844901528E-15</v>
      </c>
      <c r="AS15" s="5">
        <f t="shared" si="35"/>
        <v>1.3003886010473791E-10</v>
      </c>
      <c r="AT15" s="54"/>
      <c r="AU15" s="2">
        <v>-58.020490370745684</v>
      </c>
      <c r="AV15" s="2">
        <v>3141.5391491014907</v>
      </c>
    </row>
    <row r="16" spans="1:48" x14ac:dyDescent="0.35">
      <c r="A16" s="43"/>
      <c r="B16" s="36"/>
      <c r="C16" s="6"/>
      <c r="E16" s="2">
        <v>55</v>
      </c>
      <c r="F16" s="2">
        <f t="shared" si="15"/>
        <v>328.15</v>
      </c>
      <c r="G16" s="71">
        <f t="shared" si="16"/>
        <v>985.69523966623524</v>
      </c>
      <c r="H16" s="42">
        <f t="shared" si="0"/>
        <v>0.9857270111339177</v>
      </c>
      <c r="I16" s="42">
        <f t="shared" si="17"/>
        <v>985.7270111339177</v>
      </c>
      <c r="J16" s="5">
        <f t="shared" si="1"/>
        <v>1.0145398050478522E-3</v>
      </c>
      <c r="K16" s="41">
        <f t="shared" si="2"/>
        <v>68.263607189811239</v>
      </c>
      <c r="L16" s="5">
        <f t="shared" si="18"/>
        <v>4.9186012138397036E-4</v>
      </c>
      <c r="M16" s="5">
        <f t="shared" si="3"/>
        <v>1.975109327142632E-2</v>
      </c>
      <c r="N16" s="42">
        <f t="shared" si="19"/>
        <v>13.130248301853779</v>
      </c>
      <c r="O16" s="2">
        <f t="shared" si="20"/>
        <v>7.4088652857724808E-14</v>
      </c>
      <c r="P16" s="83">
        <f t="shared" si="21"/>
        <v>5.4334740538791406</v>
      </c>
      <c r="Q16" s="5">
        <f t="shared" si="22"/>
        <v>3.6857506103029199E-6</v>
      </c>
      <c r="R16" s="5">
        <f t="shared" si="4"/>
        <v>1.0036857506103029E-3</v>
      </c>
      <c r="S16" s="2">
        <f t="shared" si="5"/>
        <v>9.3940427302051138E-9</v>
      </c>
      <c r="T16" s="54"/>
      <c r="U16" s="5">
        <f t="shared" si="23"/>
        <v>0.20977774209104977</v>
      </c>
      <c r="V16" s="5">
        <f t="shared" si="6"/>
        <v>-2.9451796040055274E-2</v>
      </c>
      <c r="W16" s="4">
        <f t="shared" si="7"/>
        <v>-2.6796474329335115E-2</v>
      </c>
      <c r="X16" s="3">
        <f t="shared" si="24"/>
        <v>-26.796474329335116</v>
      </c>
      <c r="Y16" s="54"/>
      <c r="Z16" s="5">
        <f t="shared" si="8"/>
        <v>6.8592021951496669E-14</v>
      </c>
      <c r="AA16" s="5">
        <f t="shared" si="9"/>
        <v>1.2149034418191461E-7</v>
      </c>
      <c r="AB16" s="5">
        <f t="shared" si="10"/>
        <v>4.3249034418191463E-7</v>
      </c>
      <c r="AC16" s="5">
        <f t="shared" si="11"/>
        <v>1.4849034418191462E-7</v>
      </c>
      <c r="AD16" s="5">
        <f t="shared" si="12"/>
        <v>2.7449034418191461E-7</v>
      </c>
      <c r="AE16" s="5">
        <f t="shared" si="13"/>
        <v>4.314288135070458E-11</v>
      </c>
      <c r="AF16" s="5">
        <f t="shared" si="25"/>
        <v>2.4E-9</v>
      </c>
      <c r="AG16" s="5">
        <f t="shared" si="26"/>
        <v>2.4432114733726561E-9</v>
      </c>
      <c r="AH16" s="4">
        <f t="shared" si="14"/>
        <v>1.4539691313853353E-6</v>
      </c>
      <c r="AI16" s="4">
        <f t="shared" si="27"/>
        <v>1453.9691313853355</v>
      </c>
      <c r="AJ16" s="54"/>
      <c r="AK16" s="5">
        <f t="shared" si="28"/>
        <v>7.4596176531794556E-10</v>
      </c>
      <c r="AL16" s="4">
        <f t="shared" si="29"/>
        <v>5.0000000000000001E-9</v>
      </c>
      <c r="AM16" s="4">
        <f t="shared" si="30"/>
        <v>1.8788085460410228E-8</v>
      </c>
      <c r="AN16" s="88"/>
      <c r="AO16" s="5">
        <f t="shared" si="31"/>
        <v>4.7623404774699035E-12</v>
      </c>
      <c r="AP16" s="5">
        <f t="shared" si="32"/>
        <v>1.9733276468906437E-12</v>
      </c>
      <c r="AQ16" s="5">
        <f t="shared" si="33"/>
        <v>1.0922318954536624E-10</v>
      </c>
      <c r="AR16" s="5">
        <f t="shared" si="34"/>
        <v>4.058536579353626E-15</v>
      </c>
      <c r="AS16" s="5">
        <f t="shared" si="35"/>
        <v>1.1596291620630613E-10</v>
      </c>
      <c r="AT16" s="54"/>
      <c r="AU16" s="2">
        <v>-58.749397912361566</v>
      </c>
      <c r="AV16" s="2">
        <v>3187.7257514350044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E17" s="2">
        <v>60</v>
      </c>
      <c r="F17" s="2">
        <f t="shared" si="15"/>
        <v>333.15</v>
      </c>
      <c r="G17" s="71">
        <f t="shared" si="16"/>
        <v>983.19888300964794</v>
      </c>
      <c r="H17" s="42">
        <f t="shared" si="0"/>
        <v>0.98323072201764661</v>
      </c>
      <c r="I17" s="42">
        <f t="shared" si="17"/>
        <v>983.2307220176466</v>
      </c>
      <c r="J17" s="5">
        <f t="shared" si="1"/>
        <v>1.0171157367738438E-3</v>
      </c>
      <c r="K17" s="41">
        <f t="shared" si="2"/>
        <v>66.733556841436226</v>
      </c>
      <c r="L17" s="5">
        <f t="shared" si="18"/>
        <v>4.551522606346572E-4</v>
      </c>
      <c r="M17" s="5">
        <f t="shared" si="3"/>
        <v>2.0999295214969693E-2</v>
      </c>
      <c r="N17" s="42">
        <f t="shared" si="19"/>
        <v>13.007657769459144</v>
      </c>
      <c r="O17" s="2">
        <f t="shared" si="20"/>
        <v>9.8252187996499737E-14</v>
      </c>
      <c r="P17" s="83">
        <f t="shared" si="21"/>
        <v>5.2979819903107765</v>
      </c>
      <c r="Q17" s="5">
        <f t="shared" si="22"/>
        <v>5.0352148880799653E-6</v>
      </c>
      <c r="R17" s="5">
        <f t="shared" si="4"/>
        <v>1.00503521488808E-3</v>
      </c>
      <c r="S17" s="2">
        <f t="shared" si="5"/>
        <v>9.3523767861515715E-9</v>
      </c>
      <c r="T17" s="54"/>
      <c r="U17" s="5">
        <f t="shared" si="23"/>
        <v>0.28569536206449148</v>
      </c>
      <c r="V17" s="5">
        <f t="shared" si="6"/>
        <v>-2.3986760210307934E-2</v>
      </c>
      <c r="W17" s="4">
        <f t="shared" si="7"/>
        <v>-2.355359962652789E-2</v>
      </c>
      <c r="X17" s="3">
        <f t="shared" si="24"/>
        <v>-23.553599626527891</v>
      </c>
      <c r="Y17" s="54"/>
      <c r="Z17" s="5">
        <f t="shared" si="8"/>
        <v>5.021875195454609E-14</v>
      </c>
      <c r="AA17" s="5">
        <f t="shared" si="9"/>
        <v>1.2653011986162464E-7</v>
      </c>
      <c r="AB17" s="5">
        <f t="shared" si="10"/>
        <v>4.3753011986162466E-7</v>
      </c>
      <c r="AC17" s="5">
        <f t="shared" si="11"/>
        <v>1.5353011986162466E-7</v>
      </c>
      <c r="AD17" s="5">
        <f t="shared" si="12"/>
        <v>2.7953011986162465E-7</v>
      </c>
      <c r="AE17" s="5">
        <f t="shared" si="13"/>
        <v>2.5825756692027287E-11</v>
      </c>
      <c r="AF17" s="5">
        <f t="shared" si="25"/>
        <v>2.4E-9</v>
      </c>
      <c r="AG17" s="5">
        <f t="shared" si="26"/>
        <v>2.425875975443982E-9</v>
      </c>
      <c r="AH17" s="4">
        <f t="shared" si="14"/>
        <v>1.2795711259002882E-6</v>
      </c>
      <c r="AI17" s="4">
        <f t="shared" si="27"/>
        <v>1279.5711259002883</v>
      </c>
      <c r="AJ17" s="54"/>
      <c r="AK17" s="5">
        <f t="shared" si="28"/>
        <v>7.5161271702545601E-10</v>
      </c>
      <c r="AL17" s="4">
        <f t="shared" si="29"/>
        <v>5.0000000000000001E-9</v>
      </c>
      <c r="AM17" s="4">
        <f t="shared" si="30"/>
        <v>1.8704753572303143E-8</v>
      </c>
      <c r="AN17" s="88"/>
      <c r="AO17" s="5">
        <f t="shared" si="31"/>
        <v>3.7499670396587434E-12</v>
      </c>
      <c r="AP17" s="5">
        <f t="shared" si="32"/>
        <v>2.0605629915926372E-12</v>
      </c>
      <c r="AQ17" s="5">
        <f t="shared" si="33"/>
        <v>9.4577518731615325E-11</v>
      </c>
      <c r="AR17" s="5">
        <f t="shared" si="34"/>
        <v>3.3600609750108684E-15</v>
      </c>
      <c r="AS17" s="5">
        <f t="shared" si="35"/>
        <v>1.0039140882384172E-10</v>
      </c>
      <c r="AT17" s="54"/>
      <c r="AU17" s="2">
        <v>-59.476111892124187</v>
      </c>
      <c r="AV17" s="2">
        <v>3231.0948972550918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E18" s="2">
        <v>65</v>
      </c>
      <c r="F18" s="2">
        <f t="shared" si="15"/>
        <v>338.15</v>
      </c>
      <c r="G18" s="71">
        <f t="shared" si="16"/>
        <v>980.55481983181551</v>
      </c>
      <c r="H18" s="42">
        <f t="shared" si="0"/>
        <v>0.98058673037641231</v>
      </c>
      <c r="I18" s="42">
        <f t="shared" si="17"/>
        <v>980.58673037641233</v>
      </c>
      <c r="J18" s="5">
        <f t="shared" si="1"/>
        <v>1.0198583863563109E-3</v>
      </c>
      <c r="K18" s="41">
        <f t="shared" si="2"/>
        <v>65.237745268061218</v>
      </c>
      <c r="L18" s="5">
        <f t="shared" si="18"/>
        <v>4.2285477466816275E-4</v>
      </c>
      <c r="M18" s="5">
        <f t="shared" si="3"/>
        <v>2.2239997158513065E-2</v>
      </c>
      <c r="N18" s="42">
        <f t="shared" si="19"/>
        <v>12.893913443972313</v>
      </c>
      <c r="O18" s="2">
        <f t="shared" si="20"/>
        <v>1.2766932317617458E-13</v>
      </c>
      <c r="P18" s="83">
        <f t="shared" si="21"/>
        <v>5.1722671159370295</v>
      </c>
      <c r="Q18" s="5">
        <f t="shared" si="22"/>
        <v>6.7256286442932993E-6</v>
      </c>
      <c r="R18" s="5">
        <f t="shared" si="4"/>
        <v>1.0067256286442933E-3</v>
      </c>
      <c r="S18" s="2">
        <f t="shared" si="5"/>
        <v>9.3082747611537088E-9</v>
      </c>
      <c r="T18" s="54"/>
      <c r="U18" s="5">
        <f t="shared" si="23"/>
        <v>0.38044701484418531</v>
      </c>
      <c r="V18" s="5">
        <f t="shared" si="6"/>
        <v>-1.878062231586565E-2</v>
      </c>
      <c r="W18" s="4">
        <f t="shared" si="7"/>
        <v>-2.0475539794195481E-2</v>
      </c>
      <c r="X18" s="3">
        <f t="shared" si="24"/>
        <v>-20.47553979419548</v>
      </c>
      <c r="Y18" s="54"/>
      <c r="Z18" s="5">
        <f t="shared" si="8"/>
        <v>3.7602926954671802E-14</v>
      </c>
      <c r="AA18" s="5">
        <f t="shared" si="9"/>
        <v>1.3160155080756584E-7</v>
      </c>
      <c r="AB18" s="5">
        <f t="shared" si="10"/>
        <v>4.4260155080756583E-7</v>
      </c>
      <c r="AC18" s="5">
        <f t="shared" si="11"/>
        <v>1.5860155080756583E-7</v>
      </c>
      <c r="AD18" s="5">
        <f t="shared" si="12"/>
        <v>2.8460155080756582E-7</v>
      </c>
      <c r="AE18" s="5">
        <f t="shared" si="13"/>
        <v>1.3414401984927714E-11</v>
      </c>
      <c r="AF18" s="5">
        <f t="shared" si="25"/>
        <v>2.4E-9</v>
      </c>
      <c r="AG18" s="5">
        <f t="shared" si="26"/>
        <v>2.4134520049118824E-9</v>
      </c>
      <c r="AH18" s="4">
        <f t="shared" si="14"/>
        <v>1.1126782616363331E-6</v>
      </c>
      <c r="AI18" s="4">
        <f t="shared" si="27"/>
        <v>1112.678261636333</v>
      </c>
      <c r="AJ18" s="54"/>
      <c r="AK18" s="5">
        <f t="shared" si="28"/>
        <v>7.5747774182415526E-10</v>
      </c>
      <c r="AL18" s="4">
        <f t="shared" si="29"/>
        <v>5.0000000000000001E-9</v>
      </c>
      <c r="AM18" s="4">
        <f t="shared" si="30"/>
        <v>1.8616549522307418E-8</v>
      </c>
      <c r="AN18" s="88"/>
      <c r="AO18" s="5">
        <f t="shared" si="31"/>
        <v>2.8488433429744825E-12</v>
      </c>
      <c r="AP18" s="5">
        <f t="shared" si="32"/>
        <v>2.0319585887891983E-12</v>
      </c>
      <c r="AQ18" s="5">
        <f t="shared" si="33"/>
        <v>7.8446672599718858E-11</v>
      </c>
      <c r="AR18" s="5">
        <f t="shared" si="34"/>
        <v>2.6721327628021087E-15</v>
      </c>
      <c r="AS18" s="5">
        <f t="shared" si="35"/>
        <v>8.3330146664245346E-11</v>
      </c>
      <c r="AT18" s="54"/>
      <c r="AU18" s="2">
        <v>-60.200474629181791</v>
      </c>
      <c r="AV18" s="2">
        <v>3271.4038368791907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E19" s="2">
        <v>70</v>
      </c>
      <c r="F19" s="2">
        <f t="shared" si="15"/>
        <v>343.15</v>
      </c>
      <c r="G19" s="71">
        <f t="shared" si="16"/>
        <v>977.76961965898226</v>
      </c>
      <c r="H19" s="42">
        <f t="shared" si="0"/>
        <v>0.97780160555871698</v>
      </c>
      <c r="I19" s="42">
        <f t="shared" si="17"/>
        <v>977.80160555871703</v>
      </c>
      <c r="J19" s="5">
        <f t="shared" si="1"/>
        <v>1.0227634773888343E-3</v>
      </c>
      <c r="K19" s="41">
        <f t="shared" si="2"/>
        <v>63.775114969686193</v>
      </c>
      <c r="L19" s="5">
        <f t="shared" si="18"/>
        <v>3.9430528460587106E-4</v>
      </c>
      <c r="M19" s="5">
        <f t="shared" si="3"/>
        <v>2.3473199102056436E-2</v>
      </c>
      <c r="N19" s="42">
        <f t="shared" si="19"/>
        <v>12.788133131675163</v>
      </c>
      <c r="O19" s="2">
        <f t="shared" si="20"/>
        <v>1.6287966533569951E-13</v>
      </c>
      <c r="P19" s="83">
        <f t="shared" si="21"/>
        <v>5.0553543942277477</v>
      </c>
      <c r="Q19" s="5">
        <f t="shared" si="22"/>
        <v>8.8033021024420566E-6</v>
      </c>
      <c r="R19" s="5">
        <f t="shared" si="4"/>
        <v>1.008803302102442E-3</v>
      </c>
      <c r="S19" s="2">
        <f t="shared" si="5"/>
        <v>9.2615775725425815E-9</v>
      </c>
      <c r="T19" s="54"/>
      <c r="U19" s="5">
        <f t="shared" si="23"/>
        <v>0.4964978150026812</v>
      </c>
      <c r="V19" s="5">
        <f t="shared" si="6"/>
        <v>-1.3808015093394688E-2</v>
      </c>
      <c r="W19" s="4">
        <f t="shared" si="7"/>
        <v>-1.7547684397918706E-2</v>
      </c>
      <c r="X19" s="3">
        <f t="shared" si="24"/>
        <v>-17.547684397918704</v>
      </c>
      <c r="Y19" s="54"/>
      <c r="Z19" s="5">
        <f t="shared" si="8"/>
        <v>2.8732181644949035E-14</v>
      </c>
      <c r="AA19" s="5">
        <f t="shared" si="9"/>
        <v>1.3668511642921503E-7</v>
      </c>
      <c r="AB19" s="5">
        <f t="shared" si="10"/>
        <v>4.4768511642921502E-7</v>
      </c>
      <c r="AC19" s="5">
        <f t="shared" si="11"/>
        <v>1.6368511642921502E-7</v>
      </c>
      <c r="AD19" s="5">
        <f t="shared" si="12"/>
        <v>2.8968511642921501E-7</v>
      </c>
      <c r="AE19" s="5">
        <f t="shared" si="13"/>
        <v>5.1715426430911463E-12</v>
      </c>
      <c r="AF19" s="5">
        <f t="shared" si="25"/>
        <v>2.4E-9</v>
      </c>
      <c r="AG19" s="5">
        <f t="shared" si="26"/>
        <v>2.4052002748247362E-9</v>
      </c>
      <c r="AH19" s="4">
        <f t="shared" si="14"/>
        <v>9.5291858067481291E-7</v>
      </c>
      <c r="AI19" s="4">
        <f t="shared" si="27"/>
        <v>952.91858067481292</v>
      </c>
      <c r="AJ19" s="54"/>
      <c r="AK19" s="5">
        <f t="shared" si="28"/>
        <v>7.6355962636709782E-10</v>
      </c>
      <c r="AL19" s="4">
        <f t="shared" si="29"/>
        <v>5.0000000000000001E-9</v>
      </c>
      <c r="AM19" s="4">
        <f t="shared" si="30"/>
        <v>1.8523155145085163E-8</v>
      </c>
      <c r="AN19" s="88"/>
      <c r="AO19" s="5">
        <f t="shared" si="31"/>
        <v>2.0383438509657372E-12</v>
      </c>
      <c r="AP19" s="5">
        <f t="shared" si="32"/>
        <v>1.8513489056345148E-12</v>
      </c>
      <c r="AQ19" s="5">
        <f t="shared" si="33"/>
        <v>6.0886122511985553E-11</v>
      </c>
      <c r="AR19" s="5">
        <f t="shared" si="34"/>
        <v>1.9936851338638557E-15</v>
      </c>
      <c r="AS19" s="5">
        <f t="shared" si="35"/>
        <v>6.4777808953719675E-11</v>
      </c>
      <c r="AT19" s="54"/>
      <c r="AU19" s="2">
        <v>-60.922320775684582</v>
      </c>
      <c r="AV19" s="2">
        <v>3308.3573869157026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E20" s="2">
        <v>75</v>
      </c>
      <c r="F20" s="2">
        <f t="shared" si="15"/>
        <v>348.15</v>
      </c>
      <c r="G20" s="71">
        <f t="shared" si="16"/>
        <v>974.84896849496351</v>
      </c>
      <c r="H20" s="42">
        <f t="shared" si="0"/>
        <v>0.97488103341453813</v>
      </c>
      <c r="I20" s="42">
        <f t="shared" si="17"/>
        <v>974.88103341453814</v>
      </c>
      <c r="J20" s="5">
        <f t="shared" si="1"/>
        <v>1.0258276806011156E-3</v>
      </c>
      <c r="K20" s="41">
        <f t="shared" si="2"/>
        <v>62.344608446311184</v>
      </c>
      <c r="L20" s="5">
        <f t="shared" si="18"/>
        <v>3.6897146601741303E-4</v>
      </c>
      <c r="M20" s="5">
        <f t="shared" si="3"/>
        <v>2.4698901045599807E-2</v>
      </c>
      <c r="N20" s="42">
        <f t="shared" si="19"/>
        <v>12.689470621937891</v>
      </c>
      <c r="O20" s="2">
        <f t="shared" si="20"/>
        <v>2.0442282141402446E-13</v>
      </c>
      <c r="P20" s="83">
        <f t="shared" si="21"/>
        <v>4.9463085586317046</v>
      </c>
      <c r="Q20" s="5">
        <f t="shared" si="22"/>
        <v>1.1315960983299578E-5</v>
      </c>
      <c r="R20" s="5">
        <f t="shared" si="4"/>
        <v>1.0113159609832995E-3</v>
      </c>
      <c r="S20" s="2">
        <f t="shared" si="5"/>
        <v>9.2121247247477551E-9</v>
      </c>
      <c r="T20" s="54"/>
      <c r="U20" s="5">
        <f t="shared" si="23"/>
        <v>0.63638191674829536</v>
      </c>
      <c r="V20" s="5">
        <f t="shared" si="6"/>
        <v>-9.0427983392198114E-3</v>
      </c>
      <c r="W20" s="4">
        <f t="shared" si="7"/>
        <v>-1.4755135171039029E-2</v>
      </c>
      <c r="X20" s="3">
        <f t="shared" si="24"/>
        <v>-14.755135171039029</v>
      </c>
      <c r="Y20" s="54"/>
      <c r="Z20" s="5">
        <f t="shared" si="8"/>
        <v>2.2354948930676519E-14</v>
      </c>
      <c r="AA20" s="5">
        <f t="shared" si="9"/>
        <v>1.4175878239507533E-7</v>
      </c>
      <c r="AB20" s="5">
        <f t="shared" si="10"/>
        <v>4.5275878239507535E-7</v>
      </c>
      <c r="AC20" s="5">
        <f t="shared" si="11"/>
        <v>1.6875878239507534E-7</v>
      </c>
      <c r="AD20" s="5">
        <f t="shared" si="12"/>
        <v>2.9475878239507533E-7</v>
      </c>
      <c r="AE20" s="5">
        <f t="shared" si="13"/>
        <v>4.9715083299560184E-13</v>
      </c>
      <c r="AF20" s="5">
        <f t="shared" si="25"/>
        <v>2.4E-9</v>
      </c>
      <c r="AG20" s="5">
        <f t="shared" si="26"/>
        <v>2.4005195057819265E-9</v>
      </c>
      <c r="AH20" s="4">
        <f t="shared" si="14"/>
        <v>7.9988424325579344E-7</v>
      </c>
      <c r="AI20" s="4">
        <f t="shared" si="27"/>
        <v>799.88424325579342</v>
      </c>
      <c r="AJ20" s="54"/>
      <c r="AK20" s="5">
        <f t="shared" si="28"/>
        <v>7.6986204498537211E-10</v>
      </c>
      <c r="AL20" s="4">
        <f t="shared" si="29"/>
        <v>5.0000000000000001E-9</v>
      </c>
      <c r="AM20" s="4">
        <f t="shared" si="30"/>
        <v>1.842424944949551E-8</v>
      </c>
      <c r="AN20" s="88"/>
      <c r="AO20" s="5">
        <f t="shared" si="31"/>
        <v>1.3021740439500975E-12</v>
      </c>
      <c r="AP20" s="5">
        <f t="shared" si="32"/>
        <v>1.4806451648307861E-12</v>
      </c>
      <c r="AQ20" s="5">
        <f t="shared" si="33"/>
        <v>4.1949970663282332E-11</v>
      </c>
      <c r="AR20" s="5">
        <f t="shared" si="34"/>
        <v>1.32364026149919E-15</v>
      </c>
      <c r="AS20" s="5">
        <f t="shared" si="35"/>
        <v>4.4734113512324716E-11</v>
      </c>
      <c r="AT20" s="54"/>
      <c r="AU20" s="2">
        <v>-61.641476941529291</v>
      </c>
      <c r="AV20" s="2">
        <v>3341.6193953851739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E21" s="2">
        <v>80</v>
      </c>
      <c r="F21" s="2">
        <f t="shared" si="15"/>
        <v>353.15</v>
      </c>
      <c r="G21" s="71">
        <f t="shared" si="16"/>
        <v>971.79778269157964</v>
      </c>
      <c r="H21" s="42">
        <f t="shared" si="0"/>
        <v>0.97182993016268127</v>
      </c>
      <c r="I21" s="42">
        <f t="shared" si="17"/>
        <v>971.82993016268131</v>
      </c>
      <c r="J21" s="5">
        <f t="shared" si="1"/>
        <v>1.0290485058710593E-3</v>
      </c>
      <c r="K21" s="41">
        <f t="shared" si="2"/>
        <v>60.945168197936184</v>
      </c>
      <c r="L21" s="5">
        <f t="shared" si="18"/>
        <v>3.4641986885313461E-4</v>
      </c>
      <c r="M21" s="5">
        <f t="shared" si="3"/>
        <v>2.5917102989143185E-2</v>
      </c>
      <c r="N21" s="42">
        <f t="shared" si="19"/>
        <v>12.597156969451365</v>
      </c>
      <c r="O21" s="2">
        <f t="shared" si="20"/>
        <v>2.5283839835009936E-13</v>
      </c>
      <c r="P21" s="83">
        <f t="shared" si="21"/>
        <v>4.8442797393859571</v>
      </c>
      <c r="Q21" s="5">
        <f t="shared" si="22"/>
        <v>1.4312656900877398E-5</v>
      </c>
      <c r="R21" s="5">
        <f t="shared" si="4"/>
        <v>1.0143126569008775E-3</v>
      </c>
      <c r="S21" s="2">
        <f t="shared" si="5"/>
        <v>9.1597561557313473E-9</v>
      </c>
      <c r="T21" s="54"/>
      <c r="U21" s="5">
        <f t="shared" si="23"/>
        <v>0.80270374241927844</v>
      </c>
      <c r="V21" s="5">
        <f t="shared" si="6"/>
        <v>-4.4603268006020453E-3</v>
      </c>
      <c r="W21" s="4">
        <f t="shared" si="7"/>
        <v>-1.2084044939933711E-2</v>
      </c>
      <c r="X21" s="3">
        <f t="shared" si="24"/>
        <v>-12.084044939933712</v>
      </c>
      <c r="Y21" s="54"/>
      <c r="Z21" s="5">
        <f t="shared" si="8"/>
        <v>1.7676191292157351E-14</v>
      </c>
      <c r="AA21" s="5">
        <f t="shared" si="9"/>
        <v>1.4679820865070307E-7</v>
      </c>
      <c r="AB21" s="5">
        <f t="shared" si="10"/>
        <v>4.5779820865070304E-7</v>
      </c>
      <c r="AC21" s="5">
        <f t="shared" si="11"/>
        <v>1.7379820865070306E-7</v>
      </c>
      <c r="AD21" s="5">
        <f t="shared" si="12"/>
        <v>2.9979820865070303E-7</v>
      </c>
      <c r="AE21" s="5">
        <f t="shared" si="13"/>
        <v>-1.0982593050678454E-12</v>
      </c>
      <c r="AF21" s="5">
        <f t="shared" si="25"/>
        <v>2.4E-9</v>
      </c>
      <c r="AG21" s="5">
        <f t="shared" si="26"/>
        <v>2.3989194168862243E-9</v>
      </c>
      <c r="AH21" s="4">
        <f t="shared" si="14"/>
        <v>6.5321860824234767E-7</v>
      </c>
      <c r="AI21" s="4">
        <f t="shared" si="27"/>
        <v>653.21860824234773</v>
      </c>
      <c r="AJ21" s="54"/>
      <c r="AK21" s="5">
        <f t="shared" si="28"/>
        <v>7.7638961862088696E-10</v>
      </c>
      <c r="AL21" s="4">
        <f t="shared" si="29"/>
        <v>5.0000000000000001E-9</v>
      </c>
      <c r="AM21" s="4">
        <f t="shared" si="30"/>
        <v>1.8319512311462695E-8</v>
      </c>
      <c r="AN21" s="88"/>
      <c r="AO21" s="5">
        <f t="shared" si="31"/>
        <v>6.2770801708723209E-13</v>
      </c>
      <c r="AP21" s="5">
        <f t="shared" si="32"/>
        <v>8.801615358186992E-13</v>
      </c>
      <c r="AQ21" s="5">
        <f t="shared" si="33"/>
        <v>2.1696936982459751E-11</v>
      </c>
      <c r="AR21" s="5">
        <f t="shared" si="34"/>
        <v>6.6115750975860327E-16</v>
      </c>
      <c r="AS21" s="5">
        <f t="shared" si="35"/>
        <v>2.3205467692875439E-11</v>
      </c>
      <c r="AT21" s="54"/>
      <c r="AU21" s="2">
        <v>-62.357761267354803</v>
      </c>
      <c r="AV21" s="2">
        <v>3370.8290442933917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E22" s="2">
        <v>85</v>
      </c>
      <c r="F22" s="2">
        <f t="shared" si="15"/>
        <v>358.15</v>
      </c>
      <c r="G22" s="71">
        <f t="shared" si="16"/>
        <v>968.62029913592266</v>
      </c>
      <c r="H22" s="42">
        <f t="shared" si="0"/>
        <v>0.96865253257560713</v>
      </c>
      <c r="I22" s="42">
        <f t="shared" si="17"/>
        <v>968.6525325756071</v>
      </c>
      <c r="J22" s="5">
        <f t="shared" si="1"/>
        <v>1.0324242194590313E-3</v>
      </c>
      <c r="K22" s="41">
        <f t="shared" si="2"/>
        <v>59.575736724561246</v>
      </c>
      <c r="L22" s="5">
        <f t="shared" si="18"/>
        <v>3.2629300980614414E-4</v>
      </c>
      <c r="M22" s="5">
        <f t="shared" si="3"/>
        <v>2.7127804932686562E-2</v>
      </c>
      <c r="N22" s="42">
        <f t="shared" si="19"/>
        <v>12.510511201702162</v>
      </c>
      <c r="O22" s="2">
        <f t="shared" si="20"/>
        <v>3.0866600308287458E-13</v>
      </c>
      <c r="P22" s="83">
        <f t="shared" si="21"/>
        <v>4.7485152978545937</v>
      </c>
      <c r="Q22" s="5">
        <f t="shared" si="22"/>
        <v>1.7843691337230547E-5</v>
      </c>
      <c r="R22" s="5">
        <f t="shared" si="4"/>
        <v>1.0178436913372306E-3</v>
      </c>
      <c r="S22" s="2">
        <f t="shared" si="5"/>
        <v>9.104314118918222E-9</v>
      </c>
      <c r="T22" s="54"/>
      <c r="U22" s="5">
        <f t="shared" si="23"/>
        <v>0.99814106178417084</v>
      </c>
      <c r="V22" s="5">
        <f t="shared" si="6"/>
        <v>-3.8297797216419977E-5</v>
      </c>
      <c r="W22" s="4">
        <f t="shared" si="7"/>
        <v>-9.5221138075773561E-3</v>
      </c>
      <c r="X22" s="3">
        <f t="shared" si="24"/>
        <v>-9.5221138075773553</v>
      </c>
      <c r="Y22" s="54"/>
      <c r="Z22" s="5">
        <f t="shared" si="8"/>
        <v>1.417954497261885E-14</v>
      </c>
      <c r="AA22" s="5">
        <f t="shared" si="9"/>
        <v>1.5177713749941771E-7</v>
      </c>
      <c r="AB22" s="5">
        <f t="shared" si="10"/>
        <v>4.6277713749941773E-7</v>
      </c>
      <c r="AC22" s="5">
        <f t="shared" si="11"/>
        <v>1.7877713749941773E-7</v>
      </c>
      <c r="AD22" s="5">
        <f t="shared" si="12"/>
        <v>3.0477713749941772E-7</v>
      </c>
      <c r="AE22" s="5">
        <f t="shared" si="13"/>
        <v>-2.0311101797590716E-14</v>
      </c>
      <c r="AF22" s="5">
        <f t="shared" si="25"/>
        <v>2.4E-9</v>
      </c>
      <c r="AG22" s="5">
        <f t="shared" si="26"/>
        <v>2.3999938684431751E-9</v>
      </c>
      <c r="AH22" s="4">
        <f t="shared" si="14"/>
        <v>5.126520979719349E-7</v>
      </c>
      <c r="AI22" s="4">
        <f t="shared" si="27"/>
        <v>512.65209797193495</v>
      </c>
      <c r="AJ22" s="54"/>
      <c r="AK22" s="5">
        <f t="shared" si="28"/>
        <v>7.8314798181832231E-10</v>
      </c>
      <c r="AL22" s="4">
        <f t="shared" si="29"/>
        <v>5.0000000000000001E-9</v>
      </c>
      <c r="AM22" s="4">
        <f t="shared" si="30"/>
        <v>1.8208628237836444E-8</v>
      </c>
      <c r="AN22" s="88"/>
      <c r="AO22" s="5">
        <f t="shared" si="31"/>
        <v>5.2746387330605092E-15</v>
      </c>
      <c r="AP22" s="5">
        <f t="shared" si="32"/>
        <v>8.9995222180655667E-15</v>
      </c>
      <c r="AQ22" s="5">
        <f t="shared" si="33"/>
        <v>1.9471772009726855E-13</v>
      </c>
      <c r="AR22" s="5">
        <f t="shared" si="34"/>
        <v>5.7422219974777561E-18</v>
      </c>
      <c r="AS22" s="5">
        <f t="shared" si="35"/>
        <v>2.0899762327039211E-13</v>
      </c>
      <c r="AT22" s="54"/>
      <c r="AU22" s="2">
        <v>-63.070982940183306</v>
      </c>
      <c r="AV22" s="2">
        <v>3395.6190754535023</v>
      </c>
    </row>
    <row r="23" spans="1:48" x14ac:dyDescent="0.35">
      <c r="A23" t="s">
        <v>20</v>
      </c>
      <c r="B23" s="51">
        <v>0</v>
      </c>
      <c r="C23" s="4" t="s">
        <v>52</v>
      </c>
      <c r="E23" s="2">
        <v>90</v>
      </c>
      <c r="F23" s="2">
        <f t="shared" si="15"/>
        <v>363.15</v>
      </c>
      <c r="G23" s="71">
        <f t="shared" si="16"/>
        <v>965.3201473085868</v>
      </c>
      <c r="H23" s="42">
        <f t="shared" si="0"/>
        <v>0.96535247003571245</v>
      </c>
      <c r="I23" s="42">
        <f t="shared" si="17"/>
        <v>965.35247003571249</v>
      </c>
      <c r="J23" s="5">
        <f t="shared" si="1"/>
        <v>1.035953780800865E-3</v>
      </c>
      <c r="K23" s="41">
        <f t="shared" si="2"/>
        <v>58.235256526186241</v>
      </c>
      <c r="L23" s="5">
        <f t="shared" si="18"/>
        <v>3.0829245014265448E-4</v>
      </c>
      <c r="M23" s="5">
        <f t="shared" si="3"/>
        <v>2.8331006876229928E-2</v>
      </c>
      <c r="N23" s="42">
        <f t="shared" si="19"/>
        <v>12.428937568837505</v>
      </c>
      <c r="O23" s="2">
        <f t="shared" si="20"/>
        <v>3.7244524255129788E-13</v>
      </c>
      <c r="P23" s="83">
        <f t="shared" si="21"/>
        <v>4.6583567869671398</v>
      </c>
      <c r="Q23" s="5">
        <f t="shared" si="22"/>
        <v>2.1960550012760413E-5</v>
      </c>
      <c r="R23" s="5">
        <f t="shared" si="4"/>
        <v>1.0219605500127605E-3</v>
      </c>
      <c r="S23" s="2">
        <f t="shared" si="5"/>
        <v>9.0456450997442719E-9</v>
      </c>
      <c r="T23" s="54"/>
      <c r="U23" s="5">
        <f t="shared" si="23"/>
        <v>1.2254496391792218</v>
      </c>
      <c r="V23" s="5">
        <f t="shared" si="6"/>
        <v>4.2430686574426498E-3</v>
      </c>
      <c r="W23" s="4">
        <f t="shared" si="7"/>
        <v>-7.0586905070524082E-3</v>
      </c>
      <c r="X23" s="3">
        <f t="shared" si="24"/>
        <v>-7.0586905070524084</v>
      </c>
      <c r="Y23" s="54"/>
      <c r="Z23" s="5">
        <f t="shared" si="8"/>
        <v>1.1522243590285804E-14</v>
      </c>
      <c r="AA23" s="5">
        <f t="shared" si="9"/>
        <v>1.5666791794530936E-7</v>
      </c>
      <c r="AB23" s="5">
        <f t="shared" si="10"/>
        <v>4.6766791794530938E-7</v>
      </c>
      <c r="AC23" s="5">
        <f t="shared" si="11"/>
        <v>1.8366791794530938E-7</v>
      </c>
      <c r="AD23" s="5">
        <f t="shared" si="12"/>
        <v>3.0966791794530937E-7</v>
      </c>
      <c r="AE23" s="5">
        <f t="shared" si="13"/>
        <v>3.3866322434495391E-12</v>
      </c>
      <c r="AF23" s="5">
        <f t="shared" si="25"/>
        <v>2.4E-9</v>
      </c>
      <c r="AG23" s="5">
        <f t="shared" si="26"/>
        <v>2.40339815448704E-9</v>
      </c>
      <c r="AH23" s="4">
        <f t="shared" si="14"/>
        <v>3.780110949304887E-7</v>
      </c>
      <c r="AI23" s="4">
        <f t="shared" si="27"/>
        <v>378.0110949304887</v>
      </c>
      <c r="AJ23" s="54"/>
      <c r="AK23" s="5">
        <f t="shared" si="28"/>
        <v>7.9014385846675751E-10</v>
      </c>
      <c r="AL23" s="4">
        <f t="shared" si="29"/>
        <v>5.0000000000000001E-9</v>
      </c>
      <c r="AM23" s="4">
        <f t="shared" si="30"/>
        <v>1.8091290199488544E-8</v>
      </c>
      <c r="AN23" s="88"/>
      <c r="AO23" s="5">
        <f t="shared" si="31"/>
        <v>5.7247027693324472E-13</v>
      </c>
      <c r="AP23" s="5">
        <f t="shared" si="32"/>
        <v>1.1745016608255629E-12</v>
      </c>
      <c r="AQ23" s="5">
        <f t="shared" si="33"/>
        <v>2.2476980537816237E-11</v>
      </c>
      <c r="AR23" s="5">
        <f t="shared" si="34"/>
        <v>6.4271746127396637E-16</v>
      </c>
      <c r="AS23" s="5">
        <f t="shared" si="35"/>
        <v>2.422459519303632E-11</v>
      </c>
      <c r="AT23" s="54"/>
      <c r="AU23" s="2">
        <v>-63.780941645294781</v>
      </c>
      <c r="AV23" s="2">
        <v>3415.6339768196085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E24" s="2">
        <v>95</v>
      </c>
      <c r="F24" s="2">
        <f t="shared" si="15"/>
        <v>368.15</v>
      </c>
      <c r="G24" s="71">
        <f t="shared" si="16"/>
        <v>961.90040732662351</v>
      </c>
      <c r="H24" s="42">
        <f t="shared" si="0"/>
        <v>0.9619328225767142</v>
      </c>
      <c r="I24" s="42">
        <f t="shared" si="17"/>
        <v>961.93282257671422</v>
      </c>
      <c r="J24" s="5">
        <f t="shared" si="1"/>
        <v>1.0396367946936616E-3</v>
      </c>
      <c r="K24" s="41">
        <f t="shared" si="2"/>
        <v>56.922670102811189</v>
      </c>
      <c r="L24" s="5">
        <f t="shared" si="18"/>
        <v>2.9216621391797779E-4</v>
      </c>
      <c r="M24" s="5">
        <f t="shared" si="3"/>
        <v>2.9526708819773304E-2</v>
      </c>
      <c r="N24" s="42">
        <f t="shared" si="19"/>
        <v>12.351917515046324</v>
      </c>
      <c r="O24" s="2">
        <f t="shared" si="20"/>
        <v>4.4471572369432338E-13</v>
      </c>
      <c r="P24" s="83">
        <f t="shared" si="21"/>
        <v>4.5732310776609779</v>
      </c>
      <c r="Q24" s="5">
        <f t="shared" si="22"/>
        <v>2.6715845444690152E-5</v>
      </c>
      <c r="R24" s="5">
        <f t="shared" si="4"/>
        <v>1.0267158454446903E-3</v>
      </c>
      <c r="S24" s="2">
        <f t="shared" si="5"/>
        <v>8.9836017561065492E-9</v>
      </c>
      <c r="T24" s="54"/>
      <c r="U24" s="5">
        <f t="shared" si="23"/>
        <v>1.487469194887562</v>
      </c>
      <c r="V24" s="5">
        <f t="shared" si="6"/>
        <v>8.4011456432130354E-3</v>
      </c>
      <c r="W24" s="4">
        <f t="shared" si="7"/>
        <v>-4.684699549682975E-3</v>
      </c>
      <c r="X24" s="3">
        <f t="shared" si="24"/>
        <v>-4.6846995496829749</v>
      </c>
      <c r="Y24" s="54"/>
      <c r="Z24" s="5">
        <f t="shared" si="8"/>
        <v>9.4719770228773073E-15</v>
      </c>
      <c r="AA24" s="5">
        <f t="shared" si="9"/>
        <v>1.614421229495941E-7</v>
      </c>
      <c r="AB24" s="5">
        <f t="shared" si="10"/>
        <v>4.7244212294959411E-7</v>
      </c>
      <c r="AC24" s="5">
        <f t="shared" si="11"/>
        <v>1.8844212294959411E-7</v>
      </c>
      <c r="AD24" s="5">
        <f t="shared" si="12"/>
        <v>3.144421229495941E-7</v>
      </c>
      <c r="AE24" s="5">
        <f t="shared" si="13"/>
        <v>8.8216172870104611E-12</v>
      </c>
      <c r="AF24" s="5">
        <f t="shared" si="25"/>
        <v>2.4E-9</v>
      </c>
      <c r="AG24" s="5">
        <f t="shared" si="26"/>
        <v>2.4088310892640334E-9</v>
      </c>
      <c r="AH24" s="4">
        <f t="shared" si="14"/>
        <v>2.4921263308821114E-7</v>
      </c>
      <c r="AI24" s="4">
        <f t="shared" si="27"/>
        <v>249.21263308821116</v>
      </c>
      <c r="AJ24" s="54"/>
      <c r="AK24" s="5">
        <f t="shared" si="28"/>
        <v>7.9738514712151091E-10</v>
      </c>
      <c r="AL24" s="4">
        <f t="shared" si="29"/>
        <v>5.0000000000000001E-9</v>
      </c>
      <c r="AM24" s="4">
        <f t="shared" si="30"/>
        <v>1.7967203512213098E-8</v>
      </c>
      <c r="AN24" s="88"/>
      <c r="AO24" s="5">
        <f t="shared" si="31"/>
        <v>1.1110584003827459E-12</v>
      </c>
      <c r="AP24" s="5">
        <f t="shared" si="32"/>
        <v>2.7122484431270352E-12</v>
      </c>
      <c r="AQ24" s="5">
        <f t="shared" si="33"/>
        <v>4.6224538323528644E-11</v>
      </c>
      <c r="AR24" s="5">
        <f t="shared" si="34"/>
        <v>1.2839522608305156E-15</v>
      </c>
      <c r="AS24" s="5">
        <f t="shared" si="35"/>
        <v>5.0049129119299257E-11</v>
      </c>
      <c r="AT24" s="54"/>
      <c r="AU24" s="2">
        <v>-64.487426946966067</v>
      </c>
      <c r="AV24" s="2">
        <v>3430.5468031020514</v>
      </c>
    </row>
    <row r="25" spans="1:48" x14ac:dyDescent="0.35">
      <c r="A25" t="s">
        <v>19</v>
      </c>
      <c r="B25" s="33">
        <f>Control!B18</f>
        <v>7.5</v>
      </c>
      <c r="C25" s="4"/>
      <c r="E25" s="2">
        <v>100</v>
      </c>
      <c r="F25" s="2">
        <f t="shared" si="15"/>
        <v>373.15</v>
      </c>
      <c r="G25" s="71">
        <f t="shared" si="16"/>
        <v>958.36365705165758</v>
      </c>
      <c r="H25" s="42">
        <f t="shared" si="0"/>
        <v>0.95839616799049188</v>
      </c>
      <c r="I25" s="42">
        <f t="shared" si="17"/>
        <v>958.3961679904919</v>
      </c>
      <c r="J25" s="5">
        <f t="shared" si="1"/>
        <v>1.0434734757827687E-3</v>
      </c>
      <c r="K25" s="41">
        <f t="shared" si="2"/>
        <v>55.636919954436202</v>
      </c>
      <c r="L25" s="5">
        <f t="shared" si="18"/>
        <v>2.776993622525215E-4</v>
      </c>
      <c r="M25" s="5">
        <f t="shared" si="3"/>
        <v>3.0714910763316675E-2</v>
      </c>
      <c r="N25" s="42">
        <f t="shared" si="19"/>
        <v>12.279000175809061</v>
      </c>
      <c r="O25" s="2">
        <f t="shared" si="20"/>
        <v>5.2601705345089748E-13</v>
      </c>
      <c r="P25" s="83">
        <f t="shared" si="21"/>
        <v>4.4926398560536924</v>
      </c>
      <c r="Q25" s="5">
        <f t="shared" si="22"/>
        <v>3.216326610753224E-5</v>
      </c>
      <c r="R25" s="5">
        <f t="shared" si="4"/>
        <v>1.0321632661075323E-3</v>
      </c>
      <c r="S25" s="2">
        <f t="shared" si="5"/>
        <v>8.9180448639839178E-9</v>
      </c>
      <c r="T25" s="54"/>
      <c r="U25" s="5">
        <f t="shared" si="23"/>
        <v>1.7871304340918654</v>
      </c>
      <c r="V25" s="5">
        <f t="shared" si="6"/>
        <v>1.2451130381610172E-2</v>
      </c>
      <c r="W25" s="4">
        <f t="shared" si="7"/>
        <v>-2.3925011193611069E-3</v>
      </c>
      <c r="X25" s="3">
        <f t="shared" si="24"/>
        <v>-2.392501119361107</v>
      </c>
      <c r="Y25" s="54"/>
      <c r="Z25" s="5">
        <f t="shared" si="8"/>
        <v>7.8681995583305144E-15</v>
      </c>
      <c r="AA25" s="5">
        <f t="shared" si="9"/>
        <v>1.6607121735847387E-7</v>
      </c>
      <c r="AB25" s="5">
        <f t="shared" si="10"/>
        <v>4.7707121735847392E-7</v>
      </c>
      <c r="AC25" s="5">
        <f t="shared" si="11"/>
        <v>1.9307121735847386E-7</v>
      </c>
      <c r="AD25" s="5">
        <f t="shared" si="12"/>
        <v>3.1907121735847385E-7</v>
      </c>
      <c r="AE25" s="5">
        <f t="shared" si="13"/>
        <v>1.601356925977876E-11</v>
      </c>
      <c r="AF25" s="5">
        <f t="shared" si="25"/>
        <v>2.4E-9</v>
      </c>
      <c r="AG25" s="5">
        <f t="shared" si="26"/>
        <v>2.416021437459337E-9</v>
      </c>
      <c r="AH25" s="4">
        <f t="shared" si="14"/>
        <v>1.2625177280119447E-7</v>
      </c>
      <c r="AI25" s="4">
        <f t="shared" si="27"/>
        <v>126.25177280119446</v>
      </c>
      <c r="AJ25" s="54"/>
      <c r="AK25" s="5">
        <f t="shared" si="28"/>
        <v>8.0488101689912468E-10</v>
      </c>
      <c r="AL25" s="4">
        <f t="shared" si="29"/>
        <v>5.0000000000000001E-9</v>
      </c>
      <c r="AM25" s="4">
        <f t="shared" si="30"/>
        <v>1.7836089727967836E-8</v>
      </c>
      <c r="AN25" s="88"/>
      <c r="AO25" s="5">
        <f t="shared" si="31"/>
        <v>1.6146193772735817E-12</v>
      </c>
      <c r="AP25" s="5">
        <f t="shared" si="32"/>
        <v>4.6458158337457924E-12</v>
      </c>
      <c r="AQ25" s="5">
        <f t="shared" si="33"/>
        <v>7.0939520534473741E-11</v>
      </c>
      <c r="AR25" s="5">
        <f t="shared" si="34"/>
        <v>1.9173351028745924E-15</v>
      </c>
      <c r="AS25" s="5">
        <f t="shared" si="35"/>
        <v>7.7201873080595985E-11</v>
      </c>
      <c r="AT25" s="54"/>
      <c r="AU25" s="2">
        <v>-65.190217589572981</v>
      </c>
      <c r="AV25" s="2">
        <v>3440.0737396206955</v>
      </c>
    </row>
    <row r="26" spans="1:48" x14ac:dyDescent="0.35">
      <c r="A26" t="s">
        <v>15</v>
      </c>
      <c r="B26" s="6">
        <f>10^-B25</f>
        <v>3.1622776601683699E-8</v>
      </c>
      <c r="C26" s="4"/>
      <c r="E26" s="2">
        <v>105</v>
      </c>
      <c r="F26" s="2">
        <f t="shared" si="15"/>
        <v>378.15</v>
      </c>
      <c r="G26" s="71">
        <f t="shared" si="16"/>
        <v>954.71201059337352</v>
      </c>
      <c r="H26" s="42">
        <f t="shared" si="0"/>
        <v>0.95474462032953133</v>
      </c>
      <c r="I26" s="42">
        <f t="shared" si="17"/>
        <v>954.74462032953136</v>
      </c>
      <c r="J26" s="5">
        <f t="shared" si="1"/>
        <v>1.0474646230396124E-3</v>
      </c>
      <c r="K26" s="41">
        <f t="shared" si="2"/>
        <v>54.376948581061178</v>
      </c>
      <c r="L26" s="5">
        <f t="shared" si="18"/>
        <v>2.6470687018080331E-4</v>
      </c>
      <c r="M26" s="5">
        <f t="shared" si="3"/>
        <v>3.1895612706860046E-2</v>
      </c>
      <c r="N26" s="42">
        <f t="shared" si="19"/>
        <v>12.209793087283666</v>
      </c>
      <c r="O26" s="2">
        <f t="shared" si="20"/>
        <v>6.1688883875997191E-13</v>
      </c>
      <c r="P26" s="83">
        <f t="shared" si="21"/>
        <v>4.4161493550770068</v>
      </c>
      <c r="Q26" s="5">
        <f t="shared" si="22"/>
        <v>3.8357531019395433E-5</v>
      </c>
      <c r="R26" s="5">
        <f t="shared" si="4"/>
        <v>1.0383575310193955E-3</v>
      </c>
      <c r="S26" s="2">
        <f t="shared" si="5"/>
        <v>8.8488452428146111E-9</v>
      </c>
      <c r="T26" s="54"/>
      <c r="U26" s="5">
        <f t="shared" si="23"/>
        <v>2.127462889754534</v>
      </c>
      <c r="V26" s="5">
        <f t="shared" si="6"/>
        <v>1.6406304812967697E-2</v>
      </c>
      <c r="W26" s="4">
        <f t="shared" si="7"/>
        <v>-1.7573425791767711E-4</v>
      </c>
      <c r="X26" s="3">
        <f t="shared" si="24"/>
        <v>-0.17573425791767711</v>
      </c>
      <c r="Y26" s="54"/>
      <c r="Z26" s="5">
        <f t="shared" si="8"/>
        <v>6.5979343021202005E-15</v>
      </c>
      <c r="AA26" s="5">
        <f t="shared" si="9"/>
        <v>1.7052723624785654E-7</v>
      </c>
      <c r="AB26" s="5">
        <f t="shared" si="10"/>
        <v>4.8152723624785653E-7</v>
      </c>
      <c r="AC26" s="5">
        <f t="shared" si="11"/>
        <v>1.9752723624785653E-7</v>
      </c>
      <c r="AD26" s="5">
        <f t="shared" si="12"/>
        <v>3.2352723624785652E-7</v>
      </c>
      <c r="AE26" s="5">
        <f t="shared" si="13"/>
        <v>2.4711382828630616E-11</v>
      </c>
      <c r="AF26" s="5">
        <f t="shared" si="25"/>
        <v>2.4E-9</v>
      </c>
      <c r="AG26" s="5">
        <f t="shared" si="26"/>
        <v>2.4247179807629326E-9</v>
      </c>
      <c r="AH26" s="4">
        <f t="shared" si="14"/>
        <v>9.1855329094222277E-9</v>
      </c>
      <c r="AI26" s="4">
        <f t="shared" si="27"/>
        <v>9.1855329094222284</v>
      </c>
      <c r="AJ26" s="54"/>
      <c r="AK26" s="5">
        <f t="shared" si="28"/>
        <v>8.1264201512800618E-10</v>
      </c>
      <c r="AL26" s="4">
        <f t="shared" si="29"/>
        <v>5.0000000000000001E-9</v>
      </c>
      <c r="AM26" s="4">
        <f t="shared" si="30"/>
        <v>1.7697690485629222E-8</v>
      </c>
      <c r="AN26" s="88"/>
      <c r="AO26" s="5">
        <f t="shared" si="31"/>
        <v>2.0862058742065984E-12</v>
      </c>
      <c r="AP26" s="5">
        <f t="shared" si="32"/>
        <v>7.0158208768465918E-12</v>
      </c>
      <c r="AQ26" s="5">
        <f t="shared" si="33"/>
        <v>9.6498665840172028E-11</v>
      </c>
      <c r="AR26" s="5">
        <f t="shared" si="34"/>
        <v>2.5419174193918432E-15</v>
      </c>
      <c r="AS26" s="5">
        <f t="shared" si="35"/>
        <v>1.056032345086446E-10</v>
      </c>
      <c r="AT26" s="54"/>
      <c r="AU26" s="2">
        <v>-65.889080709209267</v>
      </c>
      <c r="AV26" s="2">
        <v>3443.9858334191485</v>
      </c>
    </row>
    <row r="27" spans="1:48" x14ac:dyDescent="0.35">
      <c r="A27" t="s">
        <v>18</v>
      </c>
      <c r="B27" s="31">
        <f>Control!B20</f>
        <v>7.7</v>
      </c>
      <c r="C27" s="4"/>
      <c r="E27" s="2">
        <v>110</v>
      </c>
      <c r="F27" s="2">
        <f t="shared" si="15"/>
        <v>383.15</v>
      </c>
      <c r="G27" s="71">
        <f t="shared" si="16"/>
        <v>950.94714998784377</v>
      </c>
      <c r="H27" s="42">
        <f t="shared" si="0"/>
        <v>0.95097986158439696</v>
      </c>
      <c r="I27" s="42">
        <f t="shared" si="17"/>
        <v>950.97986158439699</v>
      </c>
      <c r="J27" s="5">
        <f t="shared" si="1"/>
        <v>1.0516116024958506E-3</v>
      </c>
      <c r="K27" s="41">
        <f t="shared" si="2"/>
        <v>53.141698482686202</v>
      </c>
      <c r="L27" s="5">
        <f t="shared" si="18"/>
        <v>2.530281902255748E-4</v>
      </c>
      <c r="M27" s="5">
        <f t="shared" si="3"/>
        <v>3.3068814650403427E-2</v>
      </c>
      <c r="N27" s="42">
        <f t="shared" si="19"/>
        <v>12.143953780229984</v>
      </c>
      <c r="O27" s="2">
        <f t="shared" si="20"/>
        <v>7.1787068656049998E-13</v>
      </c>
      <c r="P27" s="83">
        <f t="shared" si="21"/>
        <v>4.3433810637386712</v>
      </c>
      <c r="Q27" s="5">
        <f t="shared" si="22"/>
        <v>4.5354348858363502E-5</v>
      </c>
      <c r="R27" s="5">
        <f t="shared" si="4"/>
        <v>1.0453543488583635E-3</v>
      </c>
      <c r="S27" s="2">
        <f t="shared" si="5"/>
        <v>8.775885629706971E-9</v>
      </c>
      <c r="T27" s="54"/>
      <c r="U27" s="5">
        <f t="shared" si="23"/>
        <v>2.5116033098111443</v>
      </c>
      <c r="V27" s="5">
        <f t="shared" si="6"/>
        <v>2.0278286939944538E-2</v>
      </c>
      <c r="W27" s="4">
        <f t="shared" si="7"/>
        <v>1.9708339675475871E-3</v>
      </c>
      <c r="X27" s="3">
        <f t="shared" si="24"/>
        <v>1.9708339675475872</v>
      </c>
      <c r="Y27" s="54"/>
      <c r="Z27" s="5">
        <f t="shared" si="8"/>
        <v>5.5803366600483383E-15</v>
      </c>
      <c r="AA27" s="5">
        <f t="shared" si="9"/>
        <v>1.7478343662124298E-7</v>
      </c>
      <c r="AB27" s="5">
        <f t="shared" si="10"/>
        <v>4.85783436621243E-7</v>
      </c>
      <c r="AC27" s="5">
        <f t="shared" si="11"/>
        <v>2.0178343662124297E-7</v>
      </c>
      <c r="AD27" s="5">
        <f t="shared" si="12"/>
        <v>3.2778343662124299E-7</v>
      </c>
      <c r="AE27" s="5">
        <f t="shared" si="13"/>
        <v>3.4676955441200629E-11</v>
      </c>
      <c r="AF27" s="5">
        <f t="shared" si="25"/>
        <v>2.4E-9</v>
      </c>
      <c r="AG27" s="5">
        <f t="shared" si="26"/>
        <v>2.4346825357778607E-9</v>
      </c>
      <c r="AH27" s="4">
        <f t="shared" si="14"/>
        <v>-1.0188432484312403E-7</v>
      </c>
      <c r="AI27" s="4">
        <f t="shared" si="27"/>
        <v>-101.88432484312403</v>
      </c>
      <c r="AJ27" s="54"/>
      <c r="AK27" s="5">
        <f t="shared" si="28"/>
        <v>8.2068018815982498E-10</v>
      </c>
      <c r="AL27" s="4">
        <f t="shared" si="29"/>
        <v>5.0000000000000001E-9</v>
      </c>
      <c r="AM27" s="4">
        <f t="shared" si="30"/>
        <v>1.7551771259413942E-8</v>
      </c>
      <c r="AN27" s="88"/>
      <c r="AO27" s="5">
        <f t="shared" si="31"/>
        <v>2.5280510640049781E-12</v>
      </c>
      <c r="AP27" s="5">
        <f t="shared" si="32"/>
        <v>9.8612616125805916E-12</v>
      </c>
      <c r="AQ27" s="5">
        <f t="shared" si="33"/>
        <v>1.2276466164998273E-10</v>
      </c>
      <c r="AR27" s="5">
        <f t="shared" si="34"/>
        <v>3.1564734785818272E-15</v>
      </c>
      <c r="AS27" s="5">
        <f t="shared" si="35"/>
        <v>1.3515713080004688E-10</v>
      </c>
      <c r="AT27" s="54"/>
      <c r="AU27" s="2">
        <v>-66.583770944377321</v>
      </c>
      <c r="AV27" s="2">
        <v>3442.1175629064046</v>
      </c>
    </row>
    <row r="28" spans="1:48" x14ac:dyDescent="0.35">
      <c r="A28" t="s">
        <v>17</v>
      </c>
      <c r="B28" s="2">
        <f>10^-B27</f>
        <v>1.9952623149688773E-8</v>
      </c>
      <c r="E28" s="2">
        <v>115</v>
      </c>
      <c r="F28" s="2">
        <f t="shared" si="15"/>
        <v>388.15</v>
      </c>
      <c r="G28" s="71">
        <f t="shared" si="16"/>
        <v>947.07035142167331</v>
      </c>
      <c r="H28" s="42">
        <f t="shared" si="0"/>
        <v>0.94710316790716542</v>
      </c>
      <c r="I28" s="42">
        <f t="shared" si="17"/>
        <v>947.10316790716547</v>
      </c>
      <c r="J28" s="5">
        <f t="shared" si="1"/>
        <v>1.0559163369293636E-3</v>
      </c>
      <c r="K28" s="41">
        <f t="shared" si="2"/>
        <v>51.9301121593112</v>
      </c>
      <c r="L28" s="5">
        <f t="shared" si="18"/>
        <v>2.4252305762108379E-4</v>
      </c>
      <c r="M28" s="5">
        <f t="shared" si="3"/>
        <v>3.4234516593946787E-2</v>
      </c>
      <c r="N28" s="42">
        <f t="shared" si="19"/>
        <v>12.081182455820231</v>
      </c>
      <c r="O28" s="2">
        <f t="shared" si="20"/>
        <v>8.2950220379142061E-13</v>
      </c>
      <c r="P28" s="83">
        <f t="shared" si="21"/>
        <v>4.2740036321290447</v>
      </c>
      <c r="Q28" s="5">
        <f t="shared" si="22"/>
        <v>5.3210380911174449E-5</v>
      </c>
      <c r="R28" s="5">
        <f t="shared" si="4"/>
        <v>1.0532103809111745E-3</v>
      </c>
      <c r="S28" s="2">
        <f t="shared" si="5"/>
        <v>8.6990624672413936E-9</v>
      </c>
      <c r="T28" s="54"/>
      <c r="U28" s="5">
        <f t="shared" si="23"/>
        <v>2.9428042970358472</v>
      </c>
      <c r="V28" s="5">
        <f t="shared" si="6"/>
        <v>2.4077257225647269E-2</v>
      </c>
      <c r="W28" s="4">
        <f t="shared" si="7"/>
        <v>4.0514442533007792E-3</v>
      </c>
      <c r="X28" s="3">
        <f t="shared" si="24"/>
        <v>4.0514442533007795</v>
      </c>
      <c r="Y28" s="54"/>
      <c r="Z28" s="5">
        <f t="shared" si="8"/>
        <v>4.7566543786795128E-15</v>
      </c>
      <c r="AA28" s="5">
        <f t="shared" si="9"/>
        <v>1.7881488999082462E-7</v>
      </c>
      <c r="AB28" s="5">
        <f t="shared" si="10"/>
        <v>4.8981488999082459E-7</v>
      </c>
      <c r="AC28" s="5">
        <f t="shared" si="11"/>
        <v>2.0581488999082461E-7</v>
      </c>
      <c r="AD28" s="5">
        <f t="shared" si="12"/>
        <v>3.3181488999082458E-7</v>
      </c>
      <c r="AE28" s="5">
        <f t="shared" si="13"/>
        <v>4.5680575951426288E-11</v>
      </c>
      <c r="AF28" s="5">
        <f t="shared" si="25"/>
        <v>2.4E-9</v>
      </c>
      <c r="AG28" s="5">
        <f t="shared" si="26"/>
        <v>2.4456853326058048E-9</v>
      </c>
      <c r="AH28" s="4">
        <f t="shared" si="14"/>
        <v>-2.0682822408619793E-7</v>
      </c>
      <c r="AI28" s="4">
        <f t="shared" si="27"/>
        <v>-206.82822408619793</v>
      </c>
      <c r="AJ28" s="54"/>
      <c r="AK28" s="5">
        <f t="shared" si="28"/>
        <v>8.2900921700944735E-10</v>
      </c>
      <c r="AL28" s="4">
        <f t="shared" si="29"/>
        <v>5.0000000000000001E-9</v>
      </c>
      <c r="AM28" s="4">
        <f t="shared" si="30"/>
        <v>1.7398124934482787E-8</v>
      </c>
      <c r="AN28" s="88"/>
      <c r="AO28" s="5">
        <f t="shared" si="31"/>
        <v>2.9417731520128371E-12</v>
      </c>
      <c r="AP28" s="5">
        <f t="shared" si="32"/>
        <v>1.3218839347667223E-11</v>
      </c>
      <c r="AQ28" s="5">
        <f t="shared" si="33"/>
        <v>1.4958758765859987E-10</v>
      </c>
      <c r="AR28" s="5">
        <f t="shared" si="34"/>
        <v>3.7595495613536713E-15</v>
      </c>
      <c r="AS28" s="5">
        <f t="shared" si="35"/>
        <v>1.6575195970784127E-10</v>
      </c>
      <c r="AT28" s="54"/>
      <c r="AU28" s="2">
        <v>-67.274029432407346</v>
      </c>
      <c r="AV28" s="2">
        <v>3434.3721259303607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E29" s="2">
        <v>120</v>
      </c>
      <c r="F29" s="2">
        <f t="shared" si="15"/>
        <v>393.15</v>
      </c>
      <c r="G29" s="71">
        <f t="shared" si="16"/>
        <v>943.08250706697231</v>
      </c>
      <c r="H29" s="42">
        <f t="shared" si="0"/>
        <v>0.94311543144580889</v>
      </c>
      <c r="I29" s="42">
        <f t="shared" si="17"/>
        <v>943.11543144580889</v>
      </c>
      <c r="J29" s="5">
        <f t="shared" si="1"/>
        <v>1.0603813015233484E-3</v>
      </c>
      <c r="K29" s="41">
        <f t="shared" si="2"/>
        <v>50.741132110936228</v>
      </c>
      <c r="L29" s="5">
        <f t="shared" si="18"/>
        <v>2.330682148992166E-4</v>
      </c>
      <c r="M29" s="5">
        <f t="shared" si="3"/>
        <v>3.5392718537490174E-2</v>
      </c>
      <c r="N29" s="42">
        <f t="shared" si="19"/>
        <v>12.021215727882712</v>
      </c>
      <c r="O29" s="2">
        <f t="shared" si="20"/>
        <v>9.523229973916958E-13</v>
      </c>
      <c r="P29" s="83">
        <f t="shared" si="21"/>
        <v>4.2077259550932542</v>
      </c>
      <c r="Q29" s="5">
        <f t="shared" si="22"/>
        <v>6.1983207300235997E-5</v>
      </c>
      <c r="R29" s="5">
        <f t="shared" si="4"/>
        <v>1.0619832073002361E-3</v>
      </c>
      <c r="S29" s="2">
        <f t="shared" si="5"/>
        <v>8.6182875666060359E-9</v>
      </c>
      <c r="T29" s="54"/>
      <c r="U29" s="5">
        <f t="shared" si="23"/>
        <v>3.4244428836768455</v>
      </c>
      <c r="V29" s="5">
        <f t="shared" si="6"/>
        <v>2.7812155429307622E-2</v>
      </c>
      <c r="W29" s="4">
        <f t="shared" si="7"/>
        <v>6.0694632705863439E-3</v>
      </c>
      <c r="X29" s="3">
        <f t="shared" si="24"/>
        <v>6.0694632705863443</v>
      </c>
      <c r="Y29" s="54"/>
      <c r="Z29" s="5">
        <f t="shared" si="8"/>
        <v>4.0835769993205239E-15</v>
      </c>
      <c r="AA29" s="5">
        <f t="shared" si="9"/>
        <v>1.8259898933751213E-7</v>
      </c>
      <c r="AB29" s="5">
        <f t="shared" si="10"/>
        <v>4.9359898933751209E-7</v>
      </c>
      <c r="AC29" s="5">
        <f t="shared" si="11"/>
        <v>2.0959898933751212E-7</v>
      </c>
      <c r="AD29" s="5">
        <f t="shared" si="12"/>
        <v>3.3559898933751208E-7</v>
      </c>
      <c r="AE29" s="5">
        <f t="shared" si="13"/>
        <v>5.7498175926942435E-11</v>
      </c>
      <c r="AF29" s="5">
        <f t="shared" si="25"/>
        <v>2.4E-9</v>
      </c>
      <c r="AG29" s="5">
        <f t="shared" si="26"/>
        <v>2.4575022595039418E-9</v>
      </c>
      <c r="AH29" s="4">
        <f t="shared" si="14"/>
        <v>-3.055044824979743E-7</v>
      </c>
      <c r="AI29" s="4">
        <f t="shared" si="27"/>
        <v>-305.50448249797432</v>
      </c>
      <c r="AJ29" s="54"/>
      <c r="AK29" s="5">
        <f t="shared" si="28"/>
        <v>8.3764456980242533E-10</v>
      </c>
      <c r="AL29" s="4">
        <f t="shared" si="29"/>
        <v>5.0000000000000001E-9</v>
      </c>
      <c r="AM29" s="4">
        <f t="shared" si="30"/>
        <v>1.7236575133212072E-8</v>
      </c>
      <c r="AN29" s="88"/>
      <c r="AO29" s="5">
        <f t="shared" si="31"/>
        <v>3.3285381010593498E-12</v>
      </c>
      <c r="AP29" s="5">
        <f t="shared" si="32"/>
        <v>1.7122283511858666E-11</v>
      </c>
      <c r="AQ29" s="5">
        <f t="shared" si="33"/>
        <v>1.7680689758251159E-10</v>
      </c>
      <c r="AR29" s="5">
        <f t="shared" si="34"/>
        <v>4.3495155814058445E-15</v>
      </c>
      <c r="AS29" s="5">
        <f t="shared" si="35"/>
        <v>1.9726206871101104E-10</v>
      </c>
      <c r="AT29" s="54"/>
      <c r="AU29" s="2">
        <v>-67.959582675996771</v>
      </c>
      <c r="AV29" s="2">
        <v>3420.7235087526255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E30" s="2">
        <v>125</v>
      </c>
      <c r="F30" s="2">
        <f t="shared" si="15"/>
        <v>398.15</v>
      </c>
      <c r="G30" s="71">
        <f t="shared" si="16"/>
        <v>938.98414336096175</v>
      </c>
      <c r="H30" s="42">
        <f t="shared" si="0"/>
        <v>0.93901717862330525</v>
      </c>
      <c r="I30" s="42">
        <f t="shared" si="17"/>
        <v>939.0171786233052</v>
      </c>
      <c r="J30" s="5">
        <f t="shared" si="1"/>
        <v>1.065009524770165E-3</v>
      </c>
      <c r="K30" s="41">
        <f t="shared" si="2"/>
        <v>49.57370083756124</v>
      </c>
      <c r="L30" s="5">
        <f t="shared" si="18"/>
        <v>2.2455482190422696E-4</v>
      </c>
      <c r="M30" s="5">
        <f t="shared" si="3"/>
        <v>3.6543420481033546E-2</v>
      </c>
      <c r="N30" s="42">
        <f t="shared" si="19"/>
        <v>11.963821329959377</v>
      </c>
      <c r="O30" s="2">
        <f t="shared" si="20"/>
        <v>1.0868726743002748E-12</v>
      </c>
      <c r="P30" s="83">
        <f t="shared" si="21"/>
        <v>4.1442913222550271</v>
      </c>
      <c r="Q30" s="5">
        <f t="shared" si="22"/>
        <v>7.1731296042039117E-5</v>
      </c>
      <c r="R30" s="5">
        <f t="shared" si="4"/>
        <v>1.0717312960420392E-3</v>
      </c>
      <c r="S30" s="2">
        <f t="shared" si="5"/>
        <v>8.5334896062379526E-9</v>
      </c>
      <c r="T30" s="54"/>
      <c r="U30" s="5">
        <f t="shared" si="23"/>
        <v>3.9600286936464886</v>
      </c>
      <c r="V30" s="5">
        <f t="shared" si="6"/>
        <v>3.1490848381249409E-2</v>
      </c>
      <c r="W30" s="4">
        <f t="shared" si="7"/>
        <v>8.0274847537842812E-3</v>
      </c>
      <c r="X30" s="3">
        <f t="shared" si="24"/>
        <v>8.0274847537842806</v>
      </c>
      <c r="Y30" s="54"/>
      <c r="Z30" s="5">
        <f t="shared" si="8"/>
        <v>3.5287539759954211E-15</v>
      </c>
      <c r="AA30" s="5">
        <f t="shared" si="9"/>
        <v>1.8611585100818606E-7</v>
      </c>
      <c r="AB30" s="5">
        <f t="shared" si="10"/>
        <v>4.9711585100818602E-7</v>
      </c>
      <c r="AC30" s="5">
        <f t="shared" si="11"/>
        <v>2.1311585100818607E-7</v>
      </c>
      <c r="AD30" s="5">
        <f t="shared" si="12"/>
        <v>3.3911585100818606E-7</v>
      </c>
      <c r="AE30" s="5">
        <f t="shared" si="13"/>
        <v>6.9910029818742044E-11</v>
      </c>
      <c r="AF30" s="5">
        <f t="shared" si="25"/>
        <v>2.4E-9</v>
      </c>
      <c r="AG30" s="5">
        <f t="shared" si="26"/>
        <v>2.469913558572718E-9</v>
      </c>
      <c r="AH30" s="4">
        <f t="shared" si="14"/>
        <v>-3.9777319393158937E-7</v>
      </c>
      <c r="AI30" s="4">
        <f t="shared" si="27"/>
        <v>-397.77319393158939</v>
      </c>
      <c r="AJ30" s="54"/>
      <c r="AK30" s="5">
        <f t="shared" si="28"/>
        <v>8.466036733795328E-10</v>
      </c>
      <c r="AL30" s="4">
        <f t="shared" si="29"/>
        <v>5.0000000000000001E-9</v>
      </c>
      <c r="AM30" s="4">
        <f t="shared" si="30"/>
        <v>1.7066979212475905E-8</v>
      </c>
      <c r="AN30" s="88"/>
      <c r="AO30" s="5">
        <f t="shared" si="31"/>
        <v>3.6891888779268099E-12</v>
      </c>
      <c r="AP30" s="5">
        <f t="shared" si="32"/>
        <v>2.1601698463643247E-11</v>
      </c>
      <c r="AQ30" s="5">
        <f t="shared" si="33"/>
        <v>2.0425379797165792E-10</v>
      </c>
      <c r="AR30" s="5">
        <f t="shared" si="34"/>
        <v>4.9246171195728891E-15</v>
      </c>
      <c r="AS30" s="5">
        <f t="shared" si="35"/>
        <v>2.2954960993034756E-10</v>
      </c>
      <c r="AT30" s="54"/>
      <c r="AU30" s="2">
        <v>-68.640141261564239</v>
      </c>
      <c r="AV30" s="2">
        <v>3401.215556749788</v>
      </c>
    </row>
    <row r="31" spans="1:48" x14ac:dyDescent="0.35">
      <c r="A31" s="69" t="s">
        <v>141</v>
      </c>
      <c r="B31" s="4" t="str">
        <f>Control!B24</f>
        <v>on</v>
      </c>
      <c r="E31" s="2">
        <v>130</v>
      </c>
      <c r="F31" s="2">
        <f t="shared" si="15"/>
        <v>403.15</v>
      </c>
      <c r="G31" s="71">
        <f t="shared" si="16"/>
        <v>934.77543638776638</v>
      </c>
      <c r="H31" s="42">
        <f t="shared" si="0"/>
        <v>0.93480858551901536</v>
      </c>
      <c r="I31" s="42">
        <f t="shared" si="17"/>
        <v>934.80858551901531</v>
      </c>
      <c r="J31" s="5">
        <f t="shared" si="1"/>
        <v>1.0698045940872841E-3</v>
      </c>
      <c r="K31" s="41">
        <f t="shared" si="2"/>
        <v>48.426760839186237</v>
      </c>
      <c r="L31" s="5">
        <f t="shared" si="18"/>
        <v>2.1688638093090356E-4</v>
      </c>
      <c r="M31" s="5">
        <f t="shared" si="3"/>
        <v>3.7686622424576918E-2</v>
      </c>
      <c r="N31" s="42">
        <f t="shared" si="19"/>
        <v>11.908793659323456</v>
      </c>
      <c r="O31" s="2">
        <f t="shared" si="20"/>
        <v>1.2336908414560967E-12</v>
      </c>
      <c r="P31" s="83">
        <f t="shared" si="21"/>
        <v>4.0834724930829669</v>
      </c>
      <c r="Q31" s="5">
        <f t="shared" si="22"/>
        <v>8.2513974571398125E-5</v>
      </c>
      <c r="R31" s="5">
        <f t="shared" si="4"/>
        <v>1.0825139745713982E-3</v>
      </c>
      <c r="S31" s="2">
        <f t="shared" si="5"/>
        <v>8.4446154261481456E-9</v>
      </c>
      <c r="T31" s="54"/>
      <c r="U31" s="5">
        <f t="shared" si="23"/>
        <v>4.5532113134554848</v>
      </c>
      <c r="V31" s="5">
        <f t="shared" si="6"/>
        <v>3.5120271348693319E-2</v>
      </c>
      <c r="W31" s="4">
        <f t="shared" si="7"/>
        <v>9.9274151488964336E-3</v>
      </c>
      <c r="X31" s="3">
        <f t="shared" si="24"/>
        <v>9.9274151488964328</v>
      </c>
      <c r="Y31" s="54"/>
      <c r="Z31" s="5">
        <f t="shared" si="8"/>
        <v>3.0677251412932352E-15</v>
      </c>
      <c r="AA31" s="5">
        <f t="shared" si="9"/>
        <v>1.8934859979835215E-7</v>
      </c>
      <c r="AB31" s="5">
        <f t="shared" si="10"/>
        <v>5.0034859979835217E-7</v>
      </c>
      <c r="AC31" s="5">
        <f t="shared" si="11"/>
        <v>2.1634859979835214E-7</v>
      </c>
      <c r="AD31" s="5">
        <f t="shared" si="12"/>
        <v>3.4234859979835216E-7</v>
      </c>
      <c r="AE31" s="5">
        <f t="shared" si="13"/>
        <v>8.2700552617358914E-11</v>
      </c>
      <c r="AF31" s="5">
        <f t="shared" si="25"/>
        <v>2.4E-9</v>
      </c>
      <c r="AG31" s="5">
        <f t="shared" si="26"/>
        <v>2.4827036203425E-9</v>
      </c>
      <c r="AH31" s="4">
        <f t="shared" si="14"/>
        <v>-4.8350791302233098E-7</v>
      </c>
      <c r="AI31" s="4">
        <f t="shared" si="27"/>
        <v>-483.50791302233097</v>
      </c>
      <c r="AJ31" s="54"/>
      <c r="AK31" s="5">
        <f t="shared" si="28"/>
        <v>8.5590610685039632E-10</v>
      </c>
      <c r="AL31" s="4">
        <f t="shared" si="29"/>
        <v>5.0000000000000001E-9</v>
      </c>
      <c r="AM31" s="4">
        <f t="shared" si="30"/>
        <v>1.6889230852296291E-8</v>
      </c>
      <c r="AN31" s="88"/>
      <c r="AO31" s="5">
        <f t="shared" si="31"/>
        <v>4.0243474389284646E-12</v>
      </c>
      <c r="AP31" s="5">
        <f t="shared" si="32"/>
        <v>2.6682950397382131E-11</v>
      </c>
      <c r="AQ31" s="5">
        <f t="shared" si="33"/>
        <v>2.3175387837718097E-10</v>
      </c>
      <c r="AR31" s="5">
        <f t="shared" si="34"/>
        <v>5.4830260805789523E-15</v>
      </c>
      <c r="AS31" s="5">
        <f t="shared" si="35"/>
        <v>2.6246665923957212E-10</v>
      </c>
      <c r="AT31" s="54"/>
      <c r="AU31" s="2">
        <v>-69.315398407887812</v>
      </c>
      <c r="AV31" s="2">
        <v>3375.9583981621768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E32" s="2">
        <v>135</v>
      </c>
      <c r="F32" s="2">
        <f t="shared" si="15"/>
        <v>408.15</v>
      </c>
      <c r="G32" s="71">
        <f t="shared" si="16"/>
        <v>930.45622488454865</v>
      </c>
      <c r="H32" s="42">
        <f t="shared" si="0"/>
        <v>0.93048949087446431</v>
      </c>
      <c r="I32" s="42">
        <f t="shared" si="17"/>
        <v>930.48949087446431</v>
      </c>
      <c r="J32" s="5">
        <f t="shared" si="1"/>
        <v>1.0747706657684645E-3</v>
      </c>
      <c r="K32" s="41">
        <f t="shared" si="2"/>
        <v>47.299254615811201</v>
      </c>
      <c r="L32" s="5">
        <f t="shared" si="18"/>
        <v>2.09977052556103E-4</v>
      </c>
      <c r="M32" s="5">
        <f t="shared" si="3"/>
        <v>3.882232436812029E-2</v>
      </c>
      <c r="N32" s="42">
        <f t="shared" si="19"/>
        <v>11.855950031009247</v>
      </c>
      <c r="O32" s="2">
        <f t="shared" si="20"/>
        <v>1.3933171057981192E-12</v>
      </c>
      <c r="P32" s="83">
        <f t="shared" si="21"/>
        <v>4.0250675566912797</v>
      </c>
      <c r="Q32" s="5">
        <f t="shared" si="22"/>
        <v>9.439140342890336E-5</v>
      </c>
      <c r="R32" s="5">
        <f t="shared" si="4"/>
        <v>1.0943914034289035E-3</v>
      </c>
      <c r="S32" s="2">
        <f t="shared" si="5"/>
        <v>8.3516310797846298E-9</v>
      </c>
      <c r="T32" s="54"/>
      <c r="U32" s="5">
        <f t="shared" si="23"/>
        <v>5.2077864596740131</v>
      </c>
      <c r="V32" s="5">
        <f t="shared" si="6"/>
        <v>3.8706546343750849E-2</v>
      </c>
      <c r="W32" s="4">
        <f t="shared" si="7"/>
        <v>1.1770545880982362E-2</v>
      </c>
      <c r="X32" s="3">
        <f t="shared" si="24"/>
        <v>11.770545880982363</v>
      </c>
      <c r="Y32" s="54"/>
      <c r="Z32" s="5">
        <f t="shared" si="8"/>
        <v>2.681786487258917E-15</v>
      </c>
      <c r="AA32" s="5">
        <f t="shared" si="9"/>
        <v>1.9228353320820025E-7</v>
      </c>
      <c r="AB32" s="5">
        <f t="shared" si="10"/>
        <v>5.0328353320820027E-7</v>
      </c>
      <c r="AC32" s="5">
        <f t="shared" si="11"/>
        <v>2.1928353320820024E-7</v>
      </c>
      <c r="AD32" s="5">
        <f t="shared" si="12"/>
        <v>3.4528353320820026E-7</v>
      </c>
      <c r="AE32" s="5">
        <f t="shared" si="13"/>
        <v>9.5658894320649472E-11</v>
      </c>
      <c r="AF32" s="5">
        <f t="shared" si="25"/>
        <v>2.4E-9</v>
      </c>
      <c r="AG32" s="5">
        <f t="shared" si="26"/>
        <v>2.4956615761071367E-9</v>
      </c>
      <c r="AH32" s="4">
        <f t="shared" si="14"/>
        <v>-5.6260495842381548E-7</v>
      </c>
      <c r="AI32" s="4">
        <f t="shared" si="27"/>
        <v>-562.60495842381556</v>
      </c>
      <c r="AJ32" s="54"/>
      <c r="AK32" s="5">
        <f t="shared" si="28"/>
        <v>8.6557382041919332E-10</v>
      </c>
      <c r="AL32" s="4">
        <f t="shared" si="29"/>
        <v>5.0000000000000001E-9</v>
      </c>
      <c r="AM32" s="4">
        <f t="shared" si="30"/>
        <v>1.670326215956926E-8</v>
      </c>
      <c r="AN32" s="88"/>
      <c r="AO32" s="5">
        <f t="shared" si="31"/>
        <v>4.3344941980560949E-12</v>
      </c>
      <c r="AP32" s="5">
        <f t="shared" si="32"/>
        <v>3.2387110193190646E-11</v>
      </c>
      <c r="AQ32" s="5">
        <f t="shared" si="33"/>
        <v>2.5912985025013489E-10</v>
      </c>
      <c r="AR32" s="5">
        <f t="shared" si="34"/>
        <v>6.0228884080482925E-15</v>
      </c>
      <c r="AS32" s="5">
        <f t="shared" si="35"/>
        <v>2.9585747752978965E-10</v>
      </c>
      <c r="AT32" s="54"/>
      <c r="AU32" s="2">
        <v>-69.985028319637237</v>
      </c>
      <c r="AV32" s="2">
        <v>3345.1226697079278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E33" s="2">
        <v>140</v>
      </c>
      <c r="F33" s="2">
        <f t="shared" si="15"/>
        <v>413.15</v>
      </c>
      <c r="G33" s="71">
        <f t="shared" si="16"/>
        <v>926.0260212893005</v>
      </c>
      <c r="H33" s="42">
        <f t="shared" si="0"/>
        <v>0.92605940714083557</v>
      </c>
      <c r="I33" s="42">
        <f t="shared" si="17"/>
        <v>926.05940714083556</v>
      </c>
      <c r="J33" s="5">
        <f t="shared" si="1"/>
        <v>1.0799124790200245E-3</v>
      </c>
      <c r="K33" s="41">
        <f t="shared" si="2"/>
        <v>46.19012466743623</v>
      </c>
      <c r="L33" s="5">
        <f t="shared" si="18"/>
        <v>2.0375027085398786E-4</v>
      </c>
      <c r="M33" s="5">
        <f t="shared" si="3"/>
        <v>3.9950526311663667E-2</v>
      </c>
      <c r="N33" s="42">
        <f t="shared" si="19"/>
        <v>11.805127526952067</v>
      </c>
      <c r="O33" s="2">
        <f t="shared" si="20"/>
        <v>1.566291074265293E-12</v>
      </c>
      <c r="P33" s="83">
        <f t="shared" si="21"/>
        <v>3.9688964493805474</v>
      </c>
      <c r="Q33" s="5">
        <f t="shared" si="22"/>
        <v>1.0742455185848681E-4</v>
      </c>
      <c r="R33" s="5">
        <f t="shared" si="4"/>
        <v>1.1074245518584869E-3</v>
      </c>
      <c r="S33" s="2">
        <f t="shared" si="5"/>
        <v>8.2545226086578895E-9</v>
      </c>
      <c r="T33" s="54"/>
      <c r="U33" s="5">
        <f t="shared" si="23"/>
        <v>5.9277004957071586</v>
      </c>
      <c r="V33" s="5">
        <f t="shared" si="6"/>
        <v>4.2255080742738149E-2</v>
      </c>
      <c r="W33" s="4">
        <f t="shared" si="7"/>
        <v>1.3557614273388327E-2</v>
      </c>
      <c r="X33" s="3">
        <f t="shared" si="24"/>
        <v>13.557614273388326</v>
      </c>
      <c r="Y33" s="54"/>
      <c r="Z33" s="5">
        <f t="shared" si="8"/>
        <v>2.3564851903137744E-15</v>
      </c>
      <c r="AA33" s="5">
        <f t="shared" si="9"/>
        <v>1.9491016806337788E-7</v>
      </c>
      <c r="AB33" s="5">
        <f t="shared" si="10"/>
        <v>5.059101680633779E-7</v>
      </c>
      <c r="AC33" s="5">
        <f t="shared" si="11"/>
        <v>2.2191016806337787E-7</v>
      </c>
      <c r="AD33" s="5">
        <f t="shared" si="12"/>
        <v>3.4791016806337789E-7</v>
      </c>
      <c r="AE33" s="5">
        <f t="shared" si="13"/>
        <v>1.0858007420814818E-10</v>
      </c>
      <c r="AF33" s="5">
        <f t="shared" si="25"/>
        <v>2.4E-9</v>
      </c>
      <c r="AG33" s="5">
        <f t="shared" si="26"/>
        <v>2.5085824306933386E-9</v>
      </c>
      <c r="AH33" s="4">
        <f t="shared" si="14"/>
        <v>-6.3499030550067487E-7</v>
      </c>
      <c r="AI33" s="4">
        <f t="shared" si="27"/>
        <v>-634.99030550067482</v>
      </c>
      <c r="AJ33" s="54"/>
      <c r="AK33" s="5">
        <f t="shared" si="28"/>
        <v>8.7563138344472237E-10</v>
      </c>
      <c r="AL33" s="4">
        <f t="shared" si="29"/>
        <v>5.0000000000000001E-9</v>
      </c>
      <c r="AM33" s="4">
        <f t="shared" si="30"/>
        <v>1.6509045217315779E-8</v>
      </c>
      <c r="AN33" s="88"/>
      <c r="AO33" s="5">
        <f t="shared" si="31"/>
        <v>4.620028726238012E-12</v>
      </c>
      <c r="AP33" s="5">
        <f t="shared" si="32"/>
        <v>3.8729964922201179E-11</v>
      </c>
      <c r="AQ33" s="5">
        <f t="shared" si="33"/>
        <v>2.862042627748117E-10</v>
      </c>
      <c r="AR33" s="5">
        <f t="shared" si="34"/>
        <v>6.5423675586177787E-15</v>
      </c>
      <c r="AS33" s="5">
        <f t="shared" si="35"/>
        <v>3.2956079879080949E-10</v>
      </c>
      <c r="AT33" s="54"/>
      <c r="AU33" s="2">
        <v>-70.648684315780812</v>
      </c>
      <c r="AV33" s="2">
        <v>3308.9320535424508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E34" s="2">
        <v>145</v>
      </c>
      <c r="F34" s="2">
        <f t="shared" si="15"/>
        <v>418.15</v>
      </c>
      <c r="G34" s="71">
        <f t="shared" si="16"/>
        <v>921.4840211658875</v>
      </c>
      <c r="H34" s="42">
        <f t="shared" si="0"/>
        <v>0.92151752990375924</v>
      </c>
      <c r="I34" s="42">
        <f t="shared" si="17"/>
        <v>921.51752990375928</v>
      </c>
      <c r="J34" s="5">
        <f t="shared" si="1"/>
        <v>1.0852353739377013E-3</v>
      </c>
      <c r="K34" s="41">
        <f t="shared" si="2"/>
        <v>45.098313494061266</v>
      </c>
      <c r="L34" s="5">
        <f t="shared" si="18"/>
        <v>1.9813759063813866E-4</v>
      </c>
      <c r="M34" s="5">
        <f t="shared" si="3"/>
        <v>4.1071228255207037E-2</v>
      </c>
      <c r="N34" s="42">
        <f t="shared" si="19"/>
        <v>11.756180340872524</v>
      </c>
      <c r="O34" s="2">
        <f t="shared" si="20"/>
        <v>1.753152353796568E-12</v>
      </c>
      <c r="P34" s="83">
        <f t="shared" si="21"/>
        <v>3.914798020095382</v>
      </c>
      <c r="Q34" s="5">
        <f t="shared" si="22"/>
        <v>1.2167517510146558E-4</v>
      </c>
      <c r="R34" s="5">
        <f t="shared" si="4"/>
        <v>1.1216751751014656E-3</v>
      </c>
      <c r="S34" s="2">
        <f t="shared" si="5"/>
        <v>8.1532965099604098E-9</v>
      </c>
      <c r="T34" s="54"/>
      <c r="U34" s="5">
        <f t="shared" si="23"/>
        <v>6.7170528140651413</v>
      </c>
      <c r="V34" s="5">
        <f t="shared" si="6"/>
        <v>4.5770649307645628E-2</v>
      </c>
      <c r="W34" s="4">
        <f t="shared" si="7"/>
        <v>1.5288854953377855E-2</v>
      </c>
      <c r="X34" s="3">
        <f t="shared" si="24"/>
        <v>15.288854953377855</v>
      </c>
      <c r="Y34" s="54"/>
      <c r="Z34" s="5">
        <f t="shared" si="8"/>
        <v>2.080544284208345E-15</v>
      </c>
      <c r="AA34" s="5">
        <f t="shared" si="9"/>
        <v>1.9722117885235861E-7</v>
      </c>
      <c r="AB34" s="5">
        <f t="shared" si="10"/>
        <v>5.0822117885235858E-7</v>
      </c>
      <c r="AC34" s="5">
        <f t="shared" si="11"/>
        <v>2.242211788523586E-7</v>
      </c>
      <c r="AD34" s="5">
        <f t="shared" si="12"/>
        <v>3.5022117885235857E-7</v>
      </c>
      <c r="AE34" s="5">
        <f t="shared" si="13"/>
        <v>1.2126643786686831E-10</v>
      </c>
      <c r="AF34" s="5">
        <f t="shared" si="25"/>
        <v>2.4E-9</v>
      </c>
      <c r="AG34" s="5">
        <f t="shared" si="26"/>
        <v>2.5212685184111527E-9</v>
      </c>
      <c r="AH34" s="4">
        <f t="shared" si="14"/>
        <v>-7.0062416639521817E-7</v>
      </c>
      <c r="AI34" s="4">
        <f t="shared" si="27"/>
        <v>-700.62416639521814</v>
      </c>
      <c r="AJ34" s="54"/>
      <c r="AK34" s="5">
        <f t="shared" si="28"/>
        <v>8.8610626647033004E-10</v>
      </c>
      <c r="AL34" s="4">
        <f t="shared" si="29"/>
        <v>5.0000000000000001E-9</v>
      </c>
      <c r="AM34" s="4">
        <f t="shared" si="30"/>
        <v>1.630659301992082E-8</v>
      </c>
      <c r="AN34" s="88"/>
      <c r="AO34" s="5">
        <f t="shared" si="31"/>
        <v>4.8813147698279182E-12</v>
      </c>
      <c r="AP34" s="5">
        <f t="shared" si="32"/>
        <v>4.5721607097713516E-11</v>
      </c>
      <c r="AQ34" s="5">
        <f t="shared" si="33"/>
        <v>3.1280208128279868E-10</v>
      </c>
      <c r="AR34" s="5">
        <f t="shared" si="34"/>
        <v>7.0396827429483443E-15</v>
      </c>
      <c r="AS34" s="5">
        <f t="shared" si="35"/>
        <v>3.6341204283308308E-10</v>
      </c>
      <c r="AT34" s="54"/>
      <c r="AU34" s="2">
        <v>-71.305996697276854</v>
      </c>
      <c r="AV34" s="2">
        <v>3267.6546579047954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E35" s="2">
        <v>150</v>
      </c>
      <c r="F35" s="2">
        <f t="shared" si="15"/>
        <v>423.15</v>
      </c>
      <c r="G35" s="71">
        <f t="shared" si="16"/>
        <v>916.82911127778289</v>
      </c>
      <c r="H35" s="42">
        <f t="shared" si="0"/>
        <v>0.91686274595682782</v>
      </c>
      <c r="I35" s="42">
        <f t="shared" si="17"/>
        <v>916.86274595682778</v>
      </c>
      <c r="J35" s="5">
        <f t="shared" si="1"/>
        <v>1.0907453133701685E-3</v>
      </c>
      <c r="K35" s="41">
        <f t="shared" si="2"/>
        <v>44.022763595686193</v>
      </c>
      <c r="L35" s="5">
        <f t="shared" si="18"/>
        <v>1.9307771673313594E-4</v>
      </c>
      <c r="M35" s="5">
        <f t="shared" si="3"/>
        <v>4.21844301987504E-2</v>
      </c>
      <c r="N35" s="42">
        <f t="shared" si="19"/>
        <v>11.708977535066271</v>
      </c>
      <c r="O35" s="2">
        <f t="shared" si="20"/>
        <v>1.9544405513308934E-12</v>
      </c>
      <c r="P35" s="83">
        <f t="shared" si="21"/>
        <v>3.8626275511368369</v>
      </c>
      <c r="Q35" s="5">
        <f t="shared" si="22"/>
        <v>1.3720579320526105E-4</v>
      </c>
      <c r="R35" s="5">
        <f t="shared" si="4"/>
        <v>1.1372057932052611E-3</v>
      </c>
      <c r="S35" s="2">
        <f t="shared" si="5"/>
        <v>8.0479798739064806E-9</v>
      </c>
      <c r="T35" s="54"/>
      <c r="U35" s="5">
        <f t="shared" si="23"/>
        <v>7.5800955618138719</v>
      </c>
      <c r="V35" s="5">
        <f t="shared" si="6"/>
        <v>4.9257462316900223E-2</v>
      </c>
      <c r="W35" s="4">
        <f t="shared" si="7"/>
        <v>1.6964043320636682E-2</v>
      </c>
      <c r="X35" s="3">
        <f t="shared" si="24"/>
        <v>16.964043320636684</v>
      </c>
      <c r="Y35" s="54"/>
      <c r="Z35" s="5">
        <f t="shared" si="8"/>
        <v>1.8450848042226288E-15</v>
      </c>
      <c r="AA35" s="5">
        <f t="shared" si="9"/>
        <v>1.9921224188862012E-7</v>
      </c>
      <c r="AB35" s="5">
        <f t="shared" si="10"/>
        <v>5.1021224188862008E-7</v>
      </c>
      <c r="AC35" s="5">
        <f t="shared" si="11"/>
        <v>2.2621224188862011E-7</v>
      </c>
      <c r="AD35" s="5">
        <f t="shared" si="12"/>
        <v>3.5221224188862007E-7</v>
      </c>
      <c r="AE35" s="5">
        <f t="shared" si="13"/>
        <v>1.3352925786901453E-10</v>
      </c>
      <c r="AF35" s="5">
        <f t="shared" si="25"/>
        <v>2.4E-9</v>
      </c>
      <c r="AG35" s="5">
        <f t="shared" si="26"/>
        <v>2.5335311029538189E-9</v>
      </c>
      <c r="AH35" s="4">
        <f t="shared" si="14"/>
        <v>-7.5950345510045475E-7</v>
      </c>
      <c r="AI35" s="4">
        <f t="shared" si="27"/>
        <v>-759.50345510045486</v>
      </c>
      <c r="AJ35" s="54"/>
      <c r="AK35" s="5">
        <f t="shared" si="28"/>
        <v>8.9702916289805905E-10</v>
      </c>
      <c r="AL35" s="4">
        <f t="shared" si="29"/>
        <v>5.0000000000000001E-9</v>
      </c>
      <c r="AM35" s="4">
        <f t="shared" si="30"/>
        <v>1.6095959747812961E-8</v>
      </c>
      <c r="AN35" s="88"/>
      <c r="AO35" s="5">
        <f t="shared" si="31"/>
        <v>5.118712232267939E-12</v>
      </c>
      <c r="AP35" s="5">
        <f t="shared" si="32"/>
        <v>5.3366106971239325E-11</v>
      </c>
      <c r="AQ35" s="5">
        <f t="shared" si="33"/>
        <v>3.3875303607930006E-10</v>
      </c>
      <c r="AR35" s="5">
        <f t="shared" si="34"/>
        <v>7.5131412738690837E-15</v>
      </c>
      <c r="AS35" s="5">
        <f t="shared" si="35"/>
        <v>3.9724536842408119E-10</v>
      </c>
      <c r="AT35" s="54"/>
      <c r="AU35" s="2">
        <v>-71.956570311743022</v>
      </c>
      <c r="AV35" s="2">
        <v>3221.5937612370899</v>
      </c>
    </row>
    <row r="36" spans="1:48" x14ac:dyDescent="0.35">
      <c r="A36" t="s">
        <v>32</v>
      </c>
      <c r="B36" s="38">
        <f>Control!B29</f>
        <v>0.19</v>
      </c>
      <c r="C36" s="2" t="s">
        <v>1</v>
      </c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2">
        <f>100*(G35-G5)/G5</f>
        <v>-8.3023732370787968</v>
      </c>
      <c r="H37" s="2">
        <f t="shared" ref="H37:AS37" si="36">100*(H35-H5)/H5</f>
        <v>-8.3018879837448765</v>
      </c>
      <c r="I37" s="2">
        <f t="shared" si="36"/>
        <v>-8.3018879837448782</v>
      </c>
      <c r="J37" s="2">
        <f t="shared" si="36"/>
        <v>9.0540764577736521</v>
      </c>
      <c r="K37" s="2">
        <f t="shared" si="36"/>
        <v>-49.778018391092964</v>
      </c>
      <c r="L37" s="2">
        <f t="shared" si="36"/>
        <v>-89.124068247367489</v>
      </c>
      <c r="M37" s="2">
        <f t="shared" si="36"/>
        <v>663.39862776031794</v>
      </c>
      <c r="N37" s="2">
        <f t="shared" si="36"/>
        <v>-22.738700343636562</v>
      </c>
      <c r="O37" s="2">
        <f t="shared" si="36"/>
        <v>279191.77864706103</v>
      </c>
      <c r="P37" s="2">
        <f t="shared" si="36"/>
        <v>-49.648671248867792</v>
      </c>
      <c r="Q37" s="2">
        <f t="shared" si="36"/>
        <v>643660.34694454225</v>
      </c>
      <c r="R37" s="2">
        <f t="shared" si="36"/>
        <v>13.71815562515275</v>
      </c>
      <c r="S37" s="2">
        <f t="shared" si="36"/>
        <v>-17.286082792041874</v>
      </c>
      <c r="U37" s="2">
        <f t="shared" si="36"/>
        <v>604516.51565116388</v>
      </c>
      <c r="V37" s="2">
        <f t="shared" si="36"/>
        <v>-146.96204053496419</v>
      </c>
      <c r="W37" s="2">
        <f t="shared" si="36"/>
        <v>-123.48264541471649</v>
      </c>
      <c r="X37" s="2">
        <f t="shared" si="36"/>
        <v>-123.48264541471647</v>
      </c>
      <c r="Y37" s="2"/>
      <c r="Z37" s="2">
        <f t="shared" si="36"/>
        <v>-99.984282965207385</v>
      </c>
      <c r="AA37" s="2">
        <f t="shared" si="36"/>
        <v>174.47657406198078</v>
      </c>
      <c r="AB37" s="2">
        <f t="shared" si="36"/>
        <v>33.013615339507787</v>
      </c>
      <c r="AC37" s="2">
        <f t="shared" si="36"/>
        <v>127.16871387678069</v>
      </c>
      <c r="AD37" s="2">
        <f t="shared" si="36"/>
        <v>56.137009614152191</v>
      </c>
      <c r="AE37" s="2">
        <f t="shared" si="36"/>
        <v>-86.10093387866695</v>
      </c>
      <c r="AF37" s="2">
        <f t="shared" si="36"/>
        <v>0</v>
      </c>
      <c r="AG37" s="2">
        <f t="shared" si="36"/>
        <v>-24.875563902999662</v>
      </c>
      <c r="AH37" s="2">
        <f t="shared" si="36"/>
        <v>-120.23761655841437</v>
      </c>
      <c r="AI37" s="2">
        <f t="shared" si="36"/>
        <v>-120.23761655841439</v>
      </c>
      <c r="AK37" s="2">
        <f t="shared" si="36"/>
        <v>28.53251780761039</v>
      </c>
      <c r="AL37" s="2">
        <f t="shared" si="36"/>
        <v>0</v>
      </c>
      <c r="AM37" s="2">
        <f t="shared" si="36"/>
        <v>-17.286082792041874</v>
      </c>
      <c r="AO37" s="2">
        <f t="shared" si="36"/>
        <v>-85.635060360410449</v>
      </c>
      <c r="AP37" s="2">
        <f t="shared" si="36"/>
        <v>41924.633795524001</v>
      </c>
      <c r="AQ37" s="2">
        <f t="shared" si="36"/>
        <v>103.10727155606183</v>
      </c>
      <c r="AR37" s="2">
        <f t="shared" si="36"/>
        <v>-39.435694755706272</v>
      </c>
      <c r="AS37" s="2">
        <f t="shared" si="36"/>
        <v>96.114336634985747</v>
      </c>
      <c r="AU37" s="2">
        <v>42.092876983577206</v>
      </c>
      <c r="AV37" s="2">
        <v>22.457274318632617</v>
      </c>
    </row>
    <row r="38" spans="1:48" x14ac:dyDescent="0.35">
      <c r="B38" s="37">
        <v>-9.4999999999999998E-3</v>
      </c>
      <c r="C38" s="6"/>
      <c r="G38" s="2" t="str">
        <f>G1</f>
        <v>Density water</v>
      </c>
      <c r="H38" s="2" t="str">
        <f t="shared" ref="H38:AS38" si="37">H1</f>
        <v>Density Soln</v>
      </c>
      <c r="I38" s="2" t="str">
        <f t="shared" si="37"/>
        <v>Density Soln</v>
      </c>
      <c r="J38" s="2" t="str">
        <f t="shared" si="37"/>
        <v>Molality</v>
      </c>
      <c r="K38" s="2" t="str">
        <f t="shared" si="37"/>
        <v>RelPerm Soln</v>
      </c>
      <c r="L38" s="2" t="str">
        <f t="shared" si="37"/>
        <v>Visc Soln</v>
      </c>
      <c r="M38" s="2" t="str">
        <f t="shared" si="37"/>
        <v>Condy Soln</v>
      </c>
      <c r="N38" s="2" t="str">
        <f t="shared" si="37"/>
        <v>pKw</v>
      </c>
      <c r="O38" s="2" t="str">
        <f t="shared" si="37"/>
        <v>Kw</v>
      </c>
      <c r="P38" s="2" t="str">
        <f t="shared" si="37"/>
        <v>pH</v>
      </c>
      <c r="Q38" s="2" t="str">
        <f t="shared" si="37"/>
        <v>[H+]</v>
      </c>
      <c r="R38" s="2" t="str">
        <f t="shared" si="37"/>
        <v>Ionic Conc</v>
      </c>
      <c r="S38" s="2" t="str">
        <f t="shared" si="37"/>
        <v>Debye Length</v>
      </c>
      <c r="U38" s="2" t="str">
        <f t="shared" si="37"/>
        <v>Theta2</v>
      </c>
      <c r="V38" s="2" t="str">
        <f t="shared" si="37"/>
        <v>SternPot</v>
      </c>
      <c r="W38" s="2" t="str">
        <f t="shared" si="37"/>
        <v>Zeta Pot</v>
      </c>
      <c r="X38" s="2" t="str">
        <f t="shared" si="37"/>
        <v>Zeta Pot</v>
      </c>
      <c r="Y38" s="2"/>
      <c r="Z38" s="2" t="str">
        <f t="shared" si="37"/>
        <v>SurfConStern</v>
      </c>
      <c r="AA38" s="2" t="str">
        <f t="shared" si="37"/>
        <v>EffMobNa</v>
      </c>
      <c r="AB38" s="2" t="str">
        <f t="shared" si="37"/>
        <v>EffMobHyd</v>
      </c>
      <c r="AC38" s="2" t="str">
        <f t="shared" si="37"/>
        <v>EffMobCl</v>
      </c>
      <c r="AD38" s="2" t="str">
        <f t="shared" si="37"/>
        <v>EffMobOH</v>
      </c>
      <c r="AE38" s="2" t="str">
        <f t="shared" si="37"/>
        <v>SurfConEDL</v>
      </c>
      <c r="AF38" s="2" t="str">
        <f t="shared" si="37"/>
        <v>SurfConProt</v>
      </c>
      <c r="AG38" s="2" t="str">
        <f t="shared" si="37"/>
        <v>TotSurfCon</v>
      </c>
      <c r="AH38" s="2" t="str">
        <f t="shared" si="37"/>
        <v>Cs</v>
      </c>
      <c r="AI38" s="2" t="str">
        <f t="shared" si="37"/>
        <v>Cs</v>
      </c>
      <c r="AK38" s="2" t="str">
        <f t="shared" si="37"/>
        <v>Bjerrum</v>
      </c>
      <c r="AL38" s="2" t="str">
        <f t="shared" si="37"/>
        <v>Shear Plane</v>
      </c>
      <c r="AM38" s="2" t="str">
        <f t="shared" si="37"/>
        <v>Twice Debye</v>
      </c>
      <c r="AO38" s="2" t="str">
        <f t="shared" si="37"/>
        <v>SurfConEDLNa</v>
      </c>
      <c r="AP38" s="2" t="str">
        <f t="shared" si="37"/>
        <v>SurfConEDLH</v>
      </c>
      <c r="AQ38" s="2" t="str">
        <f t="shared" si="37"/>
        <v>SurfConEDLCl</v>
      </c>
      <c r="AR38" s="2" t="str">
        <f t="shared" si="37"/>
        <v>SurfConEDLOH</v>
      </c>
      <c r="AS38" s="2" t="str">
        <f t="shared" si="37"/>
        <v>SurfConEDL</v>
      </c>
      <c r="AU38" s="2" t="s">
        <v>110</v>
      </c>
      <c r="AV38" s="2" t="s">
        <v>10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</row>
    <row r="40" spans="1:48" x14ac:dyDescent="0.35">
      <c r="A40" s="35"/>
      <c r="B40" s="50"/>
      <c r="C40" s="6"/>
      <c r="O40" s="71" t="s">
        <v>145</v>
      </c>
      <c r="P40" s="84">
        <v>1E-3</v>
      </c>
    </row>
    <row r="41" spans="1:48" x14ac:dyDescent="0.35">
      <c r="B41" s="6"/>
      <c r="C41" s="6"/>
      <c r="O41" s="71" t="s">
        <v>146</v>
      </c>
      <c r="P41" s="90">
        <f>Control!B41</f>
        <v>7.5</v>
      </c>
    </row>
    <row r="42" spans="1:48" x14ac:dyDescent="0.35">
      <c r="B42" s="6"/>
      <c r="C42" s="6"/>
      <c r="O42" s="71" t="s">
        <v>147</v>
      </c>
      <c r="P42" s="90">
        <f>Control!B42</f>
        <v>1</v>
      </c>
    </row>
    <row r="43" spans="1:48" x14ac:dyDescent="0.35">
      <c r="C43" s="6"/>
      <c r="O43" s="71" t="s">
        <v>148</v>
      </c>
      <c r="P43" s="90">
        <f>Control!B43</f>
        <v>0.32</v>
      </c>
    </row>
    <row r="44" spans="1:48" x14ac:dyDescent="0.35">
      <c r="C44" s="6"/>
    </row>
    <row r="45" spans="1:48" x14ac:dyDescent="0.35">
      <c r="C4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V43"/>
  <sheetViews>
    <sheetView zoomScale="85" zoomScaleNormal="85" workbookViewId="0">
      <selection activeCell="G5" sqref="G5:G35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15.1796875" customWidth="1"/>
    <col min="5" max="10" width="20.54296875" style="71" customWidth="1"/>
    <col min="11" max="11" width="20.54296875" style="82" customWidth="1"/>
    <col min="12" max="12" width="20.54296875" style="71" customWidth="1"/>
    <col min="13" max="13" width="20.54296875" style="72" customWidth="1"/>
    <col min="14" max="48" width="20.54296875" style="71" customWidth="1"/>
  </cols>
  <sheetData>
    <row r="1" spans="1:48" ht="18.5" x14ac:dyDescent="0.45">
      <c r="A1" s="7" t="s">
        <v>33</v>
      </c>
      <c r="B1" s="8"/>
      <c r="C1" s="52">
        <v>1</v>
      </c>
      <c r="E1" s="70" t="s">
        <v>102</v>
      </c>
      <c r="F1" s="70" t="s">
        <v>102</v>
      </c>
      <c r="G1" s="70" t="s">
        <v>97</v>
      </c>
      <c r="H1" s="70" t="s">
        <v>101</v>
      </c>
      <c r="I1" s="70" t="s">
        <v>101</v>
      </c>
      <c r="J1" s="70" t="s">
        <v>103</v>
      </c>
      <c r="K1" s="73" t="s">
        <v>104</v>
      </c>
      <c r="L1" s="70" t="s">
        <v>105</v>
      </c>
      <c r="M1" s="74" t="s">
        <v>106</v>
      </c>
      <c r="N1" s="70" t="s">
        <v>43</v>
      </c>
      <c r="O1" s="70" t="s">
        <v>58</v>
      </c>
      <c r="P1" s="70" t="s">
        <v>16</v>
      </c>
      <c r="Q1" s="70" t="s">
        <v>108</v>
      </c>
      <c r="R1" s="70" t="s">
        <v>107</v>
      </c>
      <c r="S1" s="70" t="s">
        <v>28</v>
      </c>
      <c r="T1" s="75"/>
      <c r="U1" s="70" t="s">
        <v>46</v>
      </c>
      <c r="V1" s="70" t="s">
        <v>109</v>
      </c>
      <c r="W1" s="70" t="s">
        <v>110</v>
      </c>
      <c r="X1" s="70" t="s">
        <v>110</v>
      </c>
      <c r="Y1" s="77"/>
      <c r="Z1" s="70" t="s">
        <v>25</v>
      </c>
      <c r="AA1" s="70" t="s">
        <v>38</v>
      </c>
      <c r="AB1" s="70" t="s">
        <v>40</v>
      </c>
      <c r="AC1" s="70" t="s">
        <v>41</v>
      </c>
      <c r="AD1" s="70" t="s">
        <v>42</v>
      </c>
      <c r="AE1" s="70" t="s">
        <v>27</v>
      </c>
      <c r="AF1" s="70" t="s">
        <v>26</v>
      </c>
      <c r="AG1" s="70" t="s">
        <v>29</v>
      </c>
      <c r="AH1" s="70" t="s">
        <v>10</v>
      </c>
      <c r="AI1" s="70" t="s">
        <v>10</v>
      </c>
      <c r="AJ1" s="77"/>
      <c r="AK1" s="78" t="s">
        <v>90</v>
      </c>
      <c r="AL1" s="70" t="s">
        <v>91</v>
      </c>
      <c r="AM1" s="70" t="s">
        <v>131</v>
      </c>
      <c r="AN1" s="79"/>
      <c r="AO1" s="70" t="s">
        <v>47</v>
      </c>
      <c r="AP1" s="70" t="s">
        <v>48</v>
      </c>
      <c r="AQ1" s="70" t="s">
        <v>49</v>
      </c>
      <c r="AR1" s="70" t="s">
        <v>50</v>
      </c>
      <c r="AS1" s="70" t="s">
        <v>27</v>
      </c>
      <c r="AT1" s="77"/>
      <c r="AU1" s="71" t="s">
        <v>110</v>
      </c>
      <c r="AV1" s="71" t="s">
        <v>10</v>
      </c>
    </row>
    <row r="2" spans="1:48" x14ac:dyDescent="0.35">
      <c r="B2" s="4"/>
      <c r="E2" s="70" t="s">
        <v>96</v>
      </c>
      <c r="F2" s="70" t="s">
        <v>11</v>
      </c>
      <c r="G2" s="70" t="s">
        <v>98</v>
      </c>
      <c r="H2" s="70" t="s">
        <v>93</v>
      </c>
      <c r="I2" s="70" t="s">
        <v>98</v>
      </c>
      <c r="J2" s="70" t="s">
        <v>94</v>
      </c>
      <c r="K2" s="73" t="s">
        <v>1</v>
      </c>
      <c r="L2" s="70" t="s">
        <v>6</v>
      </c>
      <c r="M2" s="74" t="s">
        <v>7</v>
      </c>
      <c r="N2" s="70" t="s">
        <v>1</v>
      </c>
      <c r="O2" s="70" t="s">
        <v>1</v>
      </c>
      <c r="P2" s="70" t="s">
        <v>1</v>
      </c>
      <c r="Q2" s="70" t="s">
        <v>1</v>
      </c>
      <c r="R2" s="70" t="s">
        <v>100</v>
      </c>
      <c r="S2" s="70" t="s">
        <v>9</v>
      </c>
      <c r="T2" s="75"/>
      <c r="U2" s="70" t="s">
        <v>1</v>
      </c>
      <c r="V2" s="70" t="s">
        <v>5</v>
      </c>
      <c r="W2" s="70" t="s">
        <v>5</v>
      </c>
      <c r="X2" s="70" t="s">
        <v>111</v>
      </c>
      <c r="Y2" s="77"/>
      <c r="Z2" s="70" t="s">
        <v>8</v>
      </c>
      <c r="AA2" s="70" t="s">
        <v>39</v>
      </c>
      <c r="AB2" s="70" t="s">
        <v>39</v>
      </c>
      <c r="AC2" s="70" t="s">
        <v>39</v>
      </c>
      <c r="AD2" s="70" t="s">
        <v>39</v>
      </c>
      <c r="AE2" s="70" t="s">
        <v>8</v>
      </c>
      <c r="AF2" s="70" t="s">
        <v>8</v>
      </c>
      <c r="AG2" s="70" t="s">
        <v>8</v>
      </c>
      <c r="AH2" s="70" t="s">
        <v>30</v>
      </c>
      <c r="AI2" s="70" t="s">
        <v>130</v>
      </c>
      <c r="AJ2" s="77"/>
      <c r="AK2" s="80" t="s">
        <v>9</v>
      </c>
      <c r="AL2" s="80" t="s">
        <v>9</v>
      </c>
      <c r="AM2" s="80" t="s">
        <v>9</v>
      </c>
      <c r="AN2" s="79"/>
      <c r="AO2" s="70" t="s">
        <v>8</v>
      </c>
      <c r="AP2" s="70" t="s">
        <v>8</v>
      </c>
      <c r="AQ2" s="70" t="s">
        <v>8</v>
      </c>
      <c r="AR2" s="70" t="s">
        <v>8</v>
      </c>
      <c r="AS2" s="70" t="s">
        <v>8</v>
      </c>
      <c r="AT2" s="77"/>
      <c r="AU2" s="71" t="s">
        <v>111</v>
      </c>
      <c r="AV2" s="71" t="s">
        <v>130</v>
      </c>
    </row>
    <row r="3" spans="1:48" x14ac:dyDescent="0.35">
      <c r="B3" s="4"/>
      <c r="E3" s="70"/>
      <c r="F3" s="70"/>
      <c r="G3" s="70"/>
      <c r="H3" s="70"/>
      <c r="I3" s="70"/>
      <c r="J3" s="70"/>
      <c r="K3" s="73"/>
      <c r="L3" s="70"/>
      <c r="M3" s="74"/>
      <c r="N3" s="70"/>
      <c r="O3" s="70"/>
      <c r="P3" s="70"/>
      <c r="Q3" s="70"/>
      <c r="R3" s="70"/>
      <c r="S3" s="70"/>
      <c r="T3" s="75"/>
      <c r="U3" s="70"/>
      <c r="V3" s="70"/>
      <c r="W3" s="70"/>
      <c r="X3" s="70"/>
      <c r="Y3" s="77"/>
      <c r="Z3" s="70"/>
      <c r="AA3" s="70"/>
      <c r="AB3" s="70"/>
      <c r="AC3" s="70"/>
      <c r="AD3" s="70"/>
      <c r="AE3" s="71" t="s">
        <v>128</v>
      </c>
      <c r="AJ3" s="77"/>
      <c r="AL3" s="80"/>
      <c r="AM3" s="80"/>
      <c r="AN3" s="81"/>
      <c r="AT3" s="77"/>
    </row>
    <row r="4" spans="1:48" x14ac:dyDescent="0.35">
      <c r="B4" s="4"/>
      <c r="T4" s="77"/>
      <c r="Y4" s="77"/>
      <c r="AJ4" s="77"/>
      <c r="AK4" s="72"/>
      <c r="AN4" s="81"/>
      <c r="AO4" s="72"/>
      <c r="AT4" s="77"/>
    </row>
    <row r="5" spans="1:48" x14ac:dyDescent="0.35">
      <c r="A5" t="s">
        <v>99</v>
      </c>
      <c r="B5" s="4">
        <v>0.01</v>
      </c>
      <c r="C5" s="2" t="s">
        <v>100</v>
      </c>
      <c r="D5" t="e">
        <f t="shared" ref="D5:D35" si="0">9.5*E5^-1.1</f>
        <v>#DIV/0!</v>
      </c>
      <c r="E5" s="71">
        <v>0</v>
      </c>
      <c r="F5" s="71">
        <f t="shared" ref="F5:F35" si="1"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83">
        <f t="shared" ref="H5:H35" si="2">(($B$5*58.44)+(($G5/1000)*(1000-($B$5*58.44/2.16))))/1000</f>
        <v>1.0001534078632</v>
      </c>
      <c r="I5" s="83">
        <f>H5*1000</f>
        <v>1000.1534078632</v>
      </c>
      <c r="J5" s="72">
        <f>$B$5/($H5-($B$5*58.44/1000))</f>
        <v>1.0004311779711152E-2</v>
      </c>
      <c r="K5" s="82">
        <f>(295.68-1.2283*$F5+0.002094*$F5^2-0.00000141*$F5^3)-13*$B$5+1.065*$B$5^2-0.03006*$B$5^3</f>
        <v>87.539470576906268</v>
      </c>
      <c r="L5" s="72">
        <f>(0.0495166+0.6034658*EXP(-0.06653081*$E5)+0.09703832*EXP(0.1447269*$J5)+1.025107*EXP(-0.02062455*$E5+0.1301095*$J5))*0.001</f>
        <v>1.7766035283529932E-3</v>
      </c>
      <c r="M5" s="72">
        <f>((5.6+0.27*$E5-0.00015*$E5^2)*$B$5)-((2.36+0.099*$E5)*($B$5^(3/2))/(1+0.214*SQRT($B$5)))</f>
        <v>5.3689445858625409E-2</v>
      </c>
      <c r="N5" s="83">
        <f>-LOG10(6.997844909E-16 + 5.017799566E-16*$E5 - 2.443366453E-17*$E5^2 + 7.194759186E-19*$E5^3)</f>
        <v>15.155035686876243</v>
      </c>
      <c r="O5" s="71">
        <f>10^(-1*$N5)</f>
        <v>6.9978449090000084E-16</v>
      </c>
      <c r="P5" s="83">
        <f>IF($B$31="on",$P$41+($P$41-$N5/2)*LN(P$40/$P$42)*$P$43,7)</f>
        <v>7.6142345156746654</v>
      </c>
      <c r="Q5" s="72">
        <f>10^(-1*P5)</f>
        <v>2.4308909921866591E-8</v>
      </c>
      <c r="R5" s="72">
        <f t="shared" ref="R5:R35" si="3">(2*$B$5+2*$Q5)/2</f>
        <v>1.0000024308909922E-2</v>
      </c>
      <c r="S5" s="71">
        <f t="shared" ref="S5:S35" si="4">(($K5*$B$17*$F5*$B$18)/(2*$B$19*$B$20^2*$R5*1000))^0.5</f>
        <v>3.0748407067480707E-9</v>
      </c>
      <c r="T5" s="77"/>
      <c r="U5" s="72">
        <f>((10^-$P5+$B$5*$B$26)*SQRT(8000*$B$19*$B$17*$K5*$B$18*$F5)/(2*$B$20*$B$22*$B$28))*(($B$23+$B$24+$B$5+(10^-$P5)+10^($P5-$N5))/SQRT($R5))</f>
        <v>4.5706118592198095E-3</v>
      </c>
      <c r="V5" s="72">
        <f>(2*$B$18*$F5*LN($U5))/(3*$B$20)</f>
        <v>-8.4581896890819658E-2</v>
      </c>
      <c r="W5" s="84">
        <f t="shared" ref="W5:W35" si="5">$V5*EXP(-$B$29/$S5)+$B$37</f>
        <v>-2.6136844141361693E-2</v>
      </c>
      <c r="X5" s="85">
        <f>W5*1000</f>
        <v>-26.136844141361692</v>
      </c>
      <c r="Y5" s="77"/>
      <c r="Z5" s="72">
        <f t="shared" ref="Z5:Z35" si="6">($B$20*$B$32*$B$22*$B$26*$B$5)/(10^-$P5+$B$28*$U5^(2/3)+$B$26*$B$5)</f>
        <v>1.0061644192668478E-10</v>
      </c>
      <c r="AA5" s="72">
        <f t="shared" ref="AA5:AA35" si="7">$B$6+((2*$B$17*$K5*$B$18*$F5)/($L5*$B$20*1))</f>
        <v>7.2536150267620652E-8</v>
      </c>
      <c r="AB5" s="72">
        <f t="shared" ref="AB5:AB35" si="8">$B$7+((2*$B$17*$K5*$B$18*$F5)/($L5*$B$20*1))</f>
        <v>3.8353615026762066E-7</v>
      </c>
      <c r="AC5" s="72">
        <f t="shared" ref="AC5:AC35" si="9">$B$8+((2*$B$17*$K5*$B$18*$F5)/($L5*$B$20*1))</f>
        <v>9.9536150267620655E-8</v>
      </c>
      <c r="AD5" s="72">
        <f t="shared" ref="AD5:AD35" si="10">$B$9+((2*$B$17*$K5*$B$18*$F5)/($L5*$B$20*1))</f>
        <v>2.2553615026762065E-7</v>
      </c>
      <c r="AE5" s="72">
        <f t="shared" ref="AE5:AE35" si="11">(SQRT((2000*$B$19*$B$17*$K5*$B$18*$F5)/($B$5+10^-$P5))*((($AA5*$B$5+$AB5*10^(-1*$P5))*($U5^(-1/3)-1)+($AC5*$B$5+$AD5*10^($P5-$N5))*($U5^(1/3)-1))))</f>
        <v>1.670261542674533E-9</v>
      </c>
      <c r="AF5" s="72">
        <f>$B$30</f>
        <v>2.4E-9</v>
      </c>
      <c r="AG5" s="72">
        <f>$Z5+$AE5+$AF5</f>
        <v>4.1708779846012179E-9</v>
      </c>
      <c r="AH5" s="84">
        <f t="shared" ref="AH5:AH35" si="12">-1*($B$33*$K5*$B$17*$W5)/($L5*($B$33*$M5+4*$AF5*$B$34*$B$35))</f>
        <v>2.0145810719250155E-7</v>
      </c>
      <c r="AI5" s="84">
        <f>AH5*1000000*1000</f>
        <v>201.45810719250153</v>
      </c>
      <c r="AJ5" s="77"/>
      <c r="AK5" s="72">
        <f>$B$20^2/(4*PI()*$K5*$B$17*$B$18*$F5)</f>
        <v>6.988324926922027E-10</v>
      </c>
      <c r="AL5" s="84">
        <f>$B$29</f>
        <v>5.0000000000000001E-9</v>
      </c>
      <c r="AM5" s="84">
        <f>2*S5</f>
        <v>6.1496814134961414E-9</v>
      </c>
      <c r="AN5" s="81"/>
      <c r="AO5" s="72">
        <f>(SQRT((2000*$B$19*$B$17*$K5*$B$18*$F5)/($B$5+10^-$B$13))*((($AA5*$B$5)*($U5^(-1/3)-1))))</f>
        <v>2.1520286046323982E-10</v>
      </c>
      <c r="AP5" s="72">
        <f>(SQRT((2000*$B$19*$B$17*$K5*$B$18*$F5)/($B$5+10^-$P5))*((($AB5*10^(-1*$P5))*($U5^(-1/3)-1))))</f>
        <v>2.7798763919059445E-14</v>
      </c>
      <c r="AQ5" s="72">
        <f>(SQRT((2000*$B$19*$B$17*$K5*$B$18*$F5)/($B$5+10^-$P5))*((($AC5*$B$5)*($U5^(1/3)-1))))</f>
        <v>-4.9252239571411794E-10</v>
      </c>
      <c r="AR5" s="72">
        <f>(SQRT((2000*$B$19*$B$17*$K5*$B$18*$F5)/($B$5+10^-$P5))*((($AD5*10^($P5-$N5))*($U5^(1/3)-1))))</f>
        <v>-3.2126257463517738E-15</v>
      </c>
      <c r="AS5" s="72">
        <f>SUM(AO5:AR5)</f>
        <v>-2.7729494911270539E-10</v>
      </c>
      <c r="AT5" s="77"/>
      <c r="AU5" s="71">
        <v>-22.585831046928128</v>
      </c>
      <c r="AV5" s="71">
        <v>174.08753916938988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D6">
        <f t="shared" si="0"/>
        <v>1.6175458527894906</v>
      </c>
      <c r="E6" s="71">
        <v>5</v>
      </c>
      <c r="F6" s="71">
        <f t="shared" si="1"/>
        <v>278.14999999999998</v>
      </c>
      <c r="G6" s="71">
        <f t="shared" ref="G6:G35" si="13">(((((-0.00000000028054253*E6+0.00000010556302)*E6-0.000046170461)*E6-0.0079870401)*E6+16.945176)*E6+999.83952)/(1+0.01687985*E6)</f>
        <v>999.96382124947729</v>
      </c>
      <c r="H6" s="83">
        <f t="shared" si="2"/>
        <v>1.0002776754822835</v>
      </c>
      <c r="I6" s="83">
        <f t="shared" ref="I6:I35" si="14">H6*1000</f>
        <v>1000.2776754822835</v>
      </c>
      <c r="J6" s="72">
        <f t="shared" ref="J6:J35" si="15">$B$5/($H6-($B$5*58.44/1000))</f>
        <v>1.0003068186265118E-2</v>
      </c>
      <c r="K6" s="82">
        <f t="shared" ref="K6:K35" si="16">(295.68-1.2283*$F6+0.002094*$F6^2-0.00000141*$F6^3)-13*$B$5+1.065*$B$5^2-0.03006*$B$5^3</f>
        <v>85.562998703531278</v>
      </c>
      <c r="L6" s="72">
        <f t="shared" ref="L6:L35" si="17">(0.0495166+0.6034658*EXP(-0.06653081*$E6)+0.09703832*EXP(0.1447269*$J6)+1.025107*EXP(-0.02062455*$E6+0.1301095*$J6))*0.001</f>
        <v>1.505258862552107E-3</v>
      </c>
      <c r="M6" s="72">
        <f t="shared" ref="M6:M35" si="18">((5.6+0.27*$E6-0.00015*$E6^2)*$B$5)-((2.36+0.099*$E6)*($B$5^(3/2))/(1+0.214*SQRT($B$5)))</f>
        <v>6.6667316917955743E-2</v>
      </c>
      <c r="N6" s="83">
        <f t="shared" ref="N6:N35" si="19">-LOG10(6.997844909E-16 + 5.017799566E-16*$E6 - 2.443366453E-17*$E6^2 + 7.194759186E-19*$E6^3)</f>
        <v>14.570606742437821</v>
      </c>
      <c r="O6" s="71">
        <f t="shared" ref="O6:O35" si="20">10^(-1*$N6)</f>
        <v>2.6877771504749887E-15</v>
      </c>
      <c r="P6" s="83">
        <f t="shared" ref="P6:P35" si="21">IF($B$31="on",$P$41+($P$41-$N6/2)*LN(P$40/$P$42)*$P$43,7)</f>
        <v>7.1836113555536558</v>
      </c>
      <c r="Q6" s="72">
        <f t="shared" ref="Q6:Q35" si="22">10^(-1*P6)</f>
        <v>6.5522226161128413E-8</v>
      </c>
      <c r="R6" s="72">
        <f t="shared" si="3"/>
        <v>1.0000065522226161E-2</v>
      </c>
      <c r="S6" s="71">
        <f t="shared" si="4"/>
        <v>3.0676209649963214E-9</v>
      </c>
      <c r="T6" s="77"/>
      <c r="U6" s="72">
        <f t="shared" ref="U6:U35" si="23">((10^-$P6+$B$5*$B$26)*SQRT(8000*$B$19*$B$17*$K6*$B$18*$F6)/(2*$B$20*$B$22*$B$28))*(($B$23+$B$24+$B$5+(10^-$P6)+10^($P6-$N6))/SQRT($R6))</f>
        <v>1.2191487423451785E-2</v>
      </c>
      <c r="V6" s="72">
        <f t="shared" ref="V6:V35" si="24">(2*$B$18*$F6*LN($U6))/(3*$B$20)</f>
        <v>-7.044719892780392E-2</v>
      </c>
      <c r="W6" s="84">
        <f t="shared" si="5"/>
        <v>-2.3303689382589896E-2</v>
      </c>
      <c r="X6" s="85">
        <f t="shared" ref="X6:X35" si="25">W6*1000</f>
        <v>-23.303689382589898</v>
      </c>
      <c r="Y6" s="77"/>
      <c r="Z6" s="72">
        <f t="shared" si="6"/>
        <v>3.7864872488590889E-11</v>
      </c>
      <c r="AA6" s="72">
        <f t="shared" si="7"/>
        <v>7.612449890810395E-8</v>
      </c>
      <c r="AB6" s="72">
        <f t="shared" si="8"/>
        <v>3.8712449890810397E-7</v>
      </c>
      <c r="AC6" s="72">
        <f t="shared" si="9"/>
        <v>1.0312449890810394E-7</v>
      </c>
      <c r="AD6" s="72">
        <f t="shared" si="10"/>
        <v>2.2912449890810393E-7</v>
      </c>
      <c r="AE6" s="72">
        <f t="shared" si="11"/>
        <v>1.0372587966905846E-9</v>
      </c>
      <c r="AF6" s="72">
        <f t="shared" ref="AF6:AF35" si="26">$B$30</f>
        <v>2.4E-9</v>
      </c>
      <c r="AG6" s="72">
        <f t="shared" ref="AG6:AG35" si="27">$Z6+$AE6+$AF6</f>
        <v>3.4751236691791753E-9</v>
      </c>
      <c r="AH6" s="84">
        <f t="shared" si="12"/>
        <v>1.685494295242544E-7</v>
      </c>
      <c r="AI6" s="84">
        <f t="shared" ref="AI6:AI35" si="28">AH6*1000000*1000</f>
        <v>168.54942952425438</v>
      </c>
      <c r="AJ6" s="77"/>
      <c r="AK6" s="72">
        <f t="shared" ref="AK6:AK35" si="29">$B$20^2/(4*PI()*$K6*$B$17*$B$18*$F6)</f>
        <v>7.0212291812358672E-10</v>
      </c>
      <c r="AL6" s="84">
        <f t="shared" ref="AL6:AL35" si="30">$B$29</f>
        <v>5.0000000000000001E-9</v>
      </c>
      <c r="AM6" s="84">
        <f t="shared" ref="AM6:AM35" si="31">2*S6</f>
        <v>6.1352419299926428E-9</v>
      </c>
      <c r="AN6" s="81"/>
      <c r="AO6" s="72">
        <f t="shared" ref="AO6:AO35" si="32">(SQRT((2000*$B$19*$B$17*$K6*$B$18*$F6)/($B$5+10^-$B$13))*((($AA6*$B$5)*($U6^(-1/3)-1))))</f>
        <v>1.4996329938399832E-10</v>
      </c>
      <c r="AP6" s="72">
        <f t="shared" ref="AP6:AP35" si="33">(SQRT((2000*$B$19*$B$17*$K6*$B$18*$F6)/($B$5+10^-$P6))*((($AB6*10^(-1*$P6))*($U6^(-1/3)-1))))</f>
        <v>5.0217964432084368E-14</v>
      </c>
      <c r="AQ6" s="72">
        <f t="shared" ref="AQ6:AQ35" si="34">(SQRT((2000*$B$19*$B$17*$K6*$B$18*$F6)/($B$5+10^-$P6))*((($AC6*$B$5)*($U6^(1/3)-1))))</f>
        <v>-4.6989470769959139E-10</v>
      </c>
      <c r="AR6" s="72">
        <f t="shared" ref="AR6:AR35" si="35">(SQRT((2000*$B$19*$B$17*$K6*$B$18*$F6)/($B$5+10^-$P6))*((($AD6*10^($P6-$N6))*($U6^(1/3)-1))))</f>
        <v>-4.2826722924712174E-15</v>
      </c>
      <c r="AS6" s="72">
        <f t="shared" ref="AS6:AS35" si="36">SUM(AO6:AR6)</f>
        <v>-3.1988547302345345E-10</v>
      </c>
      <c r="AT6" s="77"/>
      <c r="AU6" s="71">
        <v>-22.801733406556057</v>
      </c>
      <c r="AV6" s="71">
        <v>164.91891868121414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D7">
        <f>9.5*E7^-1.1</f>
        <v>0.75461182298806695</v>
      </c>
      <c r="E7" s="71">
        <v>10</v>
      </c>
      <c r="F7" s="71">
        <f t="shared" si="1"/>
        <v>283.14999999999998</v>
      </c>
      <c r="G7" s="71">
        <f t="shared" si="13"/>
        <v>999.69963437234651</v>
      </c>
      <c r="H7" s="83">
        <f t="shared" si="2"/>
        <v>1.0000135600823803</v>
      </c>
      <c r="I7" s="83">
        <f t="shared" si="14"/>
        <v>1000.0135600823803</v>
      </c>
      <c r="J7" s="72">
        <f t="shared" si="15"/>
        <v>1.0005711659619504E-2</v>
      </c>
      <c r="K7" s="82">
        <f t="shared" si="16"/>
        <v>83.632398105156241</v>
      </c>
      <c r="L7" s="72">
        <f t="shared" si="17"/>
        <v>1.2920941412816532E-3</v>
      </c>
      <c r="M7" s="72">
        <f t="shared" si="18"/>
        <v>7.9570187977286086E-2</v>
      </c>
      <c r="N7" s="83">
        <f t="shared" si="19"/>
        <v>14.398625266103792</v>
      </c>
      <c r="O7" s="71">
        <f t="shared" si="20"/>
        <v>3.9936935224999789E-15</v>
      </c>
      <c r="P7" s="83">
        <f t="shared" si="21"/>
        <v>7.056890720776746</v>
      </c>
      <c r="Q7" s="72">
        <f t="shared" si="22"/>
        <v>8.7722152398728959E-8</v>
      </c>
      <c r="R7" s="72">
        <f t="shared" si="3"/>
        <v>1.0000087722152398E-2</v>
      </c>
      <c r="S7" s="71">
        <f t="shared" si="4"/>
        <v>3.0599493836857573E-9</v>
      </c>
      <c r="T7" s="77"/>
      <c r="U7" s="72">
        <f t="shared" si="23"/>
        <v>1.6261582981287544E-2</v>
      </c>
      <c r="V7" s="72">
        <f t="shared" si="24"/>
        <v>-6.7025949563923215E-2</v>
      </c>
      <c r="W7" s="84">
        <f t="shared" si="5"/>
        <v>-2.2579758656823462E-2</v>
      </c>
      <c r="X7" s="85">
        <f t="shared" si="25"/>
        <v>-22.579758656823461</v>
      </c>
      <c r="Y7" s="77"/>
      <c r="Z7" s="72">
        <f t="shared" si="6"/>
        <v>2.8358832889483695E-11</v>
      </c>
      <c r="AA7" s="72">
        <f t="shared" si="7"/>
        <v>7.9964135121821603E-8</v>
      </c>
      <c r="AB7" s="72">
        <f t="shared" si="8"/>
        <v>3.9096413512182162E-7</v>
      </c>
      <c r="AC7" s="72">
        <f t="shared" si="9"/>
        <v>1.0696413512182162E-7</v>
      </c>
      <c r="AD7" s="72">
        <f t="shared" si="10"/>
        <v>2.3296413512182161E-7</v>
      </c>
      <c r="AE7" s="72">
        <f t="shared" si="11"/>
        <v>9.1989006879733555E-10</v>
      </c>
      <c r="AF7" s="72">
        <f t="shared" si="26"/>
        <v>2.4E-9</v>
      </c>
      <c r="AG7" s="72">
        <f t="shared" si="27"/>
        <v>3.3482489016868193E-9</v>
      </c>
      <c r="AH7" s="84">
        <f t="shared" si="12"/>
        <v>1.5686343091555724E-7</v>
      </c>
      <c r="AI7" s="84">
        <f t="shared" si="28"/>
        <v>156.86343091555725</v>
      </c>
      <c r="AJ7" s="77"/>
      <c r="AK7" s="72">
        <f t="shared" si="29"/>
        <v>7.0564634138506024E-10</v>
      </c>
      <c r="AL7" s="84">
        <f t="shared" si="30"/>
        <v>5.0000000000000001E-9</v>
      </c>
      <c r="AM7" s="84">
        <f t="shared" si="31"/>
        <v>6.1198987673715145E-9</v>
      </c>
      <c r="AN7" s="81"/>
      <c r="AO7" s="72">
        <f t="shared" si="32"/>
        <v>1.384458947747204E-10</v>
      </c>
      <c r="AP7" s="72">
        <f t="shared" si="33"/>
        <v>5.9674641530851631E-14</v>
      </c>
      <c r="AQ7" s="72">
        <f t="shared" si="34"/>
        <v>-4.715228505494109E-10</v>
      </c>
      <c r="AR7" s="72">
        <f t="shared" si="35"/>
        <v>-4.6754033229311835E-15</v>
      </c>
      <c r="AS7" s="72">
        <f t="shared" si="36"/>
        <v>-3.3302195653648254E-10</v>
      </c>
      <c r="AT7" s="77"/>
      <c r="AU7" s="71">
        <v>-23.015152686053739</v>
      </c>
      <c r="AV7" s="71">
        <v>159.88815318930736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D8">
        <f t="shared" si="0"/>
        <v>0.4830846303290281</v>
      </c>
      <c r="E8" s="71">
        <v>15</v>
      </c>
      <c r="F8" s="71">
        <f t="shared" si="1"/>
        <v>288.14999999999998</v>
      </c>
      <c r="G8" s="71">
        <f t="shared" si="13"/>
        <v>999.09960879081439</v>
      </c>
      <c r="H8" s="83">
        <f t="shared" si="2"/>
        <v>0.99941369684110259</v>
      </c>
      <c r="I8" s="83">
        <f t="shared" si="14"/>
        <v>999.41369684110259</v>
      </c>
      <c r="J8" s="72">
        <f t="shared" si="15"/>
        <v>1.0011720753111667E-2</v>
      </c>
      <c r="K8" s="82">
        <f t="shared" si="16"/>
        <v>81.746611281781313</v>
      </c>
      <c r="L8" s="72">
        <f t="shared" si="17"/>
        <v>1.1224685527922533E-3</v>
      </c>
      <c r="M8" s="72">
        <f t="shared" si="18"/>
        <v>9.2398059036616423E-2</v>
      </c>
      <c r="N8" s="83">
        <f t="shared" si="19"/>
        <v>14.287591032741444</v>
      </c>
      <c r="O8" s="71">
        <f t="shared" si="20"/>
        <v>5.1571405459249914E-15</v>
      </c>
      <c r="P8" s="83">
        <f t="shared" si="21"/>
        <v>6.9750776742000529</v>
      </c>
      <c r="Q8" s="72">
        <f t="shared" si="22"/>
        <v>1.0590642930477741E-7</v>
      </c>
      <c r="R8" s="72">
        <f t="shared" si="3"/>
        <v>1.0000105906429305E-2</v>
      </c>
      <c r="S8" s="71">
        <f t="shared" si="4"/>
        <v>3.0518450595575765E-9</v>
      </c>
      <c r="T8" s="77"/>
      <c r="U8" s="72">
        <f t="shared" si="23"/>
        <v>1.9568480450881047E-2</v>
      </c>
      <c r="V8" s="72">
        <f t="shared" si="24"/>
        <v>-6.514403992828624E-2</v>
      </c>
      <c r="W8" s="84">
        <f t="shared" si="5"/>
        <v>-2.2157471283892248E-2</v>
      </c>
      <c r="X8" s="85">
        <f t="shared" si="25"/>
        <v>-22.157471283892249</v>
      </c>
      <c r="Y8" s="77"/>
      <c r="Z8" s="72">
        <f t="shared" si="6"/>
        <v>2.3525102651969966E-11</v>
      </c>
      <c r="AA8" s="72">
        <f t="shared" si="7"/>
        <v>8.4019801332342866E-8</v>
      </c>
      <c r="AB8" s="72">
        <f t="shared" si="8"/>
        <v>3.9501980133234287E-7</v>
      </c>
      <c r="AC8" s="72">
        <f t="shared" si="9"/>
        <v>1.1101980133234287E-7</v>
      </c>
      <c r="AD8" s="72">
        <f t="shared" si="10"/>
        <v>2.3701980133234286E-7</v>
      </c>
      <c r="AE8" s="72">
        <f t="shared" si="11"/>
        <v>8.6369742597164557E-10</v>
      </c>
      <c r="AF8" s="72">
        <f t="shared" si="26"/>
        <v>2.4E-9</v>
      </c>
      <c r="AG8" s="72">
        <f t="shared" si="27"/>
        <v>3.2872225286236154E-9</v>
      </c>
      <c r="AH8" s="84">
        <f t="shared" si="12"/>
        <v>1.4987891001735341E-7</v>
      </c>
      <c r="AI8" s="84">
        <f t="shared" si="28"/>
        <v>149.87891001735341</v>
      </c>
      <c r="AJ8" s="77"/>
      <c r="AK8" s="72">
        <f t="shared" si="29"/>
        <v>7.0939778447113784E-10</v>
      </c>
      <c r="AL8" s="84">
        <f t="shared" si="30"/>
        <v>5.0000000000000001E-9</v>
      </c>
      <c r="AM8" s="84">
        <f t="shared" si="31"/>
        <v>6.1036901191151531E-9</v>
      </c>
      <c r="AN8" s="81"/>
      <c r="AO8" s="72">
        <f t="shared" si="32"/>
        <v>1.3345499923290696E-10</v>
      </c>
      <c r="AP8" s="72">
        <f t="shared" si="33"/>
        <v>6.6780978167205703E-14</v>
      </c>
      <c r="AQ8" s="72">
        <f t="shared" si="34"/>
        <v>-4.7756343145125171E-10</v>
      </c>
      <c r="AR8" s="72">
        <f t="shared" si="35"/>
        <v>-4.9648015002697284E-15</v>
      </c>
      <c r="AS8" s="72">
        <f t="shared" si="36"/>
        <v>-3.4404661604167778E-10</v>
      </c>
      <c r="AT8" s="77"/>
      <c r="AU8" s="71">
        <v>-23.226049933417293</v>
      </c>
      <c r="AV8" s="71">
        <v>157.10705902422748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D9">
        <f>9.5*E9^-1.1</f>
        <v>0.35203886332580009</v>
      </c>
      <c r="E9" s="71">
        <v>20</v>
      </c>
      <c r="F9" s="71">
        <f t="shared" si="1"/>
        <v>293.14999999999998</v>
      </c>
      <c r="G9" s="71">
        <f t="shared" si="13"/>
        <v>998.20413220058367</v>
      </c>
      <c r="H9" s="83">
        <f t="shared" si="2"/>
        <v>0.99851846252703824</v>
      </c>
      <c r="I9" s="83">
        <f t="shared" si="14"/>
        <v>998.5184625270382</v>
      </c>
      <c r="J9" s="72">
        <f t="shared" si="15"/>
        <v>1.0020702144064812E-2</v>
      </c>
      <c r="K9" s="82">
        <f t="shared" si="16"/>
        <v>79.904580733406291</v>
      </c>
      <c r="L9" s="72">
        <f t="shared" si="17"/>
        <v>9.857057398062574E-4</v>
      </c>
      <c r="M9" s="72">
        <f t="shared" si="18"/>
        <v>0.10515093009594674</v>
      </c>
      <c r="N9" s="83">
        <f t="shared" si="19"/>
        <v>14.172777768292415</v>
      </c>
      <c r="O9" s="71">
        <f t="shared" si="20"/>
        <v>6.7177251596999975E-15</v>
      </c>
      <c r="P9" s="83">
        <f t="shared" si="21"/>
        <v>6.8904801346165909</v>
      </c>
      <c r="Q9" s="72">
        <f t="shared" si="22"/>
        <v>1.2868261133434464E-7</v>
      </c>
      <c r="R9" s="72">
        <f t="shared" si="3"/>
        <v>1.0000128682611334E-2</v>
      </c>
      <c r="S9" s="71">
        <f t="shared" si="4"/>
        <v>3.0433267473653258E-9</v>
      </c>
      <c r="T9" s="77"/>
      <c r="U9" s="72">
        <f t="shared" si="23"/>
        <v>2.3698070520395294E-2</v>
      </c>
      <c r="V9" s="72">
        <f t="shared" si="24"/>
        <v>-6.3048616331396551E-2</v>
      </c>
      <c r="W9" s="84">
        <f t="shared" si="5"/>
        <v>-2.1694282365189888E-2</v>
      </c>
      <c r="X9" s="85">
        <f t="shared" si="25"/>
        <v>-21.694282365189888</v>
      </c>
      <c r="Y9" s="77"/>
      <c r="Z9" s="72">
        <f t="shared" si="6"/>
        <v>1.9388297923055614E-11</v>
      </c>
      <c r="AA9" s="72">
        <f t="shared" si="7"/>
        <v>8.8259242198559453E-8</v>
      </c>
      <c r="AB9" s="72">
        <f t="shared" si="8"/>
        <v>3.9925924219855944E-7</v>
      </c>
      <c r="AC9" s="72">
        <f t="shared" si="9"/>
        <v>1.1525924219855946E-7</v>
      </c>
      <c r="AD9" s="72">
        <f t="shared" si="10"/>
        <v>2.4125924219855943E-7</v>
      </c>
      <c r="AE9" s="72">
        <f t="shared" si="11"/>
        <v>8.0370199729942595E-10</v>
      </c>
      <c r="AF9" s="72">
        <f t="shared" si="26"/>
        <v>2.4E-9</v>
      </c>
      <c r="AG9" s="72">
        <f t="shared" si="27"/>
        <v>3.2230902952224814E-9</v>
      </c>
      <c r="AH9" s="84">
        <f t="shared" si="12"/>
        <v>1.4405961337424052E-7</v>
      </c>
      <c r="AI9" s="84">
        <f t="shared" si="28"/>
        <v>144.05961337424054</v>
      </c>
      <c r="AJ9" s="77"/>
      <c r="AK9" s="72">
        <f t="shared" si="29"/>
        <v>7.1337294519430543E-10</v>
      </c>
      <c r="AL9" s="84">
        <f t="shared" si="30"/>
        <v>5.0000000000000001E-9</v>
      </c>
      <c r="AM9" s="84">
        <f t="shared" si="31"/>
        <v>6.0866534947306516E-9</v>
      </c>
      <c r="AN9" s="81"/>
      <c r="AO9" s="72">
        <f t="shared" si="32"/>
        <v>1.2796544868654849E-10</v>
      </c>
      <c r="AP9" s="72">
        <f t="shared" si="33"/>
        <v>7.4862661961589942E-14</v>
      </c>
      <c r="AQ9" s="72">
        <f t="shared" si="34"/>
        <v>-4.8239616275450644E-10</v>
      </c>
      <c r="AR9" s="72">
        <f t="shared" si="35"/>
        <v>-5.271259665262531E-15</v>
      </c>
      <c r="AS9" s="72">
        <f t="shared" si="36"/>
        <v>-3.5436112266566162E-10</v>
      </c>
      <c r="AT9" s="77"/>
      <c r="AU9" s="71">
        <v>-23.434384906190285</v>
      </c>
      <c r="AV9" s="71">
        <v>155.61466732877557</v>
      </c>
    </row>
    <row r="10" spans="1:48" x14ac:dyDescent="0.35">
      <c r="B10" s="4"/>
      <c r="D10">
        <f t="shared" si="0"/>
        <v>0.27541627219752424</v>
      </c>
      <c r="E10" s="71">
        <v>25</v>
      </c>
      <c r="F10" s="71">
        <f t="shared" si="1"/>
        <v>298.14999999999998</v>
      </c>
      <c r="G10" s="71">
        <f t="shared" si="13"/>
        <v>997.04489541791554</v>
      </c>
      <c r="H10" s="83">
        <f t="shared" si="2"/>
        <v>0.9973595393823218</v>
      </c>
      <c r="I10" s="83">
        <f t="shared" si="14"/>
        <v>997.35953938232183</v>
      </c>
      <c r="J10" s="72">
        <f t="shared" si="15"/>
        <v>1.0032352939898527E-2</v>
      </c>
      <c r="K10" s="82">
        <f t="shared" si="16"/>
        <v>78.10524896003129</v>
      </c>
      <c r="L10" s="72">
        <f t="shared" si="17"/>
        <v>8.7398943268375193E-4</v>
      </c>
      <c r="M10" s="72">
        <f t="shared" si="18"/>
        <v>0.11782880115527708</v>
      </c>
      <c r="N10" s="83">
        <f t="shared" si="19"/>
        <v>14.035502101212563</v>
      </c>
      <c r="O10" s="71">
        <f t="shared" si="20"/>
        <v>9.215054302775012E-15</v>
      </c>
      <c r="P10" s="83">
        <f t="shared" si="21"/>
        <v>6.7893316851289498</v>
      </c>
      <c r="Q10" s="72">
        <f t="shared" si="22"/>
        <v>1.6243077441043011E-7</v>
      </c>
      <c r="R10" s="72">
        <f t="shared" si="3"/>
        <v>1.0000162430774411E-2</v>
      </c>
      <c r="S10" s="71">
        <f t="shared" si="4"/>
        <v>3.034412227403147E-9</v>
      </c>
      <c r="T10" s="77"/>
      <c r="U10" s="72">
        <f t="shared" si="23"/>
        <v>2.9810402652102719E-2</v>
      </c>
      <c r="V10" s="72">
        <f t="shared" si="24"/>
        <v>-6.0192203828079015E-2</v>
      </c>
      <c r="W10" s="84">
        <f t="shared" si="5"/>
        <v>-2.1085765902548313E-2</v>
      </c>
      <c r="X10" s="85">
        <f t="shared" si="25"/>
        <v>-21.085765902548314</v>
      </c>
      <c r="Y10" s="77"/>
      <c r="Z10" s="72">
        <f t="shared" si="6"/>
        <v>1.538262576900836E-11</v>
      </c>
      <c r="AA10" s="72">
        <f t="shared" si="7"/>
        <v>9.2654936424848126E-8</v>
      </c>
      <c r="AB10" s="72">
        <f t="shared" si="8"/>
        <v>4.0365493642484812E-7</v>
      </c>
      <c r="AC10" s="72">
        <f t="shared" si="9"/>
        <v>1.1965493642484812E-7</v>
      </c>
      <c r="AD10" s="72">
        <f t="shared" si="10"/>
        <v>2.4565493642484811E-7</v>
      </c>
      <c r="AE10" s="72">
        <f t="shared" si="11"/>
        <v>7.2380354598161606E-10</v>
      </c>
      <c r="AF10" s="72">
        <f t="shared" si="26"/>
        <v>2.4E-9</v>
      </c>
      <c r="AG10" s="72">
        <f t="shared" si="27"/>
        <v>3.1391861717506243E-9</v>
      </c>
      <c r="AH10" s="84">
        <f t="shared" si="12"/>
        <v>1.3814893331007102E-7</v>
      </c>
      <c r="AI10" s="84">
        <f t="shared" si="28"/>
        <v>138.14893331007102</v>
      </c>
      <c r="AJ10" s="77"/>
      <c r="AK10" s="72">
        <f t="shared" si="29"/>
        <v>7.175681857129657E-10</v>
      </c>
      <c r="AL10" s="84">
        <f t="shared" si="30"/>
        <v>5.0000000000000001E-9</v>
      </c>
      <c r="AM10" s="84">
        <f t="shared" si="31"/>
        <v>6.068824454806294E-9</v>
      </c>
      <c r="AN10" s="81"/>
      <c r="AO10" s="72">
        <f t="shared" si="32"/>
        <v>1.201074735825011E-10</v>
      </c>
      <c r="AP10" s="72">
        <f t="shared" si="33"/>
        <v>8.5415603174184558E-14</v>
      </c>
      <c r="AQ10" s="72">
        <f t="shared" si="34"/>
        <v>-4.8333160768782811E-10</v>
      </c>
      <c r="AR10" s="72">
        <f t="shared" si="35"/>
        <v>-5.6294978317448925E-15</v>
      </c>
      <c r="AS10" s="72">
        <f t="shared" si="36"/>
        <v>-3.631443479999846E-10</v>
      </c>
      <c r="AT10" s="77"/>
      <c r="AU10" s="71">
        <v>-23.640115780958705</v>
      </c>
      <c r="AV10" s="71">
        <v>154.88443247251135</v>
      </c>
    </row>
    <row r="11" spans="1:48" x14ac:dyDescent="0.35">
      <c r="B11" s="4"/>
      <c r="D11">
        <f t="shared" si="0"/>
        <v>0.22536694890067283</v>
      </c>
      <c r="E11" s="71">
        <v>30</v>
      </c>
      <c r="F11" s="71">
        <f t="shared" si="1"/>
        <v>303.14999999999998</v>
      </c>
      <c r="G11" s="71">
        <f t="shared" si="13"/>
        <v>995.64725885447808</v>
      </c>
      <c r="H11" s="83">
        <f t="shared" si="2"/>
        <v>0.99596228095722128</v>
      </c>
      <c r="I11" s="83">
        <f t="shared" si="14"/>
        <v>995.96228095722131</v>
      </c>
      <c r="J11" s="72">
        <f t="shared" si="15"/>
        <v>1.004643582232643E-2</v>
      </c>
      <c r="K11" s="82">
        <f t="shared" si="16"/>
        <v>76.347558461656277</v>
      </c>
      <c r="L11" s="72">
        <f t="shared" si="17"/>
        <v>7.8156988422054051E-4</v>
      </c>
      <c r="M11" s="72">
        <f t="shared" si="18"/>
        <v>0.13043167221460741</v>
      </c>
      <c r="N11" s="83">
        <f t="shared" si="19"/>
        <v>13.879796860721664</v>
      </c>
      <c r="O11" s="71">
        <f t="shared" si="20"/>
        <v>1.3188734914099951E-14</v>
      </c>
      <c r="P11" s="83">
        <f t="shared" si="21"/>
        <v>6.674603824119222</v>
      </c>
      <c r="Q11" s="72">
        <f t="shared" si="22"/>
        <v>2.1154179047971098E-7</v>
      </c>
      <c r="R11" s="72">
        <f t="shared" si="3"/>
        <v>1.0000211541790481E-2</v>
      </c>
      <c r="S11" s="71">
        <f t="shared" si="4"/>
        <v>3.0251182723506892E-9</v>
      </c>
      <c r="T11" s="77"/>
      <c r="U11" s="72">
        <f t="shared" si="23"/>
        <v>3.8687432247995868E-2</v>
      </c>
      <c r="V11" s="72">
        <f t="shared" si="24"/>
        <v>-5.6660464615285094E-2</v>
      </c>
      <c r="W11" s="84">
        <f t="shared" si="5"/>
        <v>-2.0350907914074602E-2</v>
      </c>
      <c r="X11" s="85">
        <f t="shared" si="25"/>
        <v>-20.350907914074604</v>
      </c>
      <c r="Y11" s="77"/>
      <c r="Z11" s="72">
        <f t="shared" si="6"/>
        <v>1.182861769584776E-11</v>
      </c>
      <c r="AA11" s="72">
        <f t="shared" si="7"/>
        <v>9.7184485589648637E-8</v>
      </c>
      <c r="AB11" s="72">
        <f t="shared" si="8"/>
        <v>4.0818448558964866E-7</v>
      </c>
      <c r="AC11" s="72">
        <f t="shared" si="9"/>
        <v>1.2418448558964863E-7</v>
      </c>
      <c r="AD11" s="72">
        <f t="shared" si="10"/>
        <v>2.5018448558964864E-7</v>
      </c>
      <c r="AE11" s="72">
        <f t="shared" si="11"/>
        <v>6.3034562286674468E-10</v>
      </c>
      <c r="AF11" s="72">
        <f t="shared" si="26"/>
        <v>2.4E-9</v>
      </c>
      <c r="AG11" s="72">
        <f t="shared" si="27"/>
        <v>3.0421742405625923E-9</v>
      </c>
      <c r="AH11" s="84">
        <f t="shared" si="12"/>
        <v>1.3196778080102749E-7</v>
      </c>
      <c r="AI11" s="84">
        <f t="shared" si="28"/>
        <v>131.96778080102749</v>
      </c>
      <c r="AJ11" s="77"/>
      <c r="AK11" s="72">
        <f t="shared" si="29"/>
        <v>7.2198052755790889E-10</v>
      </c>
      <c r="AL11" s="84">
        <f t="shared" si="30"/>
        <v>5.0000000000000001E-9</v>
      </c>
      <c r="AM11" s="84">
        <f t="shared" si="31"/>
        <v>6.0502365447013785E-9</v>
      </c>
      <c r="AN11" s="81"/>
      <c r="AO11" s="72">
        <f t="shared" si="32"/>
        <v>1.1044470386957875E-10</v>
      </c>
      <c r="AP11" s="72">
        <f t="shared" si="33"/>
        <v>9.8618119740215619E-14</v>
      </c>
      <c r="AQ11" s="72">
        <f t="shared" si="34"/>
        <v>-4.7969076718126423E-10</v>
      </c>
      <c r="AR11" s="72">
        <f t="shared" si="35"/>
        <v>-6.0250597064676948E-15</v>
      </c>
      <c r="AS11" s="72">
        <f t="shared" si="36"/>
        <v>-3.6915347025165172E-10</v>
      </c>
      <c r="AT11" s="77"/>
      <c r="AU11" s="71">
        <v>-23.843198834151291</v>
      </c>
      <c r="AV11" s="71">
        <v>154.6139444471043</v>
      </c>
    </row>
    <row r="12" spans="1:48" x14ac:dyDescent="0.35">
      <c r="B12" s="4"/>
      <c r="D12">
        <f t="shared" si="0"/>
        <v>0.19021674971885327</v>
      </c>
      <c r="E12" s="71">
        <v>35</v>
      </c>
      <c r="F12" s="71">
        <f t="shared" si="1"/>
        <v>308.14999999999998</v>
      </c>
      <c r="G12" s="71">
        <f t="shared" si="13"/>
        <v>994.03186567551825</v>
      </c>
      <c r="H12" s="83">
        <f t="shared" si="2"/>
        <v>0.99434732483186039</v>
      </c>
      <c r="I12" s="83">
        <f t="shared" si="14"/>
        <v>994.34732483186042</v>
      </c>
      <c r="J12" s="72">
        <f t="shared" si="15"/>
        <v>1.0062762204267129E-2</v>
      </c>
      <c r="K12" s="82">
        <f t="shared" si="16"/>
        <v>74.630451738281266</v>
      </c>
      <c r="L12" s="72">
        <f t="shared" si="17"/>
        <v>7.0419332239365494E-4</v>
      </c>
      <c r="M12" s="72">
        <f t="shared" si="18"/>
        <v>0.14295954327393773</v>
      </c>
      <c r="N12" s="83">
        <f t="shared" si="19"/>
        <v>13.717188217917446</v>
      </c>
      <c r="O12" s="71">
        <f t="shared" si="20"/>
        <v>1.9178373932624932E-14</v>
      </c>
      <c r="P12" s="83">
        <f t="shared" si="21"/>
        <v>6.5547893483070672</v>
      </c>
      <c r="Q12" s="72">
        <f t="shared" si="22"/>
        <v>2.7874728862422208E-7</v>
      </c>
      <c r="R12" s="72">
        <f t="shared" si="3"/>
        <v>1.0000278747288625E-2</v>
      </c>
      <c r="S12" s="71">
        <f t="shared" si="4"/>
        <v>3.0154605966689234E-9</v>
      </c>
      <c r="T12" s="77"/>
      <c r="U12" s="72">
        <f t="shared" si="23"/>
        <v>5.0797525927076974E-2</v>
      </c>
      <c r="V12" s="72">
        <f t="shared" si="24"/>
        <v>-5.2772161362354401E-2</v>
      </c>
      <c r="W12" s="84">
        <f t="shared" si="5"/>
        <v>-1.955291176673318E-2</v>
      </c>
      <c r="X12" s="85">
        <f t="shared" si="25"/>
        <v>-19.552911766733178</v>
      </c>
      <c r="Y12" s="77"/>
      <c r="Z12" s="72">
        <f t="shared" si="6"/>
        <v>8.988581951124161E-12</v>
      </c>
      <c r="AA12" s="72">
        <f t="shared" si="7"/>
        <v>1.0182998692021327E-7</v>
      </c>
      <c r="AB12" s="72">
        <f t="shared" si="8"/>
        <v>4.1282998692021329E-7</v>
      </c>
      <c r="AC12" s="72">
        <f t="shared" si="9"/>
        <v>1.2882998692021328E-7</v>
      </c>
      <c r="AD12" s="72">
        <f t="shared" si="10"/>
        <v>2.5482998692021327E-7</v>
      </c>
      <c r="AE12" s="72">
        <f t="shared" si="11"/>
        <v>5.3542236464956234E-10</v>
      </c>
      <c r="AF12" s="72">
        <f t="shared" si="26"/>
        <v>2.4E-9</v>
      </c>
      <c r="AG12" s="72">
        <f t="shared" si="27"/>
        <v>2.9444109466006864E-9</v>
      </c>
      <c r="AH12" s="84">
        <f t="shared" si="12"/>
        <v>1.257438777880466E-7</v>
      </c>
      <c r="AI12" s="84">
        <f t="shared" si="28"/>
        <v>125.7438777880466</v>
      </c>
      <c r="AJ12" s="77"/>
      <c r="AK12" s="72">
        <f t="shared" si="29"/>
        <v>7.266076529282018E-10</v>
      </c>
      <c r="AL12" s="84">
        <f t="shared" si="30"/>
        <v>5.0000000000000001E-9</v>
      </c>
      <c r="AM12" s="84">
        <f t="shared" si="31"/>
        <v>6.0309211933378469E-9</v>
      </c>
      <c r="AN12" s="81"/>
      <c r="AO12" s="72">
        <f t="shared" si="32"/>
        <v>1.0022865677955239E-10</v>
      </c>
      <c r="AP12" s="72">
        <f t="shared" si="33"/>
        <v>1.1382895366203346E-13</v>
      </c>
      <c r="AQ12" s="72">
        <f t="shared" si="34"/>
        <v>-4.7195653701652206E-10</v>
      </c>
      <c r="AR12" s="72">
        <f t="shared" si="35"/>
        <v>-6.4229820077452988E-15</v>
      </c>
      <c r="AS12" s="72">
        <f t="shared" si="36"/>
        <v>-3.7162047426531535E-10</v>
      </c>
      <c r="AT12" s="77"/>
      <c r="AU12" s="71">
        <v>-24.043588091815934</v>
      </c>
      <c r="AV12" s="71">
        <v>154.62321658828893</v>
      </c>
    </row>
    <row r="13" spans="1:48" x14ac:dyDescent="0.35">
      <c r="B13" s="2"/>
      <c r="D13">
        <f t="shared" si="0"/>
        <v>0.16423193689304424</v>
      </c>
      <c r="E13" s="71">
        <v>40</v>
      </c>
      <c r="F13" s="71">
        <f t="shared" si="1"/>
        <v>313.14999999999998</v>
      </c>
      <c r="G13" s="71">
        <f t="shared" si="13"/>
        <v>992.21576731538448</v>
      </c>
      <c r="H13" s="83">
        <f t="shared" si="2"/>
        <v>0.99253171782722749</v>
      </c>
      <c r="I13" s="83">
        <f t="shared" si="14"/>
        <v>992.53171782722745</v>
      </c>
      <c r="J13" s="72">
        <f t="shared" si="15"/>
        <v>1.0081180542837812E-2</v>
      </c>
      <c r="K13" s="82">
        <f t="shared" si="16"/>
        <v>72.952871289906284</v>
      </c>
      <c r="L13" s="72">
        <f t="shared" si="17"/>
        <v>6.3869146235976814E-4</v>
      </c>
      <c r="M13" s="72">
        <f t="shared" si="18"/>
        <v>0.15541241433326805</v>
      </c>
      <c r="N13" s="83">
        <f t="shared" si="19"/>
        <v>13.557150715817892</v>
      </c>
      <c r="O13" s="71">
        <f t="shared" si="20"/>
        <v>2.7723578297299922E-14</v>
      </c>
      <c r="P13" s="83">
        <f t="shared" si="21"/>
        <v>6.4368693589776473</v>
      </c>
      <c r="Q13" s="72">
        <f t="shared" si="22"/>
        <v>3.6570478348200276E-7</v>
      </c>
      <c r="R13" s="72">
        <f t="shared" si="3"/>
        <v>1.0000365704783482E-2</v>
      </c>
      <c r="S13" s="71">
        <f t="shared" si="4"/>
        <v>3.0054537646633085E-9</v>
      </c>
      <c r="T13" s="77"/>
      <c r="U13" s="72">
        <f t="shared" si="23"/>
        <v>6.6405796306025611E-2</v>
      </c>
      <c r="V13" s="72">
        <f t="shared" si="24"/>
        <v>-4.8806465097115968E-2</v>
      </c>
      <c r="W13" s="84">
        <f t="shared" si="5"/>
        <v>-1.8746272433128215E-2</v>
      </c>
      <c r="X13" s="85">
        <f t="shared" si="25"/>
        <v>-18.746272433128215</v>
      </c>
      <c r="Y13" s="77"/>
      <c r="Z13" s="72">
        <f t="shared" si="6"/>
        <v>6.8590111628205811E-12</v>
      </c>
      <c r="AA13" s="72">
        <f t="shared" si="7"/>
        <v>1.0657680752829912E-7</v>
      </c>
      <c r="AB13" s="72">
        <f t="shared" si="8"/>
        <v>4.1757680752829913E-7</v>
      </c>
      <c r="AC13" s="72">
        <f t="shared" si="9"/>
        <v>1.3357680752829913E-7</v>
      </c>
      <c r="AD13" s="72">
        <f t="shared" si="10"/>
        <v>2.5957680752829912E-7</v>
      </c>
      <c r="AE13" s="72">
        <f t="shared" si="11"/>
        <v>4.4735027981211049E-10</v>
      </c>
      <c r="AF13" s="72">
        <f t="shared" si="26"/>
        <v>2.4E-9</v>
      </c>
      <c r="AG13" s="72">
        <f t="shared" si="27"/>
        <v>2.8542092909749309E-9</v>
      </c>
      <c r="AH13" s="84">
        <f t="shared" si="12"/>
        <v>1.1971097080070059E-7</v>
      </c>
      <c r="AI13" s="84">
        <f t="shared" si="28"/>
        <v>119.71097080070059</v>
      </c>
      <c r="AJ13" s="77"/>
      <c r="AK13" s="72">
        <f t="shared" si="29"/>
        <v>7.3144791210498305E-10</v>
      </c>
      <c r="AL13" s="84">
        <f t="shared" si="30"/>
        <v>5.0000000000000001E-9</v>
      </c>
      <c r="AM13" s="84">
        <f t="shared" si="31"/>
        <v>6.0109075293266169E-9</v>
      </c>
      <c r="AN13" s="81"/>
      <c r="AO13" s="72">
        <f t="shared" si="32"/>
        <v>9.0365848459158085E-11</v>
      </c>
      <c r="AP13" s="72">
        <f t="shared" si="33"/>
        <v>1.3012519106859511E-13</v>
      </c>
      <c r="AQ13" s="72">
        <f t="shared" si="34"/>
        <v>-4.609219870480658E-10</v>
      </c>
      <c r="AR13" s="72">
        <f t="shared" si="35"/>
        <v>-6.7901738825277215E-15</v>
      </c>
      <c r="AS13" s="72">
        <f t="shared" si="36"/>
        <v>-3.7043280357172163E-10</v>
      </c>
      <c r="AT13" s="77"/>
      <c r="AU13" s="71">
        <v>-24.241234945966287</v>
      </c>
      <c r="AV13" s="71">
        <v>154.8010083002483</v>
      </c>
    </row>
    <row r="14" spans="1:48" x14ac:dyDescent="0.35">
      <c r="B14" s="3"/>
      <c r="D14">
        <f t="shared" si="0"/>
        <v>0.14427458712077992</v>
      </c>
      <c r="E14" s="71">
        <v>45</v>
      </c>
      <c r="F14" s="71">
        <f t="shared" si="1"/>
        <v>318.14999999999998</v>
      </c>
      <c r="G14" s="71">
        <f t="shared" si="13"/>
        <v>990.21322507955676</v>
      </c>
      <c r="H14" s="83">
        <f t="shared" si="2"/>
        <v>0.9905297173903268</v>
      </c>
      <c r="I14" s="83">
        <f t="shared" si="14"/>
        <v>990.52971739032682</v>
      </c>
      <c r="J14" s="72">
        <f t="shared" si="15"/>
        <v>1.0101568060710456E-2</v>
      </c>
      <c r="K14" s="82">
        <f t="shared" si="16"/>
        <v>71.313759616531243</v>
      </c>
      <c r="L14" s="72">
        <f t="shared" si="17"/>
        <v>5.8268592045754633E-4</v>
      </c>
      <c r="M14" s="72">
        <f t="shared" si="18"/>
        <v>0.16779028539259838</v>
      </c>
      <c r="N14" s="83">
        <f t="shared" si="19"/>
        <v>13.404901273924571</v>
      </c>
      <c r="O14" s="71">
        <f t="shared" si="20"/>
        <v>3.9363954947074921E-14</v>
      </c>
      <c r="P14" s="83">
        <f t="shared" si="21"/>
        <v>6.3246878244751761</v>
      </c>
      <c r="Q14" s="72">
        <f t="shared" si="22"/>
        <v>4.7349148741908388E-7</v>
      </c>
      <c r="R14" s="72">
        <f t="shared" si="3"/>
        <v>1.000047349148742E-2</v>
      </c>
      <c r="S14" s="71">
        <f t="shared" si="4"/>
        <v>2.9951111103760828E-9</v>
      </c>
      <c r="T14" s="77"/>
      <c r="U14" s="72">
        <f t="shared" si="23"/>
        <v>8.5666295420983959E-2</v>
      </c>
      <c r="V14" s="72">
        <f t="shared" si="24"/>
        <v>-4.4929261130024309E-2</v>
      </c>
      <c r="W14" s="84">
        <f t="shared" si="5"/>
        <v>-1.7962986522740178E-2</v>
      </c>
      <c r="X14" s="85">
        <f t="shared" si="25"/>
        <v>-17.962986522740177</v>
      </c>
      <c r="Y14" s="77"/>
      <c r="Z14" s="72">
        <f t="shared" si="6"/>
        <v>5.3026237460334376E-12</v>
      </c>
      <c r="AA14" s="72">
        <f t="shared" si="7"/>
        <v>1.1141213637529015E-7</v>
      </c>
      <c r="AB14" s="72">
        <f t="shared" si="8"/>
        <v>4.2241213637529018E-7</v>
      </c>
      <c r="AC14" s="72">
        <f t="shared" si="9"/>
        <v>1.3841213637529015E-7</v>
      </c>
      <c r="AD14" s="72">
        <f t="shared" si="10"/>
        <v>2.6441213637529017E-7</v>
      </c>
      <c r="AE14" s="72">
        <f t="shared" si="11"/>
        <v>3.6955719598898782E-10</v>
      </c>
      <c r="AF14" s="72">
        <f t="shared" si="26"/>
        <v>2.4E-9</v>
      </c>
      <c r="AG14" s="72">
        <f t="shared" si="27"/>
        <v>2.7748598197350215E-9</v>
      </c>
      <c r="AH14" s="84">
        <f t="shared" si="12"/>
        <v>1.1399568403881467E-7</v>
      </c>
      <c r="AI14" s="84">
        <f t="shared" si="28"/>
        <v>113.99568403881466</v>
      </c>
      <c r="AJ14" s="77"/>
      <c r="AK14" s="72">
        <f t="shared" si="29"/>
        <v>7.3650033690487343E-10</v>
      </c>
      <c r="AL14" s="84">
        <f t="shared" si="30"/>
        <v>5.0000000000000001E-9</v>
      </c>
      <c r="AM14" s="84">
        <f t="shared" si="31"/>
        <v>5.9902222207521657E-9</v>
      </c>
      <c r="AN14" s="81"/>
      <c r="AO14" s="72">
        <f t="shared" si="32"/>
        <v>8.1264911154482154E-11</v>
      </c>
      <c r="AP14" s="72">
        <f t="shared" si="33"/>
        <v>1.4661200438772154E-13</v>
      </c>
      <c r="AQ14" s="72">
        <f t="shared" si="34"/>
        <v>-4.4726522780840818E-10</v>
      </c>
      <c r="AR14" s="72">
        <f t="shared" si="35"/>
        <v>-7.1032794309226113E-15</v>
      </c>
      <c r="AS14" s="72">
        <f t="shared" si="36"/>
        <v>-3.6586080792896924E-10</v>
      </c>
      <c r="AT14" s="77"/>
      <c r="AU14" s="71">
        <v>-24.436087734993691</v>
      </c>
      <c r="AV14" s="71">
        <v>155.07491650903151</v>
      </c>
    </row>
    <row r="15" spans="1:48" x14ac:dyDescent="0.35">
      <c r="B15" s="6"/>
      <c r="D15">
        <f t="shared" si="0"/>
        <v>0.12848623418318583</v>
      </c>
      <c r="E15" s="71">
        <v>50</v>
      </c>
      <c r="F15" s="71">
        <f t="shared" si="1"/>
        <v>323.14999999999998</v>
      </c>
      <c r="G15" s="71">
        <f t="shared" si="13"/>
        <v>988.03629161147626</v>
      </c>
      <c r="H15" s="83">
        <f t="shared" si="2"/>
        <v>0.98835337290369008</v>
      </c>
      <c r="I15" s="83">
        <f t="shared" si="14"/>
        <v>988.35337290369011</v>
      </c>
      <c r="J15" s="72">
        <f t="shared" si="15"/>
        <v>1.012382477514307E-2</v>
      </c>
      <c r="K15" s="82">
        <f t="shared" si="16"/>
        <v>69.712059218156313</v>
      </c>
      <c r="L15" s="72">
        <f t="shared" si="17"/>
        <v>5.3437513831400393E-4</v>
      </c>
      <c r="M15" s="72">
        <f t="shared" si="18"/>
        <v>0.18009315645192875</v>
      </c>
      <c r="N15" s="83">
        <f t="shared" si="19"/>
        <v>13.262496376836017</v>
      </c>
      <c r="O15" s="71">
        <f t="shared" si="20"/>
        <v>5.4639110820899895E-14</v>
      </c>
      <c r="P15" s="83">
        <f t="shared" si="21"/>
        <v>6.2197600186494304</v>
      </c>
      <c r="Q15" s="72">
        <f t="shared" si="22"/>
        <v>6.0289263894251469E-7</v>
      </c>
      <c r="R15" s="72">
        <f t="shared" si="3"/>
        <v>1.0000602892638943E-2</v>
      </c>
      <c r="S15" s="71">
        <f t="shared" si="4"/>
        <v>2.9844446863948099E-9</v>
      </c>
      <c r="T15" s="77"/>
      <c r="U15" s="72">
        <f t="shared" si="23"/>
        <v>0.10867561732020409</v>
      </c>
      <c r="V15" s="72">
        <f t="shared" si="24"/>
        <v>-4.121708431533308E-2</v>
      </c>
      <c r="W15" s="84">
        <f t="shared" si="5"/>
        <v>-1.7217567998434678E-2</v>
      </c>
      <c r="X15" s="85">
        <f t="shared" si="25"/>
        <v>-17.217567998434678</v>
      </c>
      <c r="Y15" s="77"/>
      <c r="Z15" s="72">
        <f t="shared" si="6"/>
        <v>4.1677880632509169E-12</v>
      </c>
      <c r="AA15" s="72">
        <f t="shared" si="7"/>
        <v>1.1632358783904979E-7</v>
      </c>
      <c r="AB15" s="72">
        <f t="shared" si="8"/>
        <v>4.273235878390498E-7</v>
      </c>
      <c r="AC15" s="72">
        <f t="shared" si="9"/>
        <v>1.433235878390498E-7</v>
      </c>
      <c r="AD15" s="72">
        <f t="shared" si="10"/>
        <v>2.6932358783904979E-7</v>
      </c>
      <c r="AE15" s="72">
        <f t="shared" si="11"/>
        <v>3.0249905445292825E-10</v>
      </c>
      <c r="AF15" s="72">
        <f t="shared" si="26"/>
        <v>2.4E-9</v>
      </c>
      <c r="AG15" s="72">
        <f t="shared" si="27"/>
        <v>2.7066668425161793E-9</v>
      </c>
      <c r="AH15" s="84">
        <f t="shared" si="12"/>
        <v>1.086365653034427E-7</v>
      </c>
      <c r="AI15" s="84">
        <f t="shared" si="28"/>
        <v>108.63656530344271</v>
      </c>
      <c r="AJ15" s="77"/>
      <c r="AK15" s="72">
        <f t="shared" si="29"/>
        <v>7.4176466016551523E-10</v>
      </c>
      <c r="AL15" s="84">
        <f t="shared" si="30"/>
        <v>5.0000000000000001E-9</v>
      </c>
      <c r="AM15" s="84">
        <f t="shared" si="31"/>
        <v>5.9688893727896198E-9</v>
      </c>
      <c r="AN15" s="81"/>
      <c r="AO15" s="72">
        <f t="shared" si="32"/>
        <v>7.3018429017569214E-11</v>
      </c>
      <c r="AP15" s="72">
        <f t="shared" si="33"/>
        <v>1.6252087021635131E-13</v>
      </c>
      <c r="AQ15" s="72">
        <f t="shared" si="34"/>
        <v>-4.3146012831244385E-10</v>
      </c>
      <c r="AR15" s="72">
        <f t="shared" si="35"/>
        <v>-7.3478626572327672E-15</v>
      </c>
      <c r="AS15" s="72">
        <f t="shared" si="36"/>
        <v>-3.5828652628731553E-10</v>
      </c>
      <c r="AT15" s="77"/>
      <c r="AU15" s="71">
        <v>-24.628091285514767</v>
      </c>
      <c r="AV15" s="71">
        <v>155.39426550161471</v>
      </c>
    </row>
    <row r="16" spans="1:48" x14ac:dyDescent="0.35">
      <c r="A16" s="43"/>
      <c r="B16" s="36"/>
      <c r="C16" s="6"/>
      <c r="D16">
        <f t="shared" si="0"/>
        <v>0.11569767903885055</v>
      </c>
      <c r="E16" s="71">
        <v>55</v>
      </c>
      <c r="F16" s="71">
        <f t="shared" si="1"/>
        <v>328.15</v>
      </c>
      <c r="G16" s="71">
        <f t="shared" si="13"/>
        <v>985.69523966623524</v>
      </c>
      <c r="H16" s="83">
        <f t="shared" si="2"/>
        <v>0.9860129543430588</v>
      </c>
      <c r="I16" s="83">
        <f t="shared" si="14"/>
        <v>986.01295434305882</v>
      </c>
      <c r="J16" s="72">
        <f t="shared" si="15"/>
        <v>1.0147869123466342E-2</v>
      </c>
      <c r="K16" s="82">
        <f t="shared" si="16"/>
        <v>68.146712594781306</v>
      </c>
      <c r="L16" s="72">
        <f t="shared" si="17"/>
        <v>4.9238057942179879E-4</v>
      </c>
      <c r="M16" s="72">
        <f t="shared" si="18"/>
        <v>0.1923210275112591</v>
      </c>
      <c r="N16" s="83">
        <f t="shared" si="19"/>
        <v>13.130248301853779</v>
      </c>
      <c r="O16" s="71">
        <f t="shared" si="20"/>
        <v>7.4088652857724808E-14</v>
      </c>
      <c r="P16" s="83">
        <f t="shared" si="21"/>
        <v>6.1223160359194271</v>
      </c>
      <c r="Q16" s="72">
        <f t="shared" si="22"/>
        <v>7.5454294723553305E-7</v>
      </c>
      <c r="R16" s="72">
        <f t="shared" si="3"/>
        <v>1.0000754542947236E-2</v>
      </c>
      <c r="S16" s="71">
        <f t="shared" si="4"/>
        <v>2.9734652323866652E-9</v>
      </c>
      <c r="T16" s="77"/>
      <c r="U16" s="72">
        <f t="shared" si="23"/>
        <v>0.13549915344824151</v>
      </c>
      <c r="V16" s="72">
        <f t="shared" si="24"/>
        <v>-3.7694627821091647E-2</v>
      </c>
      <c r="W16" s="84">
        <f t="shared" si="5"/>
        <v>-1.65144887449666E-2</v>
      </c>
      <c r="X16" s="85">
        <f t="shared" si="25"/>
        <v>-16.514488744966599</v>
      </c>
      <c r="Y16" s="77"/>
      <c r="Z16" s="72">
        <f t="shared" si="6"/>
        <v>3.3323354579977562E-12</v>
      </c>
      <c r="AA16" s="72">
        <f t="shared" si="7"/>
        <v>1.2129802174913397E-7</v>
      </c>
      <c r="AB16" s="72">
        <f t="shared" si="8"/>
        <v>4.3229802174913393E-7</v>
      </c>
      <c r="AC16" s="72">
        <f t="shared" si="9"/>
        <v>1.4829802174913396E-7</v>
      </c>
      <c r="AD16" s="72">
        <f t="shared" si="10"/>
        <v>2.7429802174913392E-7</v>
      </c>
      <c r="AE16" s="72">
        <f t="shared" si="11"/>
        <v>2.4534345128853183E-10</v>
      </c>
      <c r="AF16" s="72">
        <f t="shared" si="26"/>
        <v>2.4E-9</v>
      </c>
      <c r="AG16" s="72">
        <f t="shared" si="27"/>
        <v>2.6486757867465296E-9</v>
      </c>
      <c r="AH16" s="84">
        <f t="shared" si="12"/>
        <v>1.0362339030485494E-7</v>
      </c>
      <c r="AI16" s="84">
        <f t="shared" si="28"/>
        <v>103.62339030485494</v>
      </c>
      <c r="AJ16" s="77"/>
      <c r="AK16" s="72">
        <f t="shared" si="29"/>
        <v>7.4724134132600854E-10</v>
      </c>
      <c r="AL16" s="84">
        <f t="shared" si="30"/>
        <v>5.0000000000000001E-9</v>
      </c>
      <c r="AM16" s="84">
        <f t="shared" si="31"/>
        <v>5.9469304647733303E-9</v>
      </c>
      <c r="AN16" s="81"/>
      <c r="AO16" s="72">
        <f t="shared" si="32"/>
        <v>6.5574036368723218E-11</v>
      </c>
      <c r="AP16" s="72">
        <f t="shared" si="33"/>
        <v>1.7721060744181669E-13</v>
      </c>
      <c r="AQ16" s="72">
        <f t="shared" si="34"/>
        <v>-4.1381229209495924E-10</v>
      </c>
      <c r="AR16" s="72">
        <f t="shared" si="35"/>
        <v>-7.5155096858595103E-15</v>
      </c>
      <c r="AS16" s="72">
        <f t="shared" si="36"/>
        <v>-3.4806856062848011E-10</v>
      </c>
      <c r="AT16" s="77"/>
      <c r="AU16" s="71">
        <v>-24.817186412870761</v>
      </c>
      <c r="AV16" s="71">
        <v>155.72029497671514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D17">
        <f t="shared" si="0"/>
        <v>0.10513739926315883</v>
      </c>
      <c r="E17" s="71">
        <v>60</v>
      </c>
      <c r="F17" s="71">
        <f t="shared" si="1"/>
        <v>333.15</v>
      </c>
      <c r="G17" s="71">
        <f t="shared" si="13"/>
        <v>983.19888300964794</v>
      </c>
      <c r="H17" s="83">
        <f t="shared" si="2"/>
        <v>0.98351727308963355</v>
      </c>
      <c r="I17" s="83">
        <f t="shared" si="14"/>
        <v>983.51727308963359</v>
      </c>
      <c r="J17" s="72">
        <f t="shared" si="15"/>
        <v>1.0173634714817501E-2</v>
      </c>
      <c r="K17" s="82">
        <f t="shared" si="16"/>
        <v>66.616662246406293</v>
      </c>
      <c r="L17" s="72">
        <f t="shared" si="17"/>
        <v>4.5563552549749157E-4</v>
      </c>
      <c r="M17" s="72">
        <f t="shared" si="18"/>
        <v>0.20447389857058945</v>
      </c>
      <c r="N17" s="83">
        <f t="shared" si="19"/>
        <v>13.007657769459144</v>
      </c>
      <c r="O17" s="71">
        <f t="shared" si="20"/>
        <v>9.8252187996499737E-14</v>
      </c>
      <c r="P17" s="83">
        <f t="shared" si="21"/>
        <v>6.0319879935405174</v>
      </c>
      <c r="Q17" s="72">
        <f t="shared" si="22"/>
        <v>9.2899206924177978E-7</v>
      </c>
      <c r="R17" s="72">
        <f t="shared" si="3"/>
        <v>1.0000928992069242E-2</v>
      </c>
      <c r="S17" s="71">
        <f t="shared" si="4"/>
        <v>2.9621821524782555E-9</v>
      </c>
      <c r="T17" s="77"/>
      <c r="U17" s="72">
        <f t="shared" si="23"/>
        <v>0.16618325412272653</v>
      </c>
      <c r="V17" s="72">
        <f t="shared" si="24"/>
        <v>-3.4360772179867785E-2</v>
      </c>
      <c r="W17" s="84">
        <f t="shared" si="5"/>
        <v>-1.5853277089658953E-2</v>
      </c>
      <c r="X17" s="85">
        <f t="shared" si="25"/>
        <v>-15.853277089658953</v>
      </c>
      <c r="Y17" s="77"/>
      <c r="Z17" s="72">
        <f t="shared" si="6"/>
        <v>2.7080914188154768E-12</v>
      </c>
      <c r="AA17" s="72">
        <f t="shared" si="7"/>
        <v>1.2632065723548179E-7</v>
      </c>
      <c r="AB17" s="72">
        <f t="shared" si="8"/>
        <v>4.3732065723548178E-7</v>
      </c>
      <c r="AC17" s="72">
        <f t="shared" si="9"/>
        <v>1.5332065723548178E-7</v>
      </c>
      <c r="AD17" s="72">
        <f t="shared" si="10"/>
        <v>2.7932065723548177E-7</v>
      </c>
      <c r="AE17" s="72">
        <f t="shared" si="11"/>
        <v>1.968765128703019E-10</v>
      </c>
      <c r="AF17" s="72">
        <f t="shared" si="26"/>
        <v>2.4E-9</v>
      </c>
      <c r="AG17" s="72">
        <f t="shared" si="27"/>
        <v>2.5995846042891172E-9</v>
      </c>
      <c r="AH17" s="84">
        <f t="shared" si="12"/>
        <v>9.8924448302007483E-8</v>
      </c>
      <c r="AI17" s="84">
        <f t="shared" si="28"/>
        <v>98.924448302007491</v>
      </c>
      <c r="AJ17" s="77"/>
      <c r="AK17" s="72">
        <f t="shared" si="29"/>
        <v>7.5293159823645186E-10</v>
      </c>
      <c r="AL17" s="84">
        <f t="shared" si="30"/>
        <v>5.0000000000000001E-9</v>
      </c>
      <c r="AM17" s="84">
        <f t="shared" si="31"/>
        <v>5.924364304956511E-9</v>
      </c>
      <c r="AN17" s="81"/>
      <c r="AO17" s="72">
        <f t="shared" si="32"/>
        <v>5.8830100238260365E-11</v>
      </c>
      <c r="AP17" s="72">
        <f t="shared" si="33"/>
        <v>1.9014185449537473E-13</v>
      </c>
      <c r="AQ17" s="72">
        <f t="shared" si="34"/>
        <v>-3.9451375700942028E-10</v>
      </c>
      <c r="AR17" s="72">
        <f t="shared" si="35"/>
        <v>-7.60142052299711E-15</v>
      </c>
      <c r="AS17" s="72">
        <f t="shared" si="36"/>
        <v>-3.3550111633718754E-10</v>
      </c>
      <c r="AT17" s="77"/>
      <c r="AU17" s="71">
        <v>-25.003309377306298</v>
      </c>
      <c r="AV17" s="71">
        <v>156.02065155167321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D18">
        <f t="shared" si="0"/>
        <v>9.6276193913914551E-2</v>
      </c>
      <c r="E18" s="71">
        <v>65</v>
      </c>
      <c r="F18" s="71">
        <f t="shared" si="1"/>
        <v>338.15</v>
      </c>
      <c r="G18" s="71">
        <f t="shared" si="13"/>
        <v>980.55481983181551</v>
      </c>
      <c r="H18" s="83">
        <f t="shared" si="2"/>
        <v>0.98087392527778305</v>
      </c>
      <c r="I18" s="83">
        <f t="shared" si="14"/>
        <v>980.87392527778309</v>
      </c>
      <c r="J18" s="72">
        <f t="shared" si="15"/>
        <v>1.0201067890801259E-2</v>
      </c>
      <c r="K18" s="82">
        <f t="shared" si="16"/>
        <v>65.120850673031285</v>
      </c>
      <c r="L18" s="72">
        <f t="shared" si="17"/>
        <v>4.2330450817382008E-4</v>
      </c>
      <c r="M18" s="72">
        <f t="shared" si="18"/>
        <v>0.2165517696299197</v>
      </c>
      <c r="N18" s="83">
        <f t="shared" si="19"/>
        <v>12.893913443972313</v>
      </c>
      <c r="O18" s="71">
        <f t="shared" si="20"/>
        <v>1.2766932317617458E-13</v>
      </c>
      <c r="P18" s="83">
        <f t="shared" si="21"/>
        <v>5.9481780772913533</v>
      </c>
      <c r="Q18" s="72">
        <f t="shared" si="22"/>
        <v>1.1267353569992999E-6</v>
      </c>
      <c r="R18" s="72">
        <f t="shared" si="3"/>
        <v>1.0001126735357E-2</v>
      </c>
      <c r="S18" s="71">
        <f t="shared" si="4"/>
        <v>2.9506034952128597E-9</v>
      </c>
      <c r="T18" s="77"/>
      <c r="U18" s="72">
        <f t="shared" si="23"/>
        <v>0.20076095110732342</v>
      </c>
      <c r="V18" s="72">
        <f t="shared" si="24"/>
        <v>-3.1203088312381545E-2</v>
      </c>
      <c r="W18" s="84">
        <f t="shared" si="5"/>
        <v>-1.5231334988197613E-2</v>
      </c>
      <c r="X18" s="85">
        <f t="shared" si="25"/>
        <v>-15.231334988197613</v>
      </c>
      <c r="Y18" s="77"/>
      <c r="Z18" s="72">
        <f t="shared" si="6"/>
        <v>2.233883917346761E-12</v>
      </c>
      <c r="AA18" s="72">
        <f t="shared" si="7"/>
        <v>1.3137449886008446E-7</v>
      </c>
      <c r="AB18" s="72">
        <f t="shared" si="8"/>
        <v>4.4237449886008448E-7</v>
      </c>
      <c r="AC18" s="72">
        <f t="shared" si="9"/>
        <v>1.5837449886008447E-7</v>
      </c>
      <c r="AD18" s="72">
        <f t="shared" si="10"/>
        <v>2.8437449886008446E-7</v>
      </c>
      <c r="AE18" s="72">
        <f t="shared" si="11"/>
        <v>1.5589403154940586E-10</v>
      </c>
      <c r="AF18" s="72">
        <f t="shared" si="26"/>
        <v>2.4E-9</v>
      </c>
      <c r="AG18" s="72">
        <f t="shared" si="27"/>
        <v>2.5581279154667524E-9</v>
      </c>
      <c r="AH18" s="84">
        <f t="shared" si="12"/>
        <v>9.4501300316207124E-8</v>
      </c>
      <c r="AI18" s="84">
        <f t="shared" si="28"/>
        <v>94.501300316207121</v>
      </c>
      <c r="AJ18" s="77"/>
      <c r="AK18" s="72">
        <f t="shared" si="29"/>
        <v>7.5883744540541376E-10</v>
      </c>
      <c r="AL18" s="84">
        <f t="shared" si="30"/>
        <v>5.0000000000000001E-9</v>
      </c>
      <c r="AM18" s="84">
        <f t="shared" si="31"/>
        <v>5.9012069904257194E-9</v>
      </c>
      <c r="AN18" s="81"/>
      <c r="AO18" s="72">
        <f t="shared" si="32"/>
        <v>5.2678978399165308E-11</v>
      </c>
      <c r="AP18" s="72">
        <f t="shared" si="33"/>
        <v>2.0085123183090856E-13</v>
      </c>
      <c r="AQ18" s="72">
        <f t="shared" si="34"/>
        <v>-3.7368657443984867E-10</v>
      </c>
      <c r="AR18" s="72">
        <f t="shared" si="35"/>
        <v>-7.6028692782604195E-15</v>
      </c>
      <c r="AS18" s="72">
        <f t="shared" si="36"/>
        <v>-3.2081434767813069E-10</v>
      </c>
      <c r="AT18" s="77"/>
      <c r="AU18" s="71">
        <v>-25.186391292626176</v>
      </c>
      <c r="AV18" s="71">
        <v>156.26645490203902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D19">
        <f t="shared" si="0"/>
        <v>8.8739251515294854E-2</v>
      </c>
      <c r="E19" s="71">
        <v>70</v>
      </c>
      <c r="F19" s="71">
        <f t="shared" si="1"/>
        <v>343.15</v>
      </c>
      <c r="G19" s="71">
        <f t="shared" si="13"/>
        <v>977.76961965898226</v>
      </c>
      <c r="H19" s="83">
        <f t="shared" si="2"/>
        <v>0.97808947865633</v>
      </c>
      <c r="I19" s="83">
        <f t="shared" si="14"/>
        <v>978.08947865633002</v>
      </c>
      <c r="J19" s="72">
        <f t="shared" si="15"/>
        <v>1.0230125876937553E-2</v>
      </c>
      <c r="K19" s="82">
        <f t="shared" si="16"/>
        <v>63.658220374656253</v>
      </c>
      <c r="L19" s="72">
        <f t="shared" si="17"/>
        <v>3.9472478843393413E-4</v>
      </c>
      <c r="M19" s="72">
        <f t="shared" si="18"/>
        <v>0.22855464068925005</v>
      </c>
      <c r="N19" s="83">
        <f t="shared" si="19"/>
        <v>12.788133131675163</v>
      </c>
      <c r="O19" s="71">
        <f t="shared" si="20"/>
        <v>1.6287966533569951E-13</v>
      </c>
      <c r="P19" s="83">
        <f t="shared" si="21"/>
        <v>5.8702362628184988</v>
      </c>
      <c r="Q19" s="72">
        <f t="shared" si="22"/>
        <v>1.3482292257983939E-6</v>
      </c>
      <c r="R19" s="72">
        <f t="shared" si="3"/>
        <v>1.0001348229225798E-2</v>
      </c>
      <c r="S19" s="71">
        <f t="shared" si="4"/>
        <v>2.9387359331690427E-9</v>
      </c>
      <c r="T19" s="77"/>
      <c r="U19" s="72">
        <f t="shared" si="23"/>
        <v>0.23925481914167077</v>
      </c>
      <c r="V19" s="72">
        <f t="shared" si="24"/>
        <v>-2.8205162878771461E-2</v>
      </c>
      <c r="W19" s="84">
        <f t="shared" si="5"/>
        <v>-1.4645349206041021E-2</v>
      </c>
      <c r="X19" s="85">
        <f t="shared" si="25"/>
        <v>-14.645349206041022</v>
      </c>
      <c r="Y19" s="77"/>
      <c r="Z19" s="72">
        <f t="shared" si="6"/>
        <v>1.8676587715037E-12</v>
      </c>
      <c r="AA19" s="72">
        <f t="shared" si="7"/>
        <v>1.3644005920278855E-7</v>
      </c>
      <c r="AB19" s="72">
        <f t="shared" si="8"/>
        <v>4.4744005920278857E-7</v>
      </c>
      <c r="AC19" s="72">
        <f t="shared" si="9"/>
        <v>1.6344005920278854E-7</v>
      </c>
      <c r="AD19" s="72">
        <f t="shared" si="10"/>
        <v>2.8944005920278856E-7</v>
      </c>
      <c r="AE19" s="72">
        <f t="shared" si="11"/>
        <v>1.2133822603801524E-10</v>
      </c>
      <c r="AF19" s="72">
        <f t="shared" si="26"/>
        <v>2.4E-9</v>
      </c>
      <c r="AG19" s="72">
        <f t="shared" si="27"/>
        <v>2.5232058848095191E-9</v>
      </c>
      <c r="AH19" s="84">
        <f t="shared" si="12"/>
        <v>9.0315894144396577E-8</v>
      </c>
      <c r="AI19" s="84">
        <f t="shared" si="28"/>
        <v>90.315894144396566</v>
      </c>
      <c r="AJ19" s="77"/>
      <c r="AK19" s="72">
        <f t="shared" si="29"/>
        <v>7.6496173897376645E-10</v>
      </c>
      <c r="AL19" s="84">
        <f t="shared" si="30"/>
        <v>5.0000000000000001E-9</v>
      </c>
      <c r="AM19" s="84">
        <f t="shared" si="31"/>
        <v>5.8774718663380853E-9</v>
      </c>
      <c r="AN19" s="81"/>
      <c r="AO19" s="72">
        <f t="shared" si="32"/>
        <v>4.70236171882055E-11</v>
      </c>
      <c r="AP19" s="72">
        <f t="shared" si="33"/>
        <v>2.0893160834005917E-13</v>
      </c>
      <c r="AQ19" s="72">
        <f t="shared" si="34"/>
        <v>-3.5141283705691497E-10</v>
      </c>
      <c r="AR19" s="72">
        <f t="shared" si="35"/>
        <v>-7.5183212844291243E-15</v>
      </c>
      <c r="AS19" s="72">
        <f t="shared" si="36"/>
        <v>-3.0418780658165381E-10</v>
      </c>
      <c r="AT19" s="77"/>
      <c r="AU19" s="71">
        <v>-25.366357483853811</v>
      </c>
      <c r="AV19" s="71">
        <v>156.43090296541854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D20">
        <f t="shared" si="0"/>
        <v>8.2253846351059354E-2</v>
      </c>
      <c r="E20" s="71">
        <v>75</v>
      </c>
      <c r="F20" s="71">
        <f t="shared" si="1"/>
        <v>348.15</v>
      </c>
      <c r="G20" s="71">
        <f t="shared" si="13"/>
        <v>974.84896849496351</v>
      </c>
      <c r="H20" s="83">
        <f t="shared" si="2"/>
        <v>0.97516961769070953</v>
      </c>
      <c r="I20" s="83">
        <f t="shared" si="14"/>
        <v>975.16961769070952</v>
      </c>
      <c r="J20" s="72">
        <f t="shared" si="15"/>
        <v>1.0260775372414443E-2</v>
      </c>
      <c r="K20" s="82">
        <f t="shared" si="16"/>
        <v>62.227713851281244</v>
      </c>
      <c r="L20" s="72">
        <f t="shared" si="17"/>
        <v>3.693637183287392E-4</v>
      </c>
      <c r="M20" s="72">
        <f t="shared" si="18"/>
        <v>0.2404825117485804</v>
      </c>
      <c r="N20" s="83">
        <f t="shared" si="19"/>
        <v>12.689470621937891</v>
      </c>
      <c r="O20" s="71">
        <f t="shared" si="20"/>
        <v>2.0442282141402446E-13</v>
      </c>
      <c r="P20" s="83">
        <f t="shared" si="21"/>
        <v>5.7975390390878037</v>
      </c>
      <c r="Q20" s="72">
        <f t="shared" si="22"/>
        <v>1.5938995973279974E-6</v>
      </c>
      <c r="R20" s="72">
        <f t="shared" si="3"/>
        <v>1.0001593899597329E-2</v>
      </c>
      <c r="S20" s="71">
        <f t="shared" si="4"/>
        <v>2.9265847409717181E-9</v>
      </c>
      <c r="T20" s="77"/>
      <c r="U20" s="72">
        <f t="shared" si="23"/>
        <v>0.28167853434114776</v>
      </c>
      <c r="V20" s="72">
        <f t="shared" si="24"/>
        <v>-2.5350065489566455E-2</v>
      </c>
      <c r="W20" s="84">
        <f t="shared" si="5"/>
        <v>-1.4091952166901726E-2</v>
      </c>
      <c r="X20" s="85">
        <f t="shared" si="25"/>
        <v>-14.091952166901727</v>
      </c>
      <c r="Y20" s="77"/>
      <c r="Z20" s="72">
        <f t="shared" si="6"/>
        <v>1.5803599527729111E-12</v>
      </c>
      <c r="AA20" s="72">
        <f t="shared" si="7"/>
        <v>1.4149534470686582E-7</v>
      </c>
      <c r="AB20" s="72">
        <f t="shared" si="8"/>
        <v>4.5249534470686578E-7</v>
      </c>
      <c r="AC20" s="72">
        <f t="shared" si="9"/>
        <v>1.6849534470686581E-7</v>
      </c>
      <c r="AD20" s="72">
        <f t="shared" si="10"/>
        <v>2.9449534470686577E-7</v>
      </c>
      <c r="AE20" s="72">
        <f t="shared" si="11"/>
        <v>9.2325579871894772E-11</v>
      </c>
      <c r="AF20" s="72">
        <f t="shared" si="26"/>
        <v>2.4E-9</v>
      </c>
      <c r="AG20" s="72">
        <f t="shared" si="27"/>
        <v>2.4939059398246677E-9</v>
      </c>
      <c r="AH20" s="84">
        <f t="shared" si="12"/>
        <v>8.6333696457646415E-8</v>
      </c>
      <c r="AI20" s="84">
        <f t="shared" si="28"/>
        <v>86.333696457646425</v>
      </c>
      <c r="AJ20" s="77"/>
      <c r="AK20" s="72">
        <f t="shared" si="29"/>
        <v>7.7130822879010832E-10</v>
      </c>
      <c r="AL20" s="84">
        <f t="shared" si="30"/>
        <v>5.0000000000000001E-9</v>
      </c>
      <c r="AM20" s="84">
        <f t="shared" si="31"/>
        <v>5.8531694819434362E-9</v>
      </c>
      <c r="AN20" s="81"/>
      <c r="AO20" s="72">
        <f t="shared" si="32"/>
        <v>4.1782310922575087E-11</v>
      </c>
      <c r="AP20" s="72">
        <f t="shared" si="33"/>
        <v>2.1401857103676066E-13</v>
      </c>
      <c r="AQ20" s="72">
        <f t="shared" si="34"/>
        <v>-3.2775465918935401E-10</v>
      </c>
      <c r="AR20" s="72">
        <f t="shared" si="35"/>
        <v>-7.3469624268878168E-15</v>
      </c>
      <c r="AS20" s="72">
        <f t="shared" si="36"/>
        <v>-2.8576567665816905E-10</v>
      </c>
      <c r="AT20" s="77"/>
      <c r="AU20" s="71">
        <v>-25.543126790085427</v>
      </c>
      <c r="AV20" s="71">
        <v>156.48878232609187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D21">
        <f t="shared" si="0"/>
        <v>7.6616907692600683E-2</v>
      </c>
      <c r="E21" s="71">
        <v>80</v>
      </c>
      <c r="F21" s="71">
        <f t="shared" si="1"/>
        <v>353.15</v>
      </c>
      <c r="G21" s="71">
        <f t="shared" si="13"/>
        <v>971.79778269157964</v>
      </c>
      <c r="H21" s="83">
        <f t="shared" si="2"/>
        <v>0.97211925740259586</v>
      </c>
      <c r="I21" s="83">
        <f t="shared" si="14"/>
        <v>972.11925740259585</v>
      </c>
      <c r="J21" s="72">
        <f t="shared" si="15"/>
        <v>1.0292991469945875E-2</v>
      </c>
      <c r="K21" s="82">
        <f t="shared" si="16"/>
        <v>60.828273602906243</v>
      </c>
      <c r="L21" s="72">
        <f t="shared" si="17"/>
        <v>3.467875570148671E-4</v>
      </c>
      <c r="M21" s="72">
        <f t="shared" si="18"/>
        <v>0.25233538280791074</v>
      </c>
      <c r="N21" s="83">
        <f t="shared" si="19"/>
        <v>12.597156969451365</v>
      </c>
      <c r="O21" s="71">
        <f t="shared" si="20"/>
        <v>2.5283839835009936E-13</v>
      </c>
      <c r="P21" s="83">
        <f t="shared" si="21"/>
        <v>5.729519826257305</v>
      </c>
      <c r="Q21" s="72">
        <f t="shared" si="22"/>
        <v>1.8641470749303602E-6</v>
      </c>
      <c r="R21" s="72">
        <f t="shared" si="3"/>
        <v>1.0001864147074931E-2</v>
      </c>
      <c r="S21" s="71">
        <f t="shared" si="4"/>
        <v>2.9141537711338495E-9</v>
      </c>
      <c r="T21" s="77"/>
      <c r="U21" s="72">
        <f t="shared" si="23"/>
        <v>0.32803780081743383</v>
      </c>
      <c r="V21" s="72">
        <f t="shared" si="24"/>
        <v>-2.2621867562066311E-2</v>
      </c>
      <c r="W21" s="84">
        <f t="shared" si="5"/>
        <v>-1.3568006494419979E-2</v>
      </c>
      <c r="X21" s="85">
        <f t="shared" si="25"/>
        <v>-13.568006494419979</v>
      </c>
      <c r="Y21" s="77"/>
      <c r="Z21" s="72">
        <f t="shared" si="6"/>
        <v>1.3516793178767214E-12</v>
      </c>
      <c r="AA21" s="72">
        <f t="shared" si="7"/>
        <v>1.4651606410953045E-7</v>
      </c>
      <c r="AB21" s="72">
        <f t="shared" si="8"/>
        <v>4.5751606410953046E-7</v>
      </c>
      <c r="AC21" s="72">
        <f t="shared" si="9"/>
        <v>1.7351606410953044E-7</v>
      </c>
      <c r="AD21" s="72">
        <f t="shared" si="10"/>
        <v>2.9951606410953045E-7</v>
      </c>
      <c r="AE21" s="72">
        <f t="shared" si="11"/>
        <v>6.8133449392984057E-11</v>
      </c>
      <c r="AF21" s="72">
        <f t="shared" si="26"/>
        <v>2.4E-9</v>
      </c>
      <c r="AG21" s="72">
        <f t="shared" si="27"/>
        <v>2.4694851287108609E-9</v>
      </c>
      <c r="AH21" s="84">
        <f t="shared" si="12"/>
        <v>8.2524877408180767E-8</v>
      </c>
      <c r="AI21" s="84">
        <f t="shared" si="28"/>
        <v>82.524877408180757</v>
      </c>
      <c r="AJ21" s="77"/>
      <c r="AK21" s="72">
        <f t="shared" si="29"/>
        <v>7.778816180592832E-10</v>
      </c>
      <c r="AL21" s="84">
        <f t="shared" si="30"/>
        <v>5.0000000000000001E-9</v>
      </c>
      <c r="AM21" s="84">
        <f t="shared" si="31"/>
        <v>5.828307542267699E-9</v>
      </c>
      <c r="AN21" s="81"/>
      <c r="AO21" s="72">
        <f t="shared" si="32"/>
        <v>3.6888696014004618E-11</v>
      </c>
      <c r="AP21" s="72">
        <f t="shared" si="33"/>
        <v>2.1578179044488737E-13</v>
      </c>
      <c r="AQ21" s="72">
        <f t="shared" si="34"/>
        <v>-3.0276750105862178E-10</v>
      </c>
      <c r="AR21" s="72">
        <f t="shared" si="35"/>
        <v>-7.0884706467642989E-15</v>
      </c>
      <c r="AS21" s="72">
        <f t="shared" si="36"/>
        <v>-2.6567011172481902E-10</v>
      </c>
      <c r="AT21" s="77"/>
      <c r="AU21" s="71">
        <v>-25.716610808341297</v>
      </c>
      <c r="AV21" s="71">
        <v>156.41649060485005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D22">
        <f t="shared" si="0"/>
        <v>7.1674188907342534E-2</v>
      </c>
      <c r="E22" s="71">
        <v>85</v>
      </c>
      <c r="F22" s="71">
        <f t="shared" si="1"/>
        <v>358.15</v>
      </c>
      <c r="G22" s="71">
        <f t="shared" si="13"/>
        <v>968.62029913592266</v>
      </c>
      <c r="H22" s="83">
        <f t="shared" si="2"/>
        <v>0.96894263353276744</v>
      </c>
      <c r="I22" s="83">
        <f t="shared" si="14"/>
        <v>968.94263353276745</v>
      </c>
      <c r="J22" s="72">
        <f t="shared" si="15"/>
        <v>1.0326756827912714E-2</v>
      </c>
      <c r="K22" s="82">
        <f t="shared" si="16"/>
        <v>59.458842129531305</v>
      </c>
      <c r="L22" s="72">
        <f t="shared" si="17"/>
        <v>3.2663855967390718E-4</v>
      </c>
      <c r="M22" s="72">
        <f t="shared" si="18"/>
        <v>0.2641132538672411</v>
      </c>
      <c r="N22" s="83">
        <f t="shared" si="19"/>
        <v>12.510511201702162</v>
      </c>
      <c r="O22" s="71">
        <f t="shared" si="20"/>
        <v>3.0866600308287458E-13</v>
      </c>
      <c r="P22" s="83">
        <f t="shared" si="21"/>
        <v>5.6656768652363958</v>
      </c>
      <c r="Q22" s="72">
        <f t="shared" si="22"/>
        <v>2.1593504661321495E-6</v>
      </c>
      <c r="R22" s="72">
        <f t="shared" si="3"/>
        <v>1.0002159350466132E-2</v>
      </c>
      <c r="S22" s="71">
        <f t="shared" si="4"/>
        <v>2.901445427449912E-9</v>
      </c>
      <c r="T22" s="77"/>
      <c r="U22" s="72">
        <f t="shared" si="23"/>
        <v>0.37833094034293779</v>
      </c>
      <c r="V22" s="72">
        <f t="shared" si="24"/>
        <v>-2.0006211525098704E-2</v>
      </c>
      <c r="W22" s="84">
        <f t="shared" si="5"/>
        <v>-1.3070707633781049E-2</v>
      </c>
      <c r="X22" s="85">
        <f t="shared" si="25"/>
        <v>-13.070707633781049</v>
      </c>
      <c r="Y22" s="77"/>
      <c r="Z22" s="72">
        <f t="shared" si="6"/>
        <v>1.1672180721383507E-12</v>
      </c>
      <c r="AA22" s="72">
        <f t="shared" si="7"/>
        <v>1.5147601623337296E-7</v>
      </c>
      <c r="AB22" s="72">
        <f t="shared" si="8"/>
        <v>4.6247601623337298E-7</v>
      </c>
      <c r="AC22" s="72">
        <f t="shared" si="9"/>
        <v>1.7847601623337298E-7</v>
      </c>
      <c r="AD22" s="72">
        <f t="shared" si="10"/>
        <v>3.0447601623337297E-7</v>
      </c>
      <c r="AE22" s="72">
        <f t="shared" si="11"/>
        <v>4.8174260940904858E-11</v>
      </c>
      <c r="AF22" s="72">
        <f t="shared" si="26"/>
        <v>2.4E-9</v>
      </c>
      <c r="AG22" s="72">
        <f t="shared" si="27"/>
        <v>2.4493414790130434E-9</v>
      </c>
      <c r="AH22" s="84">
        <f t="shared" si="12"/>
        <v>7.8864569692530865E-8</v>
      </c>
      <c r="AI22" s="84">
        <f t="shared" si="28"/>
        <v>78.864569692530864</v>
      </c>
      <c r="AJ22" s="77"/>
      <c r="AK22" s="72">
        <f t="shared" si="29"/>
        <v>7.8468763114388004E-10</v>
      </c>
      <c r="AL22" s="84">
        <f t="shared" si="30"/>
        <v>5.0000000000000001E-9</v>
      </c>
      <c r="AM22" s="84">
        <f t="shared" si="31"/>
        <v>5.8028908548998241E-9</v>
      </c>
      <c r="AN22" s="81"/>
      <c r="AO22" s="72">
        <f t="shared" si="32"/>
        <v>3.2290075180440375E-11</v>
      </c>
      <c r="AP22" s="72">
        <f t="shared" si="33"/>
        <v>2.1391997233999076E-13</v>
      </c>
      <c r="AQ22" s="72">
        <f t="shared" si="34"/>
        <v>-2.7650912446450492E-10</v>
      </c>
      <c r="AR22" s="72">
        <f t="shared" si="35"/>
        <v>-6.7429254135200971E-15</v>
      </c>
      <c r="AS22" s="72">
        <f t="shared" si="36"/>
        <v>-2.4401187223713806E-10</v>
      </c>
      <c r="AT22" s="77"/>
      <c r="AU22" s="71">
        <v>-25.886713073749316</v>
      </c>
      <c r="AV22" s="71">
        <v>156.19232450492797</v>
      </c>
    </row>
    <row r="23" spans="1:48" x14ac:dyDescent="0.35">
      <c r="A23" t="s">
        <v>20</v>
      </c>
      <c r="B23" s="51">
        <v>0</v>
      </c>
      <c r="C23" s="4" t="s">
        <v>52</v>
      </c>
      <c r="D23">
        <f t="shared" si="0"/>
        <v>6.7306474812019526E-2</v>
      </c>
      <c r="E23" s="71">
        <v>90</v>
      </c>
      <c r="F23" s="71">
        <f t="shared" si="1"/>
        <v>363.15</v>
      </c>
      <c r="G23" s="71">
        <f t="shared" si="13"/>
        <v>965.3201473085868</v>
      </c>
      <c r="H23" s="83">
        <f t="shared" si="2"/>
        <v>0.96564337457984273</v>
      </c>
      <c r="I23" s="83">
        <f t="shared" si="14"/>
        <v>965.64337457984277</v>
      </c>
      <c r="J23" s="72">
        <f t="shared" si="15"/>
        <v>1.0362061038138831E-2</v>
      </c>
      <c r="K23" s="82">
        <f t="shared" si="16"/>
        <v>58.118361931156301</v>
      </c>
      <c r="L23" s="72">
        <f t="shared" si="17"/>
        <v>3.0861805229092097E-4</v>
      </c>
      <c r="M23" s="72">
        <f t="shared" si="18"/>
        <v>0.27581612492657137</v>
      </c>
      <c r="N23" s="83">
        <f t="shared" si="19"/>
        <v>12.428937568837505</v>
      </c>
      <c r="O23" s="71">
        <f t="shared" si="20"/>
        <v>3.7244524255129788E-13</v>
      </c>
      <c r="P23" s="83">
        <f t="shared" si="21"/>
        <v>5.6055711913114266</v>
      </c>
      <c r="Q23" s="72">
        <f t="shared" si="22"/>
        <v>2.4798693941321205E-6</v>
      </c>
      <c r="R23" s="72">
        <f t="shared" si="3"/>
        <v>1.0002479869394133E-2</v>
      </c>
      <c r="S23" s="71">
        <f t="shared" si="4"/>
        <v>2.8884606357642138E-9</v>
      </c>
      <c r="T23" s="77"/>
      <c r="U23" s="72">
        <f t="shared" si="23"/>
        <v>0.4325492790861219</v>
      </c>
      <c r="V23" s="72">
        <f t="shared" si="24"/>
        <v>-1.7490432972794439E-2</v>
      </c>
      <c r="W23" s="84">
        <f t="shared" si="5"/>
        <v>-1.2597601813628487E-2</v>
      </c>
      <c r="X23" s="85">
        <f t="shared" si="25"/>
        <v>-12.597601813628488</v>
      </c>
      <c r="Y23" s="77"/>
      <c r="Z23" s="72">
        <f t="shared" si="6"/>
        <v>1.0166105911808499E-12</v>
      </c>
      <c r="AA23" s="72">
        <f t="shared" si="7"/>
        <v>1.5634761347498285E-7</v>
      </c>
      <c r="AB23" s="72">
        <f t="shared" si="8"/>
        <v>4.6734761347498287E-7</v>
      </c>
      <c r="AC23" s="72">
        <f t="shared" si="9"/>
        <v>1.8334761347498286E-7</v>
      </c>
      <c r="AD23" s="72">
        <f t="shared" si="10"/>
        <v>3.0934761347498285E-7</v>
      </c>
      <c r="AE23" s="72">
        <f t="shared" si="11"/>
        <v>3.1968679841861944E-11</v>
      </c>
      <c r="AF23" s="72">
        <f t="shared" si="26"/>
        <v>2.4E-9</v>
      </c>
      <c r="AG23" s="72">
        <f t="shared" si="27"/>
        <v>2.4329852904330429E-9</v>
      </c>
      <c r="AH23" s="84">
        <f t="shared" si="12"/>
        <v>7.533269416951475E-8</v>
      </c>
      <c r="AI23" s="84">
        <f t="shared" si="28"/>
        <v>75.332694169514753</v>
      </c>
      <c r="AJ23" s="77"/>
      <c r="AK23" s="72">
        <f t="shared" si="29"/>
        <v>7.9173309022212377E-10</v>
      </c>
      <c r="AL23" s="84">
        <f t="shared" si="30"/>
        <v>5.0000000000000001E-9</v>
      </c>
      <c r="AM23" s="84">
        <f t="shared" si="31"/>
        <v>5.7769212715284275E-9</v>
      </c>
      <c r="AN23" s="81"/>
      <c r="AO23" s="72">
        <f t="shared" si="32"/>
        <v>2.7945342575310731E-11</v>
      </c>
      <c r="AP23" s="72">
        <f t="shared" si="33"/>
        <v>2.0815836273891359E-13</v>
      </c>
      <c r="AQ23" s="72">
        <f t="shared" si="34"/>
        <v>-2.4904556805370657E-10</v>
      </c>
      <c r="AR23" s="72">
        <f t="shared" si="35"/>
        <v>-6.3107931950100362E-15</v>
      </c>
      <c r="AS23" s="72">
        <f t="shared" si="36"/>
        <v>-2.2089837790885192E-10</v>
      </c>
      <c r="AT23" s="77"/>
      <c r="AU23" s="71">
        <v>-26.053328170844875</v>
      </c>
      <c r="AV23" s="71">
        <v>155.79687770497549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D24">
        <f t="shared" si="0"/>
        <v>6.3420204702195504E-2</v>
      </c>
      <c r="E24" s="71">
        <v>95</v>
      </c>
      <c r="F24" s="71">
        <f t="shared" si="1"/>
        <v>368.15</v>
      </c>
      <c r="G24" s="71">
        <f t="shared" si="13"/>
        <v>961.90040732662351</v>
      </c>
      <c r="H24" s="83">
        <f t="shared" si="2"/>
        <v>0.96222455982753008</v>
      </c>
      <c r="I24" s="83">
        <f t="shared" si="14"/>
        <v>962.22455982753013</v>
      </c>
      <c r="J24" s="72">
        <f t="shared" si="15"/>
        <v>1.0398900147632664E-2</v>
      </c>
      <c r="K24" s="82">
        <f t="shared" si="16"/>
        <v>56.805775507781249</v>
      </c>
      <c r="L24" s="72">
        <f t="shared" si="17"/>
        <v>2.9247384715909566E-4</v>
      </c>
      <c r="M24" s="72">
        <f t="shared" si="18"/>
        <v>0.2874439959859017</v>
      </c>
      <c r="N24" s="83">
        <f t="shared" si="19"/>
        <v>12.351917515046324</v>
      </c>
      <c r="O24" s="71">
        <f t="shared" si="20"/>
        <v>4.4471572369432338E-13</v>
      </c>
      <c r="P24" s="83">
        <f t="shared" si="21"/>
        <v>5.5488207184406519</v>
      </c>
      <c r="Q24" s="72">
        <f t="shared" si="22"/>
        <v>2.8260463573041882E-6</v>
      </c>
      <c r="R24" s="72">
        <f t="shared" si="3"/>
        <v>1.0002826046357305E-2</v>
      </c>
      <c r="S24" s="71">
        <f t="shared" si="4"/>
        <v>2.8751988119615662E-9</v>
      </c>
      <c r="T24" s="77"/>
      <c r="U24" s="72">
        <f t="shared" si="23"/>
        <v>0.49067739507028324</v>
      </c>
      <c r="V24" s="72">
        <f t="shared" si="24"/>
        <v>-1.5063484092204416E-2</v>
      </c>
      <c r="W24" s="84">
        <f t="shared" si="5"/>
        <v>-1.2146567094783813E-2</v>
      </c>
      <c r="X24" s="85">
        <f t="shared" si="25"/>
        <v>-12.146567094783814</v>
      </c>
      <c r="Y24" s="77"/>
      <c r="Z24" s="72">
        <f t="shared" si="6"/>
        <v>8.9228072255770635E-13</v>
      </c>
      <c r="AA24" s="72">
        <f t="shared" si="7"/>
        <v>1.6110249777738594E-7</v>
      </c>
      <c r="AB24" s="72">
        <f t="shared" si="8"/>
        <v>4.7210249777738593E-7</v>
      </c>
      <c r="AC24" s="72">
        <f t="shared" si="9"/>
        <v>1.8810249777738593E-7</v>
      </c>
      <c r="AD24" s="72">
        <f t="shared" si="10"/>
        <v>3.1410249777738592E-7</v>
      </c>
      <c r="AE24" s="72">
        <f t="shared" si="11"/>
        <v>1.9121742966457812E-11</v>
      </c>
      <c r="AF24" s="72">
        <f t="shared" si="26"/>
        <v>2.4E-9</v>
      </c>
      <c r="AG24" s="72">
        <f t="shared" si="27"/>
        <v>2.4200140236890153E-9</v>
      </c>
      <c r="AH24" s="84">
        <f t="shared" si="12"/>
        <v>7.1913585156476004E-8</v>
      </c>
      <c r="AI24" s="84">
        <f t="shared" si="28"/>
        <v>71.913585156476003</v>
      </c>
      <c r="AJ24" s="77"/>
      <c r="AK24" s="72">
        <f t="shared" si="29"/>
        <v>7.9902600164770061E-10</v>
      </c>
      <c r="AL24" s="84">
        <f t="shared" si="30"/>
        <v>5.0000000000000001E-9</v>
      </c>
      <c r="AM24" s="84">
        <f t="shared" si="31"/>
        <v>5.7503976239231324E-9</v>
      </c>
      <c r="AN24" s="81"/>
      <c r="AO24" s="72">
        <f t="shared" si="32"/>
        <v>2.382298877296477E-11</v>
      </c>
      <c r="AP24" s="72">
        <f t="shared" si="33"/>
        <v>1.9824803011763368E-13</v>
      </c>
      <c r="AQ24" s="72">
        <f t="shared" si="34"/>
        <v>-2.2045496304352405E-10</v>
      </c>
      <c r="AR24" s="72">
        <f t="shared" si="35"/>
        <v>-5.7929517506832633E-15</v>
      </c>
      <c r="AS24" s="72">
        <f t="shared" si="36"/>
        <v>-1.9643951919219232E-10</v>
      </c>
      <c r="AT24" s="77"/>
      <c r="AU24" s="71">
        <v>-26.21634077012061</v>
      </c>
      <c r="AV24" s="71">
        <v>155.21344938171268</v>
      </c>
    </row>
    <row r="25" spans="1:48" x14ac:dyDescent="0.35">
      <c r="A25" t="s">
        <v>19</v>
      </c>
      <c r="B25" s="33">
        <f>Control!B18</f>
        <v>7.5</v>
      </c>
      <c r="C25" s="4"/>
      <c r="D25">
        <f t="shared" si="0"/>
        <v>5.9940947725618289E-2</v>
      </c>
      <c r="E25" s="71">
        <v>100</v>
      </c>
      <c r="F25" s="71">
        <f t="shared" si="1"/>
        <v>373.15</v>
      </c>
      <c r="G25" s="71">
        <f t="shared" si="13"/>
        <v>958.36365705165758</v>
      </c>
      <c r="H25" s="83">
        <f t="shared" si="2"/>
        <v>0.95868876643999967</v>
      </c>
      <c r="I25" s="83">
        <f t="shared" si="14"/>
        <v>958.68876643999965</v>
      </c>
      <c r="J25" s="72">
        <f t="shared" si="15"/>
        <v>1.0437276303370486E-2</v>
      </c>
      <c r="K25" s="82">
        <f t="shared" si="16"/>
        <v>55.520025359406262</v>
      </c>
      <c r="L25" s="72">
        <f t="shared" si="17"/>
        <v>2.7799081474236563E-4</v>
      </c>
      <c r="M25" s="72">
        <f t="shared" si="18"/>
        <v>0.29899686704523204</v>
      </c>
      <c r="N25" s="83">
        <f t="shared" si="19"/>
        <v>12.279000175809061</v>
      </c>
      <c r="O25" s="71">
        <f t="shared" si="20"/>
        <v>5.2601705345089748E-13</v>
      </c>
      <c r="P25" s="83">
        <f t="shared" si="21"/>
        <v>5.4950932373691286</v>
      </c>
      <c r="Q25" s="72">
        <f t="shared" si="22"/>
        <v>3.1982084222869633E-6</v>
      </c>
      <c r="R25" s="72">
        <f t="shared" si="3"/>
        <v>1.0003198208422288E-2</v>
      </c>
      <c r="S25" s="71">
        <f t="shared" si="4"/>
        <v>2.8616578270168995E-9</v>
      </c>
      <c r="T25" s="77"/>
      <c r="U25" s="72">
        <f t="shared" si="23"/>
        <v>0.55269325807198577</v>
      </c>
      <c r="V25" s="72">
        <f t="shared" si="24"/>
        <v>-1.2715779217214422E-2</v>
      </c>
      <c r="W25" s="84">
        <f t="shared" si="5"/>
        <v>-1.1715780554478392E-2</v>
      </c>
      <c r="X25" s="85">
        <f t="shared" si="25"/>
        <v>-11.715780554478393</v>
      </c>
      <c r="Y25" s="77"/>
      <c r="Z25" s="72">
        <f t="shared" si="6"/>
        <v>7.8860963564397261E-13</v>
      </c>
      <c r="AA25" s="72">
        <f t="shared" si="7"/>
        <v>1.6571220697535566E-7</v>
      </c>
      <c r="AB25" s="72">
        <f t="shared" si="8"/>
        <v>4.7671220697535568E-7</v>
      </c>
      <c r="AC25" s="72">
        <f t="shared" si="9"/>
        <v>1.9271220697535568E-7</v>
      </c>
      <c r="AD25" s="72">
        <f t="shared" si="10"/>
        <v>3.1871220697535567E-7</v>
      </c>
      <c r="AE25" s="72">
        <f t="shared" si="11"/>
        <v>9.3029638139444827E-12</v>
      </c>
      <c r="AF25" s="72">
        <f t="shared" si="26"/>
        <v>2.4E-9</v>
      </c>
      <c r="AG25" s="72">
        <f t="shared" si="27"/>
        <v>2.4100915734495885E-9</v>
      </c>
      <c r="AH25" s="84">
        <f t="shared" si="12"/>
        <v>6.8595525875763814E-8</v>
      </c>
      <c r="AI25" s="84">
        <f t="shared" si="28"/>
        <v>68.595525875763812</v>
      </c>
      <c r="AJ25" s="77"/>
      <c r="AK25" s="72">
        <f t="shared" si="29"/>
        <v>8.0657565302201263E-10</v>
      </c>
      <c r="AL25" s="84">
        <f t="shared" si="30"/>
        <v>5.0000000000000001E-9</v>
      </c>
      <c r="AM25" s="84">
        <f t="shared" si="31"/>
        <v>5.7233156540337991E-9</v>
      </c>
      <c r="AN25" s="81"/>
      <c r="AO25" s="72">
        <f t="shared" si="32"/>
        <v>1.989933569164053E-11</v>
      </c>
      <c r="AP25" s="72">
        <f t="shared" si="33"/>
        <v>1.8396633753267427E-13</v>
      </c>
      <c r="AQ25" s="72">
        <f t="shared" si="34"/>
        <v>-1.9082968828462223E-10</v>
      </c>
      <c r="AR25" s="72">
        <f t="shared" si="35"/>
        <v>-5.1907304276441519E-15</v>
      </c>
      <c r="AS25" s="72">
        <f t="shared" si="36"/>
        <v>-1.7075157698587664E-10</v>
      </c>
      <c r="AT25" s="77"/>
      <c r="AU25" s="71">
        <v>-26.375624583193964</v>
      </c>
      <c r="AV25" s="71">
        <v>154.42840042990173</v>
      </c>
    </row>
    <row r="26" spans="1:48" x14ac:dyDescent="0.35">
      <c r="A26" t="s">
        <v>15</v>
      </c>
      <c r="B26" s="6">
        <f>10^-B25</f>
        <v>3.1622776601683699E-8</v>
      </c>
      <c r="C26" s="4"/>
      <c r="D26">
        <f t="shared" si="0"/>
        <v>5.6808768704673156E-2</v>
      </c>
      <c r="E26" s="71">
        <v>105</v>
      </c>
      <c r="F26" s="71">
        <f t="shared" si="1"/>
        <v>378.15</v>
      </c>
      <c r="G26" s="71">
        <f t="shared" si="13"/>
        <v>954.71201059337352</v>
      </c>
      <c r="H26" s="83">
        <f t="shared" si="2"/>
        <v>0.95503810795495181</v>
      </c>
      <c r="I26" s="83">
        <f t="shared" si="14"/>
        <v>955.03810795495178</v>
      </c>
      <c r="J26" s="72">
        <f t="shared" si="15"/>
        <v>1.0477197497012584E-2</v>
      </c>
      <c r="K26" s="82">
        <f t="shared" si="16"/>
        <v>54.260053986031238</v>
      </c>
      <c r="L26" s="72">
        <f t="shared" si="17"/>
        <v>2.649837583728799E-4</v>
      </c>
      <c r="M26" s="72">
        <f t="shared" si="18"/>
        <v>0.31047473810456233</v>
      </c>
      <c r="N26" s="83">
        <f t="shared" si="19"/>
        <v>12.209793087283666</v>
      </c>
      <c r="O26" s="71">
        <f t="shared" si="20"/>
        <v>6.1688883875997191E-13</v>
      </c>
      <c r="P26" s="83">
        <f t="shared" si="21"/>
        <v>5.4440995700513382</v>
      </c>
      <c r="Q26" s="72">
        <f t="shared" si="22"/>
        <v>3.5966686541378671E-6</v>
      </c>
      <c r="R26" s="72">
        <f t="shared" si="3"/>
        <v>1.0003596668654137E-2</v>
      </c>
      <c r="S26" s="71">
        <f t="shared" si="4"/>
        <v>2.8478339689117432E-9</v>
      </c>
      <c r="T26" s="77"/>
      <c r="U26" s="72">
        <f t="shared" si="23"/>
        <v>0.61856827849377882</v>
      </c>
      <c r="V26" s="72">
        <f t="shared" si="24"/>
        <v>-1.0439019952306193E-2</v>
      </c>
      <c r="W26" s="84">
        <f t="shared" si="5"/>
        <v>-1.1303682434821482E-2</v>
      </c>
      <c r="X26" s="85">
        <f t="shared" si="25"/>
        <v>-11.303682434821482</v>
      </c>
      <c r="Y26" s="77"/>
      <c r="Z26" s="72">
        <f t="shared" si="6"/>
        <v>7.0137211005558918E-13</v>
      </c>
      <c r="AA26" s="72">
        <f t="shared" si="7"/>
        <v>1.7014885138293945E-7</v>
      </c>
      <c r="AB26" s="72">
        <f t="shared" si="8"/>
        <v>4.8114885138293947E-7</v>
      </c>
      <c r="AC26" s="72">
        <f t="shared" si="9"/>
        <v>1.9714885138293944E-7</v>
      </c>
      <c r="AD26" s="72">
        <f t="shared" si="10"/>
        <v>3.2314885138293946E-7</v>
      </c>
      <c r="AE26" s="72">
        <f t="shared" si="11"/>
        <v>2.2303004826282788E-12</v>
      </c>
      <c r="AF26" s="72">
        <f t="shared" si="26"/>
        <v>2.4E-9</v>
      </c>
      <c r="AG26" s="72">
        <f t="shared" si="27"/>
        <v>2.4029316725926838E-9</v>
      </c>
      <c r="AH26" s="84">
        <f t="shared" si="12"/>
        <v>6.5370247660174758E-8</v>
      </c>
      <c r="AI26" s="84">
        <f t="shared" si="28"/>
        <v>65.370247660174755</v>
      </c>
      <c r="AJ26" s="77"/>
      <c r="AK26" s="72">
        <f t="shared" si="29"/>
        <v>8.1439272218198658E-10</v>
      </c>
      <c r="AL26" s="84">
        <f t="shared" si="30"/>
        <v>5.0000000000000001E-9</v>
      </c>
      <c r="AM26" s="84">
        <f t="shared" si="31"/>
        <v>5.6956679378234864E-9</v>
      </c>
      <c r="AN26" s="81"/>
      <c r="AO26" s="72">
        <f t="shared" si="32"/>
        <v>1.615702332820787E-11</v>
      </c>
      <c r="AP26" s="72">
        <f t="shared" si="33"/>
        <v>1.6511814994277956E-13</v>
      </c>
      <c r="AQ26" s="72">
        <f t="shared" si="34"/>
        <v>-1.6027719379876224E-10</v>
      </c>
      <c r="AR26" s="72">
        <f t="shared" si="35"/>
        <v>-4.5059521779615946E-15</v>
      </c>
      <c r="AS26" s="72">
        <f t="shared" si="36"/>
        <v>-1.4395955827278954E-10</v>
      </c>
      <c r="AT26" s="77"/>
      <c r="AU26" s="71">
        <v>-26.531041229061497</v>
      </c>
      <c r="AV26" s="71">
        <v>153.43141875132639</v>
      </c>
    </row>
    <row r="27" spans="1:48" x14ac:dyDescent="0.35">
      <c r="A27" t="s">
        <v>18</v>
      </c>
      <c r="B27" s="31">
        <f>Control!B20</f>
        <v>7.7</v>
      </c>
      <c r="C27" s="4"/>
      <c r="D27">
        <f t="shared" si="0"/>
        <v>5.397487579374205E-2</v>
      </c>
      <c r="E27" s="71">
        <v>110</v>
      </c>
      <c r="F27" s="71">
        <f t="shared" si="1"/>
        <v>383.15</v>
      </c>
      <c r="G27" s="71">
        <f t="shared" si="13"/>
        <v>950.94714998784377</v>
      </c>
      <c r="H27" s="83">
        <f t="shared" si="2"/>
        <v>0.95127426595337472</v>
      </c>
      <c r="I27" s="83">
        <f t="shared" si="14"/>
        <v>951.27426595337477</v>
      </c>
      <c r="J27" s="72">
        <f t="shared" si="15"/>
        <v>1.0518677392202724E-2</v>
      </c>
      <c r="K27" s="82">
        <f t="shared" si="16"/>
        <v>53.024803887656262</v>
      </c>
      <c r="L27" s="72">
        <f t="shared" si="17"/>
        <v>2.532919759044272E-4</v>
      </c>
      <c r="M27" s="72">
        <f t="shared" si="18"/>
        <v>0.3218776091638928</v>
      </c>
      <c r="N27" s="83">
        <f t="shared" si="19"/>
        <v>12.143953780229984</v>
      </c>
      <c r="O27" s="71">
        <f t="shared" si="20"/>
        <v>7.1787068656049998E-13</v>
      </c>
      <c r="P27" s="83">
        <f t="shared" si="21"/>
        <v>5.3955873758257802</v>
      </c>
      <c r="Q27" s="72">
        <f t="shared" si="22"/>
        <v>4.0217273461601323E-6</v>
      </c>
      <c r="R27" s="72">
        <f t="shared" si="3"/>
        <v>1.0004021727346161E-2</v>
      </c>
      <c r="S27" s="71">
        <f t="shared" si="4"/>
        <v>2.8337219011857773E-9</v>
      </c>
      <c r="T27" s="77"/>
      <c r="U27" s="72">
        <f t="shared" si="23"/>
        <v>0.68826727409376365</v>
      </c>
      <c r="V27" s="72">
        <f t="shared" si="24"/>
        <v>-8.2260259091061095E-3</v>
      </c>
      <c r="W27" s="84">
        <f t="shared" si="5"/>
        <v>-1.090894207098409E-2</v>
      </c>
      <c r="X27" s="85">
        <f t="shared" si="25"/>
        <v>-10.908942070984089</v>
      </c>
      <c r="Y27" s="77"/>
      <c r="Z27" s="72">
        <f t="shared" si="6"/>
        <v>6.2734941994997453E-13</v>
      </c>
      <c r="AA27" s="72">
        <f t="shared" si="7"/>
        <v>1.7438576367421313E-7</v>
      </c>
      <c r="AB27" s="72">
        <f t="shared" si="8"/>
        <v>4.853857636742132E-7</v>
      </c>
      <c r="AC27" s="72">
        <f t="shared" si="9"/>
        <v>2.0138576367421315E-7</v>
      </c>
      <c r="AD27" s="72">
        <f t="shared" si="10"/>
        <v>3.2738576367421314E-7</v>
      </c>
      <c r="AE27" s="72">
        <f t="shared" si="11"/>
        <v>-2.3424806642872609E-12</v>
      </c>
      <c r="AF27" s="72">
        <f t="shared" si="26"/>
        <v>2.4E-9</v>
      </c>
      <c r="AG27" s="72">
        <f t="shared" si="27"/>
        <v>2.3982848687556628E-9</v>
      </c>
      <c r="AH27" s="84">
        <f t="shared" si="12"/>
        <v>6.2232420767779422E-8</v>
      </c>
      <c r="AI27" s="84">
        <f t="shared" si="28"/>
        <v>62.232420767779423</v>
      </c>
      <c r="AJ27" s="77"/>
      <c r="AK27" s="72">
        <f t="shared" si="29"/>
        <v>8.224893995328136E-10</v>
      </c>
      <c r="AL27" s="84">
        <f t="shared" si="30"/>
        <v>5.0000000000000001E-9</v>
      </c>
      <c r="AM27" s="84">
        <f t="shared" si="31"/>
        <v>5.6674438023715545E-9</v>
      </c>
      <c r="AN27" s="81"/>
      <c r="AO27" s="72">
        <f t="shared" si="32"/>
        <v>1.2583726400289096E-11</v>
      </c>
      <c r="AP27" s="72">
        <f t="shared" si="33"/>
        <v>1.4153741902653727E-13</v>
      </c>
      <c r="AQ27" s="72">
        <f t="shared" si="34"/>
        <v>-1.2891973959166701E-10</v>
      </c>
      <c r="AR27" s="72">
        <f t="shared" si="35"/>
        <v>-3.7409683955558338E-15</v>
      </c>
      <c r="AS27" s="72">
        <f t="shared" si="36"/>
        <v>-1.1619821674074693E-10</v>
      </c>
      <c r="AT27" s="77"/>
      <c r="AU27" s="71">
        <v>-26.682439002854711</v>
      </c>
      <c r="AV27" s="71">
        <v>152.21567225735296</v>
      </c>
    </row>
    <row r="28" spans="1:48" x14ac:dyDescent="0.35">
      <c r="A28" t="s">
        <v>17</v>
      </c>
      <c r="B28" s="2">
        <f>10^-B27</f>
        <v>1.9952623149688773E-8</v>
      </c>
      <c r="D28">
        <f t="shared" si="0"/>
        <v>5.139915519283865E-2</v>
      </c>
      <c r="E28" s="71">
        <v>115</v>
      </c>
      <c r="F28" s="71">
        <f t="shared" si="1"/>
        <v>388.15</v>
      </c>
      <c r="G28" s="71">
        <f t="shared" si="13"/>
        <v>947.07035142167331</v>
      </c>
      <c r="H28" s="83">
        <f t="shared" si="2"/>
        <v>0.9473985162765941</v>
      </c>
      <c r="I28" s="83">
        <f t="shared" si="14"/>
        <v>947.39851627659414</v>
      </c>
      <c r="J28" s="72">
        <f t="shared" si="15"/>
        <v>1.0561735221402939E-2</v>
      </c>
      <c r="K28" s="82">
        <f t="shared" si="16"/>
        <v>51.81321756428126</v>
      </c>
      <c r="L28" s="72">
        <f t="shared" si="17"/>
        <v>2.4277506321911994E-4</v>
      </c>
      <c r="M28" s="72">
        <f t="shared" si="18"/>
        <v>0.33320548022322299</v>
      </c>
      <c r="N28" s="83">
        <f t="shared" si="19"/>
        <v>12.081182455820231</v>
      </c>
      <c r="O28" s="71">
        <f t="shared" si="20"/>
        <v>8.2950220379142061E-13</v>
      </c>
      <c r="P28" s="83">
        <f t="shared" si="21"/>
        <v>5.3493357547526958</v>
      </c>
      <c r="Q28" s="72">
        <f t="shared" si="22"/>
        <v>4.4736730904231307E-6</v>
      </c>
      <c r="R28" s="72">
        <f t="shared" si="3"/>
        <v>1.0004473673090424E-2</v>
      </c>
      <c r="S28" s="71">
        <f t="shared" si="4"/>
        <v>2.819314617843379E-9</v>
      </c>
      <c r="T28" s="77"/>
      <c r="U28" s="72">
        <f t="shared" si="23"/>
        <v>0.76174835930165774</v>
      </c>
      <c r="V28" s="72">
        <f t="shared" si="24"/>
        <v>-6.0705816775593413E-3</v>
      </c>
      <c r="W28" s="84">
        <f t="shared" si="5"/>
        <v>-1.0530427485624366E-2</v>
      </c>
      <c r="X28" s="85">
        <f t="shared" si="25"/>
        <v>-10.530427485624365</v>
      </c>
      <c r="Y28" s="77"/>
      <c r="Z28" s="72">
        <f t="shared" si="6"/>
        <v>5.6405974560623225E-13</v>
      </c>
      <c r="AA28" s="72">
        <f t="shared" si="7"/>
        <v>1.7839808968991401E-7</v>
      </c>
      <c r="AB28" s="72">
        <f t="shared" si="8"/>
        <v>4.8939808968991403E-7</v>
      </c>
      <c r="AC28" s="72">
        <f t="shared" si="9"/>
        <v>2.0539808968991403E-7</v>
      </c>
      <c r="AD28" s="72">
        <f t="shared" si="10"/>
        <v>3.3139808968991402E-7</v>
      </c>
      <c r="AE28" s="72">
        <f t="shared" si="11"/>
        <v>-4.6355766647101087E-12</v>
      </c>
      <c r="AF28" s="72">
        <f t="shared" si="26"/>
        <v>2.4E-9</v>
      </c>
      <c r="AG28" s="72">
        <f t="shared" si="27"/>
        <v>2.3959284830808961E-9</v>
      </c>
      <c r="AH28" s="84">
        <f t="shared" si="12"/>
        <v>5.9179153307610281E-8</v>
      </c>
      <c r="AI28" s="84">
        <f t="shared" si="28"/>
        <v>59.179153307610285</v>
      </c>
      <c r="AJ28" s="77"/>
      <c r="AK28" s="72">
        <f t="shared" si="29"/>
        <v>8.3087952542212555E-10</v>
      </c>
      <c r="AL28" s="84">
        <f t="shared" si="30"/>
        <v>5.0000000000000001E-9</v>
      </c>
      <c r="AM28" s="84">
        <f t="shared" si="31"/>
        <v>5.638629235686758E-9</v>
      </c>
      <c r="AN28" s="81"/>
      <c r="AO28" s="72">
        <f t="shared" si="32"/>
        <v>9.1710690975592088E-12</v>
      </c>
      <c r="AP28" s="72">
        <f t="shared" si="33"/>
        <v>1.1308886492341685E-13</v>
      </c>
      <c r="AQ28" s="72">
        <f t="shared" si="34"/>
        <v>-9.6893261007994186E-11</v>
      </c>
      <c r="AR28" s="72">
        <f t="shared" si="35"/>
        <v>-2.8986813219478784E-15</v>
      </c>
      <c r="AS28" s="72">
        <f t="shared" si="36"/>
        <v>-8.7612001726833504E-11</v>
      </c>
      <c r="AT28" s="77"/>
      <c r="AU28" s="71">
        <v>-26.829651537276725</v>
      </c>
      <c r="AV28" s="71">
        <v>150.77784125786329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D29">
        <f t="shared" si="0"/>
        <v>4.9048331078452405E-2</v>
      </c>
      <c r="E29" s="71">
        <v>120</v>
      </c>
      <c r="F29" s="71">
        <f t="shared" si="1"/>
        <v>393.15</v>
      </c>
      <c r="G29" s="71">
        <f t="shared" si="13"/>
        <v>943.08250706697231</v>
      </c>
      <c r="H29" s="83">
        <f t="shared" si="2"/>
        <v>0.94341175085533802</v>
      </c>
      <c r="I29" s="83">
        <f t="shared" si="14"/>
        <v>943.41175085533803</v>
      </c>
      <c r="J29" s="72">
        <f t="shared" si="15"/>
        <v>1.0606395742473898E-2</v>
      </c>
      <c r="K29" s="82">
        <f t="shared" si="16"/>
        <v>50.624237515906287</v>
      </c>
      <c r="L29" s="72">
        <f t="shared" si="17"/>
        <v>2.3330963727787856E-4</v>
      </c>
      <c r="M29" s="72">
        <f t="shared" si="18"/>
        <v>0.34445835128255348</v>
      </c>
      <c r="N29" s="83">
        <f t="shared" si="19"/>
        <v>12.021215727882712</v>
      </c>
      <c r="O29" s="71">
        <f t="shared" si="20"/>
        <v>9.523229973916958E-13</v>
      </c>
      <c r="P29" s="83">
        <f t="shared" si="21"/>
        <v>5.3051506367288361</v>
      </c>
      <c r="Q29" s="72">
        <f t="shared" si="22"/>
        <v>4.9527837178042378E-6</v>
      </c>
      <c r="R29" s="72">
        <f t="shared" si="3"/>
        <v>1.0004952783717805E-2</v>
      </c>
      <c r="S29" s="71">
        <f t="shared" si="4"/>
        <v>2.8046033942788577E-9</v>
      </c>
      <c r="T29" s="77"/>
      <c r="U29" s="72">
        <f t="shared" si="23"/>
        <v>0.83896275938107312</v>
      </c>
      <c r="V29" s="72">
        <f t="shared" si="24"/>
        <v>-3.967303225314662E-3</v>
      </c>
      <c r="W29" s="84">
        <f t="shared" si="5"/>
        <v>-1.0167179141756877E-2</v>
      </c>
      <c r="X29" s="85">
        <f t="shared" si="25"/>
        <v>-10.167179141756877</v>
      </c>
      <c r="Y29" s="77"/>
      <c r="Z29" s="72">
        <f t="shared" si="6"/>
        <v>5.0956781940530372E-13</v>
      </c>
      <c r="AA29" s="72">
        <f t="shared" si="7"/>
        <v>1.8216329375318336E-7</v>
      </c>
      <c r="AB29" s="72">
        <f t="shared" si="8"/>
        <v>4.9316329375318332E-7</v>
      </c>
      <c r="AC29" s="72">
        <f t="shared" si="9"/>
        <v>2.0916329375318335E-7</v>
      </c>
      <c r="AD29" s="72">
        <f t="shared" si="10"/>
        <v>3.3516329375318331E-7</v>
      </c>
      <c r="AE29" s="72">
        <f t="shared" si="11"/>
        <v>-4.850548878385113E-12</v>
      </c>
      <c r="AF29" s="72">
        <f t="shared" si="26"/>
        <v>2.4E-9</v>
      </c>
      <c r="AG29" s="72">
        <f t="shared" si="27"/>
        <v>2.3956590189410204E-9</v>
      </c>
      <c r="AH29" s="84">
        <f t="shared" si="12"/>
        <v>5.6209509837343305E-8</v>
      </c>
      <c r="AI29" s="84">
        <f t="shared" si="28"/>
        <v>56.209509837343305</v>
      </c>
      <c r="AJ29" s="77"/>
      <c r="AK29" s="72">
        <f t="shared" si="29"/>
        <v>8.3957874456871837E-10</v>
      </c>
      <c r="AL29" s="84">
        <f t="shared" si="30"/>
        <v>5.0000000000000001E-9</v>
      </c>
      <c r="AM29" s="84">
        <f t="shared" si="31"/>
        <v>5.6092067885577154E-9</v>
      </c>
      <c r="AN29" s="81"/>
      <c r="AO29" s="72">
        <f t="shared" si="32"/>
        <v>5.9137084994680831E-12</v>
      </c>
      <c r="AP29" s="72">
        <f t="shared" si="33"/>
        <v>7.9669541166901097E-14</v>
      </c>
      <c r="AQ29" s="72">
        <f t="shared" si="34"/>
        <v>-6.4345558511376959E-11</v>
      </c>
      <c r="AR29" s="72">
        <f t="shared" si="35"/>
        <v>-1.9825514251503076E-15</v>
      </c>
      <c r="AS29" s="72">
        <f t="shared" si="36"/>
        <v>-5.8354163022167125E-11</v>
      </c>
      <c r="AT29" s="77"/>
      <c r="AU29" s="71">
        <v>-26.972496345454164</v>
      </c>
      <c r="AV29" s="71">
        <v>149.11803212106079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D30">
        <f t="shared" si="0"/>
        <v>4.6894573566720679E-2</v>
      </c>
      <c r="E30" s="71">
        <v>125</v>
      </c>
      <c r="F30" s="71">
        <f t="shared" si="1"/>
        <v>398.15</v>
      </c>
      <c r="G30" s="71">
        <f t="shared" si="13"/>
        <v>938.98414336096175</v>
      </c>
      <c r="H30" s="83">
        <f t="shared" si="2"/>
        <v>0.93931449598439676</v>
      </c>
      <c r="I30" s="83">
        <f t="shared" si="14"/>
        <v>939.31449598439679</v>
      </c>
      <c r="J30" s="72">
        <f t="shared" si="15"/>
        <v>1.0652689247715582E-2</v>
      </c>
      <c r="K30" s="82">
        <f t="shared" si="16"/>
        <v>49.4568062425313</v>
      </c>
      <c r="L30" s="72">
        <f t="shared" si="17"/>
        <v>2.2478674476019678E-4</v>
      </c>
      <c r="M30" s="72">
        <f t="shared" si="18"/>
        <v>0.35563622234188369</v>
      </c>
      <c r="N30" s="83">
        <f t="shared" si="19"/>
        <v>11.963821329959377</v>
      </c>
      <c r="O30" s="71">
        <f t="shared" si="20"/>
        <v>1.0868726743002748E-12</v>
      </c>
      <c r="P30" s="83">
        <f t="shared" si="21"/>
        <v>5.262860881503352</v>
      </c>
      <c r="Q30" s="72">
        <f t="shared" si="22"/>
        <v>5.4593271289861349E-6</v>
      </c>
      <c r="R30" s="72">
        <f t="shared" si="3"/>
        <v>1.0005459327128987E-2</v>
      </c>
      <c r="S30" s="71">
        <f t="shared" si="4"/>
        <v>2.7895777338192255E-9</v>
      </c>
      <c r="T30" s="77"/>
      <c r="U30" s="72">
        <f t="shared" si="23"/>
        <v>0.9198545500634594</v>
      </c>
      <c r="V30" s="72">
        <f t="shared" si="24"/>
        <v>-1.9115234886264323E-3</v>
      </c>
      <c r="W30" s="84">
        <f t="shared" si="5"/>
        <v>-9.818387714581411E-3</v>
      </c>
      <c r="X30" s="85">
        <f t="shared" si="25"/>
        <v>-9.8183877145814105</v>
      </c>
      <c r="Y30" s="77"/>
      <c r="Z30" s="72">
        <f t="shared" si="6"/>
        <v>4.6234871026148519E-13</v>
      </c>
      <c r="AA30" s="72">
        <f t="shared" si="7"/>
        <v>1.856615591224812E-7</v>
      </c>
      <c r="AB30" s="72">
        <f t="shared" si="8"/>
        <v>4.9666155912248122E-7</v>
      </c>
      <c r="AC30" s="72">
        <f t="shared" si="9"/>
        <v>2.1266155912248119E-7</v>
      </c>
      <c r="AD30" s="72">
        <f t="shared" si="10"/>
        <v>3.3866155912248121E-7</v>
      </c>
      <c r="AE30" s="72">
        <f t="shared" si="11"/>
        <v>-3.1757847492889918E-12</v>
      </c>
      <c r="AF30" s="72">
        <f t="shared" si="26"/>
        <v>2.4E-9</v>
      </c>
      <c r="AG30" s="72">
        <f t="shared" si="27"/>
        <v>2.3972865639609726E-9</v>
      </c>
      <c r="AH30" s="84">
        <f t="shared" si="12"/>
        <v>5.3324058842537108E-8</v>
      </c>
      <c r="AI30" s="84">
        <f t="shared" si="28"/>
        <v>53.324058842537113</v>
      </c>
      <c r="AJ30" s="77"/>
      <c r="AK30" s="72">
        <f t="shared" si="29"/>
        <v>8.4860467993594583E-10</v>
      </c>
      <c r="AL30" s="84">
        <f t="shared" si="30"/>
        <v>5.0000000000000001E-9</v>
      </c>
      <c r="AM30" s="84">
        <f t="shared" si="31"/>
        <v>5.5791554676384509E-9</v>
      </c>
      <c r="AN30" s="81"/>
      <c r="AO30" s="72">
        <f t="shared" si="32"/>
        <v>2.8085628239162002E-12</v>
      </c>
      <c r="AP30" s="72">
        <f t="shared" si="33"/>
        <v>4.1210130255497164E-14</v>
      </c>
      <c r="AQ30" s="72">
        <f t="shared" si="34"/>
        <v>-3.1434003829662328E-11</v>
      </c>
      <c r="AR30" s="72">
        <f t="shared" si="35"/>
        <v>-9.9658916954423979E-16</v>
      </c>
      <c r="AS30" s="72">
        <f t="shared" si="36"/>
        <v>-2.8585227464660175E-11</v>
      </c>
      <c r="AT30" s="77"/>
      <c r="AU30" s="71">
        <v>-27.110773232247144</v>
      </c>
      <c r="AV30" s="71">
        <v>147.23958210683321</v>
      </c>
    </row>
    <row r="31" spans="1:48" x14ac:dyDescent="0.35">
      <c r="A31" s="69" t="s">
        <v>141</v>
      </c>
      <c r="B31" s="4" t="str">
        <f>Control!B24</f>
        <v>on</v>
      </c>
      <c r="D31">
        <f t="shared" si="0"/>
        <v>4.4914432610638717E-2</v>
      </c>
      <c r="E31" s="71">
        <v>130</v>
      </c>
      <c r="F31" s="71">
        <f t="shared" si="1"/>
        <v>403.15</v>
      </c>
      <c r="G31" s="71">
        <f t="shared" si="13"/>
        <v>934.77543638776638</v>
      </c>
      <c r="H31" s="83">
        <f t="shared" si="2"/>
        <v>0.93510692770025483</v>
      </c>
      <c r="I31" s="83">
        <f t="shared" si="14"/>
        <v>935.1069277002548</v>
      </c>
      <c r="J31" s="72">
        <f t="shared" si="15"/>
        <v>1.070065162004042E-2</v>
      </c>
      <c r="K31" s="82">
        <f t="shared" si="16"/>
        <v>48.309866244156296</v>
      </c>
      <c r="L31" s="72">
        <f t="shared" si="17"/>
        <v>2.1710978597032438E-4</v>
      </c>
      <c r="M31" s="72">
        <f t="shared" si="18"/>
        <v>0.36673909340121408</v>
      </c>
      <c r="N31" s="83">
        <f t="shared" si="19"/>
        <v>11.908793659323456</v>
      </c>
      <c r="O31" s="71">
        <f t="shared" si="20"/>
        <v>1.2336908414560967E-12</v>
      </c>
      <c r="P31" s="83">
        <f t="shared" si="21"/>
        <v>5.2223149953886452</v>
      </c>
      <c r="Q31" s="72">
        <f t="shared" si="22"/>
        <v>5.9935620330345906E-6</v>
      </c>
      <c r="R31" s="72">
        <f t="shared" si="3"/>
        <v>1.0005993562033034E-2</v>
      </c>
      <c r="S31" s="71">
        <f t="shared" si="4"/>
        <v>2.774225309408976E-9</v>
      </c>
      <c r="T31" s="77"/>
      <c r="U31" s="72">
        <f t="shared" si="23"/>
        <v>1.0043603220689667</v>
      </c>
      <c r="V31" s="72">
        <f t="shared" si="24"/>
        <v>1.0080452434696368E-4</v>
      </c>
      <c r="W31" s="84">
        <f t="shared" si="5"/>
        <v>-9.4833754870187713E-3</v>
      </c>
      <c r="X31" s="85">
        <f t="shared" si="25"/>
        <v>-9.4833754870187708</v>
      </c>
      <c r="Y31" s="77"/>
      <c r="Z31" s="72">
        <f t="shared" si="6"/>
        <v>4.2118909617900676E-13</v>
      </c>
      <c r="AA31" s="72">
        <f t="shared" si="7"/>
        <v>1.8887607188013279E-7</v>
      </c>
      <c r="AB31" s="72">
        <f t="shared" si="8"/>
        <v>4.9987607188013287E-7</v>
      </c>
      <c r="AC31" s="72">
        <f t="shared" si="9"/>
        <v>2.1587607188013281E-7</v>
      </c>
      <c r="AD31" s="72">
        <f t="shared" si="10"/>
        <v>3.418760718801328E-7</v>
      </c>
      <c r="AE31" s="72">
        <f t="shared" si="11"/>
        <v>2.0960890253504993E-13</v>
      </c>
      <c r="AF31" s="72">
        <f t="shared" si="26"/>
        <v>2.4E-9</v>
      </c>
      <c r="AG31" s="72">
        <f t="shared" si="27"/>
        <v>2.4006307979987139E-9</v>
      </c>
      <c r="AH31" s="84">
        <f t="shared" si="12"/>
        <v>5.0524456761832295E-8</v>
      </c>
      <c r="AI31" s="84">
        <f t="shared" si="28"/>
        <v>50.524456761832298</v>
      </c>
      <c r="AJ31" s="77"/>
      <c r="AK31" s="72">
        <f t="shared" si="29"/>
        <v>8.5797712889045488E-10</v>
      </c>
      <c r="AL31" s="84">
        <f t="shared" si="30"/>
        <v>5.0000000000000001E-9</v>
      </c>
      <c r="AM31" s="84">
        <f t="shared" si="31"/>
        <v>5.548450618817952E-9</v>
      </c>
      <c r="AN31" s="81"/>
      <c r="AO31" s="72">
        <f t="shared" si="32"/>
        <v>-1.4583395848797313E-13</v>
      </c>
      <c r="AP31" s="72">
        <f t="shared" si="33"/>
        <v>-2.3241259118970426E-15</v>
      </c>
      <c r="AQ31" s="72">
        <f t="shared" si="34"/>
        <v>1.6770524898821552E-12</v>
      </c>
      <c r="AR31" s="72">
        <f t="shared" si="35"/>
        <v>5.4667874679540495E-17</v>
      </c>
      <c r="AS31" s="72">
        <f t="shared" si="36"/>
        <v>1.5289490733569646E-12</v>
      </c>
      <c r="AT31" s="77"/>
      <c r="AU31" s="71">
        <v>-27.2442625590825</v>
      </c>
      <c r="AV31" s="71">
        <v>145.14877130232256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D32">
        <f t="shared" si="0"/>
        <v>4.3088012290298593E-2</v>
      </c>
      <c r="E32" s="71">
        <v>135</v>
      </c>
      <c r="F32" s="71">
        <f t="shared" si="1"/>
        <v>408.15</v>
      </c>
      <c r="G32" s="71">
        <f t="shared" si="13"/>
        <v>930.45622488454865</v>
      </c>
      <c r="H32" s="83">
        <f t="shared" si="2"/>
        <v>0.93078888478370481</v>
      </c>
      <c r="I32" s="83">
        <f t="shared" si="14"/>
        <v>930.78888478370482</v>
      </c>
      <c r="J32" s="72">
        <f t="shared" si="15"/>
        <v>1.0750324432509315E-2</v>
      </c>
      <c r="K32" s="82">
        <f t="shared" si="16"/>
        <v>47.18236002078126</v>
      </c>
      <c r="L32" s="72">
        <f t="shared" si="17"/>
        <v>2.1019282956423691E-4</v>
      </c>
      <c r="M32" s="72">
        <f t="shared" si="18"/>
        <v>0.37776696446054436</v>
      </c>
      <c r="N32" s="83">
        <f t="shared" si="19"/>
        <v>11.855950031009247</v>
      </c>
      <c r="O32" s="71">
        <f t="shared" si="20"/>
        <v>1.3933171057981192E-12</v>
      </c>
      <c r="P32" s="83">
        <f t="shared" si="21"/>
        <v>5.1833783711275201</v>
      </c>
      <c r="Q32" s="72">
        <f t="shared" si="22"/>
        <v>6.555738606848784E-6</v>
      </c>
      <c r="R32" s="72">
        <f t="shared" si="3"/>
        <v>1.000655573860685E-2</v>
      </c>
      <c r="S32" s="71">
        <f t="shared" si="4"/>
        <v>2.7585318998757647E-9</v>
      </c>
      <c r="T32" s="77"/>
      <c r="U32" s="72">
        <f t="shared" si="23"/>
        <v>1.0924087689317248</v>
      </c>
      <c r="V32" s="72">
        <f t="shared" si="24"/>
        <v>2.0731892678153081E-3</v>
      </c>
      <c r="W32" s="84">
        <f t="shared" si="5"/>
        <v>-9.1615808993511672E-3</v>
      </c>
      <c r="X32" s="85">
        <f t="shared" si="25"/>
        <v>-9.1615808993511667</v>
      </c>
      <c r="Y32" s="77"/>
      <c r="Z32" s="72">
        <f t="shared" si="6"/>
        <v>3.8511483542882697E-13</v>
      </c>
      <c r="AA32" s="72">
        <f t="shared" si="7"/>
        <v>1.9179318427473583E-7</v>
      </c>
      <c r="AB32" s="72">
        <f t="shared" si="8"/>
        <v>5.027931842747358E-7</v>
      </c>
      <c r="AC32" s="72">
        <f t="shared" si="9"/>
        <v>2.1879318427473582E-7</v>
      </c>
      <c r="AD32" s="72">
        <f t="shared" si="10"/>
        <v>3.4479318427473579E-7</v>
      </c>
      <c r="AE32" s="72">
        <f t="shared" si="11"/>
        <v>5.1331629087328094E-12</v>
      </c>
      <c r="AF32" s="72">
        <f t="shared" si="26"/>
        <v>2.4E-9</v>
      </c>
      <c r="AG32" s="72">
        <f t="shared" si="27"/>
        <v>2.4055182777441618E-9</v>
      </c>
      <c r="AH32" s="84">
        <f t="shared" si="12"/>
        <v>4.7813074717688736E-8</v>
      </c>
      <c r="AI32" s="84">
        <f t="shared" si="28"/>
        <v>47.813074717688735</v>
      </c>
      <c r="AJ32" s="77"/>
      <c r="AK32" s="72">
        <f t="shared" si="29"/>
        <v>8.6771828502761562E-10</v>
      </c>
      <c r="AL32" s="84">
        <f t="shared" si="30"/>
        <v>5.0000000000000001E-9</v>
      </c>
      <c r="AM32" s="84">
        <f t="shared" si="31"/>
        <v>5.5170637997515294E-9</v>
      </c>
      <c r="AN32" s="81"/>
      <c r="AO32" s="72">
        <f t="shared" si="32"/>
        <v>-2.9498655844829667E-12</v>
      </c>
      <c r="AP32" s="72">
        <f t="shared" si="33"/>
        <v>-5.0932904816257412E-14</v>
      </c>
      <c r="AQ32" s="72">
        <f t="shared" si="34"/>
        <v>3.4818999121451433E-11</v>
      </c>
      <c r="AR32" s="72">
        <f t="shared" si="35"/>
        <v>1.1661905195123375E-15</v>
      </c>
      <c r="AS32" s="72">
        <f t="shared" si="36"/>
        <v>3.1819366822671718E-11</v>
      </c>
      <c r="AT32" s="77"/>
      <c r="AU32" s="71">
        <v>-27.372723345060031</v>
      </c>
      <c r="AV32" s="71">
        <v>142.85446166075133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D33">
        <f t="shared" si="0"/>
        <v>4.1398324654026403E-2</v>
      </c>
      <c r="E33" s="71">
        <v>140</v>
      </c>
      <c r="F33" s="71">
        <f t="shared" si="1"/>
        <v>413.15</v>
      </c>
      <c r="G33" s="71">
        <f t="shared" si="13"/>
        <v>926.0260212893005</v>
      </c>
      <c r="H33" s="83">
        <f t="shared" si="2"/>
        <v>0.92635987980465151</v>
      </c>
      <c r="I33" s="83">
        <f t="shared" si="14"/>
        <v>926.35987980465154</v>
      </c>
      <c r="J33" s="72">
        <f t="shared" si="15"/>
        <v>1.080175508872854E-2</v>
      </c>
      <c r="K33" s="82">
        <f t="shared" si="16"/>
        <v>46.07323007240629</v>
      </c>
      <c r="L33" s="72">
        <f t="shared" si="17"/>
        <v>2.0395922677402233E-4</v>
      </c>
      <c r="M33" s="72">
        <f t="shared" si="18"/>
        <v>0.38871983551987477</v>
      </c>
      <c r="N33" s="83">
        <f t="shared" si="19"/>
        <v>11.805127526952067</v>
      </c>
      <c r="O33" s="71">
        <f t="shared" si="20"/>
        <v>1.566291074265293E-12</v>
      </c>
      <c r="P33" s="83">
        <f t="shared" si="21"/>
        <v>5.1459309662536992</v>
      </c>
      <c r="Q33" s="72">
        <f t="shared" si="22"/>
        <v>7.1460990863429064E-6</v>
      </c>
      <c r="R33" s="72">
        <f t="shared" si="3"/>
        <v>1.0007146099086343E-2</v>
      </c>
      <c r="S33" s="71">
        <f t="shared" si="4"/>
        <v>2.7424813201172739E-9</v>
      </c>
      <c r="T33" s="77"/>
      <c r="U33" s="72">
        <f t="shared" si="23"/>
        <v>1.1839201956457921</v>
      </c>
      <c r="V33" s="72">
        <f t="shared" si="24"/>
        <v>4.0086689937988184E-3</v>
      </c>
      <c r="W33" s="84">
        <f t="shared" si="5"/>
        <v>-8.8525457926221657E-3</v>
      </c>
      <c r="X33" s="85">
        <f t="shared" si="25"/>
        <v>-8.8525457926221662</v>
      </c>
      <c r="Y33" s="77"/>
      <c r="Z33" s="72">
        <f t="shared" si="6"/>
        <v>3.5333721925733066E-13</v>
      </c>
      <c r="AA33" s="72">
        <f t="shared" si="7"/>
        <v>1.9440246071973022E-7</v>
      </c>
      <c r="AB33" s="72">
        <f t="shared" si="8"/>
        <v>5.0540246071973024E-7</v>
      </c>
      <c r="AC33" s="72">
        <f t="shared" si="9"/>
        <v>2.2140246071973021E-7</v>
      </c>
      <c r="AD33" s="72">
        <f t="shared" si="10"/>
        <v>3.4740246071973023E-7</v>
      </c>
      <c r="AE33" s="72">
        <f t="shared" si="11"/>
        <v>1.1427379391614452E-11</v>
      </c>
      <c r="AF33" s="72">
        <f t="shared" si="26"/>
        <v>2.4E-9</v>
      </c>
      <c r="AG33" s="72">
        <f t="shared" si="27"/>
        <v>2.4117807166108719E-9</v>
      </c>
      <c r="AH33" s="84">
        <f t="shared" si="12"/>
        <v>4.5192672398234229E-8</v>
      </c>
      <c r="AI33" s="84">
        <f t="shared" si="28"/>
        <v>45.19267239823423</v>
      </c>
      <c r="AJ33" s="77"/>
      <c r="AK33" s="72">
        <f t="shared" si="29"/>
        <v>8.7785298969638781E-10</v>
      </c>
      <c r="AL33" s="84">
        <f t="shared" si="30"/>
        <v>5.0000000000000001E-9</v>
      </c>
      <c r="AM33" s="84">
        <f t="shared" si="31"/>
        <v>5.4849626402345477E-9</v>
      </c>
      <c r="AN33" s="81"/>
      <c r="AO33" s="72">
        <f t="shared" si="32"/>
        <v>-5.6032668981215456E-12</v>
      </c>
      <c r="AP33" s="72">
        <f t="shared" si="33"/>
        <v>-1.0458069032939171E-13</v>
      </c>
      <c r="AQ33" s="72">
        <f t="shared" si="34"/>
        <v>6.7821653149162581E-11</v>
      </c>
      <c r="AR33" s="72">
        <f t="shared" si="35"/>
        <v>2.3325032506769142E-15</v>
      </c>
      <c r="AS33" s="72">
        <f t="shared" si="36"/>
        <v>6.2116138063962317E-11</v>
      </c>
      <c r="AT33" s="77"/>
      <c r="AU33" s="71">
        <v>-27.495891184371562</v>
      </c>
      <c r="AV33" s="71">
        <v>140.36768530132366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D34">
        <f t="shared" si="0"/>
        <v>3.9830779231085696E-2</v>
      </c>
      <c r="E34" s="71">
        <v>145</v>
      </c>
      <c r="F34" s="71">
        <f t="shared" si="1"/>
        <v>418.15</v>
      </c>
      <c r="G34" s="71">
        <f t="shared" si="13"/>
        <v>921.4840211658875</v>
      </c>
      <c r="H34" s="83">
        <f t="shared" si="2"/>
        <v>0.92181910854460536</v>
      </c>
      <c r="I34" s="83">
        <f t="shared" si="14"/>
        <v>921.81910854460534</v>
      </c>
      <c r="J34" s="72">
        <f t="shared" si="15"/>
        <v>1.0854997002662117E-2</v>
      </c>
      <c r="K34" s="82">
        <f t="shared" si="16"/>
        <v>44.981418899031326</v>
      </c>
      <c r="L34" s="72">
        <f t="shared" si="17"/>
        <v>1.9834045776074527E-4</v>
      </c>
      <c r="M34" s="72">
        <f t="shared" si="18"/>
        <v>0.39959770657920507</v>
      </c>
      <c r="N34" s="83">
        <f t="shared" si="19"/>
        <v>11.756180340872524</v>
      </c>
      <c r="O34" s="71">
        <f t="shared" si="20"/>
        <v>1.753152353796568E-12</v>
      </c>
      <c r="P34" s="83">
        <f t="shared" si="21"/>
        <v>5.1098653467302544</v>
      </c>
      <c r="Q34" s="72">
        <f t="shared" si="22"/>
        <v>7.7648782983669447E-6</v>
      </c>
      <c r="R34" s="72">
        <f t="shared" si="3"/>
        <v>1.0007764878298367E-2</v>
      </c>
      <c r="S34" s="71">
        <f t="shared" si="4"/>
        <v>2.7260553444353692E-9</v>
      </c>
      <c r="T34" s="77"/>
      <c r="U34" s="72">
        <f t="shared" si="23"/>
        <v>1.2788059447721685</v>
      </c>
      <c r="V34" s="72">
        <f t="shared" si="24"/>
        <v>5.9098688676085401E-3</v>
      </c>
      <c r="W34" s="84">
        <f t="shared" si="5"/>
        <v>-8.5559049295012464E-3</v>
      </c>
      <c r="X34" s="85">
        <f t="shared" si="25"/>
        <v>-8.5559049295012457</v>
      </c>
      <c r="Y34" s="77"/>
      <c r="Z34" s="72">
        <f t="shared" si="6"/>
        <v>3.2521265497324834E-13</v>
      </c>
      <c r="AA34" s="72">
        <f t="shared" si="7"/>
        <v>1.9669661579380175E-7</v>
      </c>
      <c r="AB34" s="72">
        <f t="shared" si="8"/>
        <v>5.0769661579380172E-7</v>
      </c>
      <c r="AC34" s="72">
        <f t="shared" si="9"/>
        <v>2.2369661579380177E-7</v>
      </c>
      <c r="AD34" s="72">
        <f t="shared" si="10"/>
        <v>3.4969661579380176E-7</v>
      </c>
      <c r="AE34" s="72">
        <f t="shared" si="11"/>
        <v>1.8928806860423594E-11</v>
      </c>
      <c r="AF34" s="72">
        <f t="shared" si="26"/>
        <v>2.4E-9</v>
      </c>
      <c r="AG34" s="72">
        <f t="shared" si="27"/>
        <v>2.4192540195153967E-9</v>
      </c>
      <c r="AH34" s="84">
        <f t="shared" si="12"/>
        <v>4.2666121622207171E-8</v>
      </c>
      <c r="AI34" s="84">
        <f t="shared" si="28"/>
        <v>42.666121622207172</v>
      </c>
      <c r="AJ34" s="77"/>
      <c r="AK34" s="72">
        <f t="shared" si="29"/>
        <v>8.8840901804437558E-10</v>
      </c>
      <c r="AL34" s="84">
        <f t="shared" si="30"/>
        <v>5.0000000000000001E-9</v>
      </c>
      <c r="AM34" s="84">
        <f t="shared" si="31"/>
        <v>5.4521106888707385E-9</v>
      </c>
      <c r="AN34" s="81"/>
      <c r="AO34" s="72">
        <f t="shared" si="32"/>
        <v>-8.1054676555249922E-12</v>
      </c>
      <c r="AP34" s="72">
        <f t="shared" si="33"/>
        <v>-1.6319703011437624E-13</v>
      </c>
      <c r="AQ34" s="72">
        <f t="shared" si="34"/>
        <v>1.0051579041092321E-10</v>
      </c>
      <c r="AR34" s="72">
        <f t="shared" si="35"/>
        <v>3.5477361516216691E-15</v>
      </c>
      <c r="AS34" s="72">
        <f t="shared" si="36"/>
        <v>9.2250673461435466E-11</v>
      </c>
      <c r="AT34" s="77"/>
      <c r="AU34" s="71">
        <v>-27.613475956895172</v>
      </c>
      <c r="AV34" s="71">
        <v>137.70120459150516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D35">
        <f t="shared" si="0"/>
        <v>3.8372776163168906E-2</v>
      </c>
      <c r="E35" s="71">
        <v>150</v>
      </c>
      <c r="F35" s="71">
        <f t="shared" si="1"/>
        <v>423.15</v>
      </c>
      <c r="G35" s="71">
        <f t="shared" si="13"/>
        <v>916.82911127778289</v>
      </c>
      <c r="H35" s="83">
        <f t="shared" si="2"/>
        <v>0.91716545806823158</v>
      </c>
      <c r="I35" s="83">
        <f t="shared" si="14"/>
        <v>917.1654580682316</v>
      </c>
      <c r="J35" s="72">
        <f t="shared" si="15"/>
        <v>1.0910109817320256E-2</v>
      </c>
      <c r="K35" s="82">
        <f t="shared" si="16"/>
        <v>43.905869000656253</v>
      </c>
      <c r="L35" s="72">
        <f t="shared" si="17"/>
        <v>1.9327516008767027E-4</v>
      </c>
      <c r="M35" s="72">
        <f t="shared" si="18"/>
        <v>0.41040057763853538</v>
      </c>
      <c r="N35" s="83">
        <f t="shared" si="19"/>
        <v>11.708977535066271</v>
      </c>
      <c r="O35" s="71">
        <f t="shared" si="20"/>
        <v>1.9544405513308934E-12</v>
      </c>
      <c r="P35" s="83">
        <f t="shared" si="21"/>
        <v>5.0750850340912246</v>
      </c>
      <c r="Q35" s="72">
        <f t="shared" si="22"/>
        <v>8.4123041409222216E-6</v>
      </c>
      <c r="R35" s="72">
        <f t="shared" si="3"/>
        <v>1.0008412304140922E-2</v>
      </c>
      <c r="S35" s="71">
        <f t="shared" si="4"/>
        <v>2.7092336221109903E-9</v>
      </c>
      <c r="T35" s="77"/>
      <c r="U35" s="72">
        <f t="shared" si="23"/>
        <v>1.3769677357473606</v>
      </c>
      <c r="V35" s="72">
        <f t="shared" si="24"/>
        <v>7.7790485872415932E-3</v>
      </c>
      <c r="W35" s="84">
        <f t="shared" si="5"/>
        <v>-8.2713774312783671E-3</v>
      </c>
      <c r="X35" s="85">
        <f t="shared" si="25"/>
        <v>-8.271377431278367</v>
      </c>
      <c r="Y35" s="77"/>
      <c r="Z35" s="72">
        <f t="shared" si="6"/>
        <v>3.0021211473287657E-13</v>
      </c>
      <c r="AA35" s="72">
        <f t="shared" si="7"/>
        <v>1.9867135833090826E-7</v>
      </c>
      <c r="AB35" s="72">
        <f t="shared" si="8"/>
        <v>5.0967135833090828E-7</v>
      </c>
      <c r="AC35" s="72">
        <f t="shared" si="9"/>
        <v>2.2567135833090826E-7</v>
      </c>
      <c r="AD35" s="72">
        <f t="shared" si="10"/>
        <v>3.5167135833090827E-7</v>
      </c>
      <c r="AE35" s="72">
        <f t="shared" si="11"/>
        <v>2.7477656368745659E-11</v>
      </c>
      <c r="AF35" s="72">
        <f t="shared" si="26"/>
        <v>2.4E-9</v>
      </c>
      <c r="AG35" s="72">
        <f t="shared" si="27"/>
        <v>2.4277778684834784E-9</v>
      </c>
      <c r="AH35" s="84">
        <f t="shared" si="12"/>
        <v>4.0236180132432339E-8</v>
      </c>
      <c r="AI35" s="84">
        <f t="shared" si="28"/>
        <v>40.236180132432338</v>
      </c>
      <c r="AJ35" s="77"/>
      <c r="AK35" s="72">
        <f t="shared" si="29"/>
        <v>8.9941740536116701E-10</v>
      </c>
      <c r="AL35" s="84">
        <f t="shared" si="30"/>
        <v>5.0000000000000001E-9</v>
      </c>
      <c r="AM35" s="84">
        <f t="shared" si="31"/>
        <v>5.4184672442219806E-9</v>
      </c>
      <c r="AN35" s="81"/>
      <c r="AO35" s="72">
        <f t="shared" si="32"/>
        <v>-1.0455856589342477E-11</v>
      </c>
      <c r="AP35" s="72">
        <f t="shared" si="33"/>
        <v>-2.266770980200814E-13</v>
      </c>
      <c r="AQ35" s="72">
        <f t="shared" si="34"/>
        <v>1.3273541561742223E-10</v>
      </c>
      <c r="AR35" s="72">
        <f t="shared" si="35"/>
        <v>4.805680224494051E-15</v>
      </c>
      <c r="AS35" s="72">
        <f t="shared" si="36"/>
        <v>1.2205768761028417E-10</v>
      </c>
      <c r="AT35" s="77"/>
      <c r="AU35" s="71">
        <v>-27.725159305098604</v>
      </c>
      <c r="AV35" s="71">
        <v>134.86906533597679</v>
      </c>
    </row>
    <row r="36" spans="1:48" x14ac:dyDescent="0.35">
      <c r="A36" t="s">
        <v>32</v>
      </c>
      <c r="B36" s="38">
        <f>Control!B29</f>
        <v>0.19</v>
      </c>
      <c r="C36" s="2" t="s">
        <v>1</v>
      </c>
      <c r="Y36" s="86"/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71">
        <f>100*(G35-G5)/G5</f>
        <v>-8.3023732370787968</v>
      </c>
      <c r="H37" s="71">
        <f t="shared" ref="H37:AS37" si="37">100*(H35-H5)/H5</f>
        <v>-8.2975220743655544</v>
      </c>
      <c r="I37" s="71">
        <f t="shared" si="37"/>
        <v>-8.2975220743655527</v>
      </c>
      <c r="J37" s="71">
        <f t="shared" si="37"/>
        <v>9.0540764577736592</v>
      </c>
      <c r="K37" s="71">
        <f t="shared" si="37"/>
        <v>-49.844488764547044</v>
      </c>
      <c r="L37" s="71">
        <f t="shared" si="37"/>
        <v>-89.121086556275912</v>
      </c>
      <c r="M37" s="71">
        <f t="shared" si="37"/>
        <v>664.39711953667518</v>
      </c>
      <c r="N37" s="71">
        <f t="shared" si="37"/>
        <v>-22.738700343636562</v>
      </c>
      <c r="O37" s="71">
        <f t="shared" si="37"/>
        <v>279191.77864706103</v>
      </c>
      <c r="P37" s="71">
        <f t="shared" si="37"/>
        <v>-33.347403161228449</v>
      </c>
      <c r="Q37" s="71">
        <f t="shared" si="37"/>
        <v>34505.846860105819</v>
      </c>
      <c r="R37" s="71">
        <f t="shared" si="37"/>
        <v>8.3879748407478846E-2</v>
      </c>
      <c r="S37" s="71">
        <f t="shared" si="37"/>
        <v>-11.89027723727984</v>
      </c>
      <c r="U37" s="71">
        <f t="shared" si="37"/>
        <v>30026.551502502884</v>
      </c>
      <c r="V37" s="71">
        <f t="shared" si="37"/>
        <v>-109.1970609234302</v>
      </c>
      <c r="W37" s="71">
        <f t="shared" si="37"/>
        <v>-68.353572502699862</v>
      </c>
      <c r="X37" s="71">
        <f t="shared" si="37"/>
        <v>-68.353572502699862</v>
      </c>
      <c r="Z37" s="71">
        <f t="shared" si="37"/>
        <v>-99.701627180424822</v>
      </c>
      <c r="AA37" s="71">
        <f t="shared" si="37"/>
        <v>173.8928900939936</v>
      </c>
      <c r="AB37" s="71">
        <f t="shared" si="37"/>
        <v>32.88743654940324</v>
      </c>
      <c r="AC37" s="71">
        <f t="shared" si="37"/>
        <v>126.72301241724806</v>
      </c>
      <c r="AD37" s="71">
        <f t="shared" si="37"/>
        <v>55.926824996177281</v>
      </c>
      <c r="AE37" s="71">
        <f t="shared" si="37"/>
        <v>-98.354888999913939</v>
      </c>
      <c r="AF37" s="71">
        <f t="shared" si="37"/>
        <v>0</v>
      </c>
      <c r="AG37" s="71">
        <f t="shared" si="37"/>
        <v>-41.792162766525983</v>
      </c>
      <c r="AH37" s="71">
        <f t="shared" si="37"/>
        <v>-80.027520017357745</v>
      </c>
      <c r="AI37" s="71">
        <f t="shared" si="37"/>
        <v>-80.027520017357745</v>
      </c>
      <c r="AK37" s="71">
        <f t="shared" si="37"/>
        <v>28.702860094015538</v>
      </c>
      <c r="AL37" s="71">
        <f t="shared" si="37"/>
        <v>0</v>
      </c>
      <c r="AM37" s="71">
        <f t="shared" si="37"/>
        <v>-11.89027723727984</v>
      </c>
      <c r="AO37" s="71">
        <f t="shared" si="37"/>
        <v>-104.85860483770313</v>
      </c>
      <c r="AP37" s="71">
        <f t="shared" si="37"/>
        <v>-915.42150104259338</v>
      </c>
      <c r="AQ37" s="71">
        <f t="shared" si="37"/>
        <v>-126.95012790737496</v>
      </c>
      <c r="AR37" s="71">
        <f t="shared" si="37"/>
        <v>-249.58730346824041</v>
      </c>
      <c r="AS37" s="71">
        <f t="shared" si="37"/>
        <v>-144.01727763193924</v>
      </c>
      <c r="AU37" s="71">
        <v>22.754656437003103</v>
      </c>
      <c r="AV37" s="71">
        <v>-22.528018961341576</v>
      </c>
    </row>
    <row r="38" spans="1:48" x14ac:dyDescent="0.35">
      <c r="B38" s="37">
        <v>-9.4999999999999998E-3</v>
      </c>
      <c r="C38" s="6"/>
      <c r="G38" s="71" t="str">
        <f>G1</f>
        <v>Density water</v>
      </c>
      <c r="H38" s="71" t="str">
        <f t="shared" ref="H38:AS38" si="38">H1</f>
        <v>Density Soln</v>
      </c>
      <c r="I38" s="71" t="str">
        <f t="shared" si="38"/>
        <v>Density Soln</v>
      </c>
      <c r="J38" s="71" t="str">
        <f t="shared" si="38"/>
        <v>Molality</v>
      </c>
      <c r="K38" s="71" t="str">
        <f t="shared" si="38"/>
        <v>RelPerm Soln</v>
      </c>
      <c r="L38" s="71" t="str">
        <f t="shared" si="38"/>
        <v>Visc Soln</v>
      </c>
      <c r="M38" s="71" t="str">
        <f t="shared" si="38"/>
        <v>Condy Soln</v>
      </c>
      <c r="N38" s="71" t="str">
        <f t="shared" si="38"/>
        <v>pKw</v>
      </c>
      <c r="O38" s="71" t="str">
        <f t="shared" si="38"/>
        <v>Kw</v>
      </c>
      <c r="P38" s="71" t="str">
        <f t="shared" si="38"/>
        <v>pH</v>
      </c>
      <c r="Q38" s="71" t="str">
        <f t="shared" si="38"/>
        <v>[H+]</v>
      </c>
      <c r="R38" s="71" t="str">
        <f t="shared" si="38"/>
        <v>Ionic Conc</v>
      </c>
      <c r="S38" s="71" t="str">
        <f t="shared" si="38"/>
        <v>Debye Length</v>
      </c>
      <c r="U38" s="71" t="str">
        <f t="shared" si="38"/>
        <v>Theta2</v>
      </c>
      <c r="V38" s="71" t="str">
        <f t="shared" si="38"/>
        <v>SternPot</v>
      </c>
      <c r="W38" s="71" t="str">
        <f t="shared" si="38"/>
        <v>Zeta Pot</v>
      </c>
      <c r="X38" s="71" t="str">
        <f t="shared" si="38"/>
        <v>Zeta Pot</v>
      </c>
      <c r="Z38" s="71" t="str">
        <f t="shared" si="38"/>
        <v>SurfConStern</v>
      </c>
      <c r="AA38" s="71" t="str">
        <f t="shared" si="38"/>
        <v>EffMobNa</v>
      </c>
      <c r="AB38" s="71" t="str">
        <f t="shared" si="38"/>
        <v>EffMobHyd</v>
      </c>
      <c r="AC38" s="71" t="str">
        <f t="shared" si="38"/>
        <v>EffMobCl</v>
      </c>
      <c r="AD38" s="71" t="str">
        <f t="shared" si="38"/>
        <v>EffMobOH</v>
      </c>
      <c r="AE38" s="71" t="str">
        <f t="shared" si="38"/>
        <v>SurfConEDL</v>
      </c>
      <c r="AF38" s="71" t="str">
        <f t="shared" si="38"/>
        <v>SurfConProt</v>
      </c>
      <c r="AG38" s="71" t="str">
        <f t="shared" si="38"/>
        <v>TotSurfCon</v>
      </c>
      <c r="AH38" s="71" t="str">
        <f t="shared" si="38"/>
        <v>Cs</v>
      </c>
      <c r="AI38" s="71" t="str">
        <f t="shared" si="38"/>
        <v>Cs</v>
      </c>
      <c r="AK38" s="71" t="str">
        <f t="shared" si="38"/>
        <v>Bjerrum</v>
      </c>
      <c r="AL38" s="71" t="str">
        <f t="shared" si="38"/>
        <v>Shear Plane</v>
      </c>
      <c r="AM38" s="71" t="str">
        <f t="shared" si="38"/>
        <v>Twice Debye</v>
      </c>
      <c r="AO38" s="71" t="str">
        <f t="shared" si="38"/>
        <v>SurfConEDLNa</v>
      </c>
      <c r="AP38" s="71" t="str">
        <f t="shared" si="38"/>
        <v>SurfConEDLH</v>
      </c>
      <c r="AQ38" s="71" t="str">
        <f t="shared" si="38"/>
        <v>SurfConEDLCl</v>
      </c>
      <c r="AR38" s="71" t="str">
        <f t="shared" si="38"/>
        <v>SurfConEDLOH</v>
      </c>
      <c r="AS38" s="71" t="str">
        <f t="shared" si="38"/>
        <v>SurfConEDL</v>
      </c>
      <c r="AU38" s="71" t="s">
        <v>110</v>
      </c>
      <c r="AV38" s="71" t="s">
        <v>10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Y39" s="86"/>
    </row>
    <row r="40" spans="1:48" x14ac:dyDescent="0.35">
      <c r="B40" s="6"/>
      <c r="C40" s="6"/>
      <c r="O40" s="71" t="s">
        <v>145</v>
      </c>
      <c r="P40" s="71">
        <v>0.01</v>
      </c>
    </row>
    <row r="41" spans="1:48" x14ac:dyDescent="0.35">
      <c r="C41" s="6"/>
      <c r="O41" s="71" t="s">
        <v>146</v>
      </c>
      <c r="P41" s="90">
        <f>Control!B41</f>
        <v>7.5</v>
      </c>
    </row>
    <row r="42" spans="1:48" x14ac:dyDescent="0.35">
      <c r="C42" s="6"/>
      <c r="O42" s="71" t="s">
        <v>147</v>
      </c>
      <c r="P42" s="90">
        <f>Control!B42</f>
        <v>1</v>
      </c>
    </row>
    <row r="43" spans="1:48" x14ac:dyDescent="0.35">
      <c r="C43" s="6"/>
      <c r="O43" s="71" t="s">
        <v>148</v>
      </c>
      <c r="P43" s="90">
        <f>Control!B43</f>
        <v>0.32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V43"/>
  <sheetViews>
    <sheetView zoomScaleNormal="100" workbookViewId="0">
      <selection activeCell="G5" sqref="G5:G35"/>
    </sheetView>
  </sheetViews>
  <sheetFormatPr defaultRowHeight="14.5" x14ac:dyDescent="0.35"/>
  <cols>
    <col min="5" max="48" width="16" style="71" customWidth="1"/>
  </cols>
  <sheetData>
    <row r="1" spans="1:48" ht="18.5" x14ac:dyDescent="0.45">
      <c r="A1" s="7" t="s">
        <v>33</v>
      </c>
      <c r="B1" s="8"/>
      <c r="C1" s="52">
        <v>1</v>
      </c>
      <c r="E1" s="70" t="s">
        <v>102</v>
      </c>
      <c r="F1" s="70" t="s">
        <v>102</v>
      </c>
      <c r="G1" s="70" t="s">
        <v>97</v>
      </c>
      <c r="H1" s="70" t="s">
        <v>101</v>
      </c>
      <c r="I1" s="70" t="s">
        <v>101</v>
      </c>
      <c r="J1" s="70" t="s">
        <v>103</v>
      </c>
      <c r="K1" s="73" t="s">
        <v>104</v>
      </c>
      <c r="L1" s="70" t="s">
        <v>105</v>
      </c>
      <c r="M1" s="74" t="s">
        <v>106</v>
      </c>
      <c r="N1" s="70" t="s">
        <v>43</v>
      </c>
      <c r="O1" s="70" t="s">
        <v>58</v>
      </c>
      <c r="P1" s="70" t="s">
        <v>16</v>
      </c>
      <c r="Q1" s="70" t="s">
        <v>108</v>
      </c>
      <c r="R1" s="70" t="s">
        <v>107</v>
      </c>
      <c r="S1" s="70" t="s">
        <v>28</v>
      </c>
      <c r="T1" s="75"/>
      <c r="U1" s="70" t="s">
        <v>46</v>
      </c>
      <c r="V1" s="70" t="s">
        <v>109</v>
      </c>
      <c r="W1" s="70" t="s">
        <v>110</v>
      </c>
      <c r="X1" s="70" t="s">
        <v>110</v>
      </c>
      <c r="Y1" s="77"/>
      <c r="Z1" s="70" t="s">
        <v>25</v>
      </c>
      <c r="AA1" s="70" t="s">
        <v>38</v>
      </c>
      <c r="AB1" s="70" t="s">
        <v>40</v>
      </c>
      <c r="AC1" s="70" t="s">
        <v>41</v>
      </c>
      <c r="AD1" s="70" t="s">
        <v>42</v>
      </c>
      <c r="AE1" s="70" t="s">
        <v>27</v>
      </c>
      <c r="AF1" s="70" t="s">
        <v>26</v>
      </c>
      <c r="AG1" s="70" t="s">
        <v>29</v>
      </c>
      <c r="AH1" s="70" t="s">
        <v>10</v>
      </c>
      <c r="AI1" s="70" t="s">
        <v>10</v>
      </c>
      <c r="AJ1" s="77"/>
      <c r="AK1" s="78" t="s">
        <v>90</v>
      </c>
      <c r="AL1" s="70" t="s">
        <v>91</v>
      </c>
      <c r="AM1" s="70" t="s">
        <v>131</v>
      </c>
      <c r="AN1" s="79"/>
      <c r="AO1" s="70" t="s">
        <v>47</v>
      </c>
      <c r="AP1" s="70" t="s">
        <v>48</v>
      </c>
      <c r="AQ1" s="70" t="s">
        <v>49</v>
      </c>
      <c r="AR1" s="70" t="s">
        <v>50</v>
      </c>
      <c r="AS1" s="70" t="s">
        <v>27</v>
      </c>
      <c r="AT1" s="77"/>
      <c r="AU1" s="70" t="s">
        <v>110</v>
      </c>
      <c r="AV1" s="70" t="s">
        <v>10</v>
      </c>
    </row>
    <row r="2" spans="1:48" x14ac:dyDescent="0.35">
      <c r="B2" s="4"/>
      <c r="C2" s="2"/>
      <c r="E2" s="70" t="s">
        <v>96</v>
      </c>
      <c r="F2" s="70" t="s">
        <v>11</v>
      </c>
      <c r="G2" s="70" t="s">
        <v>98</v>
      </c>
      <c r="H2" s="70" t="s">
        <v>93</v>
      </c>
      <c r="I2" s="70" t="s">
        <v>98</v>
      </c>
      <c r="J2" s="70" t="s">
        <v>94</v>
      </c>
      <c r="K2" s="73" t="s">
        <v>1</v>
      </c>
      <c r="L2" s="70" t="s">
        <v>6</v>
      </c>
      <c r="M2" s="74" t="s">
        <v>7</v>
      </c>
      <c r="N2" s="70" t="s">
        <v>1</v>
      </c>
      <c r="O2" s="70" t="s">
        <v>1</v>
      </c>
      <c r="P2" s="70" t="s">
        <v>1</v>
      </c>
      <c r="Q2" s="70" t="s">
        <v>1</v>
      </c>
      <c r="R2" s="70" t="s">
        <v>100</v>
      </c>
      <c r="S2" s="70" t="s">
        <v>9</v>
      </c>
      <c r="T2" s="75"/>
      <c r="U2" s="70" t="s">
        <v>1</v>
      </c>
      <c r="V2" s="70" t="s">
        <v>5</v>
      </c>
      <c r="W2" s="70" t="s">
        <v>5</v>
      </c>
      <c r="X2" s="70" t="s">
        <v>111</v>
      </c>
      <c r="Y2" s="77"/>
      <c r="Z2" s="70" t="s">
        <v>8</v>
      </c>
      <c r="AA2" s="70" t="s">
        <v>39</v>
      </c>
      <c r="AB2" s="70" t="s">
        <v>39</v>
      </c>
      <c r="AC2" s="70" t="s">
        <v>39</v>
      </c>
      <c r="AD2" s="70" t="s">
        <v>39</v>
      </c>
      <c r="AE2" s="70" t="s">
        <v>8</v>
      </c>
      <c r="AF2" s="70" t="s">
        <v>8</v>
      </c>
      <c r="AG2" s="70" t="s">
        <v>8</v>
      </c>
      <c r="AH2" s="70" t="s">
        <v>30</v>
      </c>
      <c r="AI2" s="70" t="s">
        <v>130</v>
      </c>
      <c r="AJ2" s="77"/>
      <c r="AK2" s="80" t="s">
        <v>9</v>
      </c>
      <c r="AL2" s="80" t="s">
        <v>9</v>
      </c>
      <c r="AM2" s="80" t="s">
        <v>9</v>
      </c>
      <c r="AN2" s="79"/>
      <c r="AO2" s="70" t="s">
        <v>8</v>
      </c>
      <c r="AP2" s="70" t="s">
        <v>8</v>
      </c>
      <c r="AQ2" s="70" t="s">
        <v>8</v>
      </c>
      <c r="AR2" s="70" t="s">
        <v>8</v>
      </c>
      <c r="AS2" s="70" t="s">
        <v>8</v>
      </c>
      <c r="AT2" s="77"/>
      <c r="AU2" s="70" t="s">
        <v>111</v>
      </c>
      <c r="AV2" s="70" t="s">
        <v>130</v>
      </c>
    </row>
    <row r="3" spans="1:48" x14ac:dyDescent="0.35">
      <c r="B3" s="4"/>
      <c r="C3" s="2"/>
      <c r="E3" s="70"/>
      <c r="F3" s="70"/>
      <c r="G3" s="70"/>
      <c r="H3" s="70"/>
      <c r="I3" s="70"/>
      <c r="J3" s="70"/>
      <c r="K3" s="73"/>
      <c r="L3" s="70"/>
      <c r="M3" s="74"/>
      <c r="N3" s="70"/>
      <c r="O3" s="70"/>
      <c r="P3" s="70"/>
      <c r="Q3" s="70"/>
      <c r="R3" s="70"/>
      <c r="S3" s="70"/>
      <c r="T3" s="75"/>
      <c r="U3" s="70"/>
      <c r="V3" s="70"/>
      <c r="W3" s="70"/>
      <c r="X3" s="70"/>
      <c r="Y3" s="77"/>
      <c r="Z3" s="70"/>
      <c r="AA3" s="70"/>
      <c r="AB3" s="70"/>
      <c r="AC3" s="70"/>
      <c r="AD3" s="70"/>
      <c r="AE3" s="71" t="s">
        <v>128</v>
      </c>
      <c r="AJ3" s="77"/>
      <c r="AL3" s="80"/>
      <c r="AM3" s="80"/>
      <c r="AN3" s="81"/>
      <c r="AT3" s="77"/>
    </row>
    <row r="4" spans="1:48" x14ac:dyDescent="0.35">
      <c r="B4" s="4"/>
      <c r="C4" s="2"/>
      <c r="K4" s="82"/>
      <c r="M4" s="72"/>
      <c r="P4" s="83">
        <f>IF($B$31="on",N4/2+Control!$D$1,7)</f>
        <v>0</v>
      </c>
      <c r="T4" s="77"/>
      <c r="Y4" s="77"/>
      <c r="AJ4" s="77"/>
      <c r="AK4" s="72"/>
      <c r="AN4" s="81"/>
      <c r="AO4" s="72"/>
      <c r="AT4" s="77"/>
    </row>
    <row r="5" spans="1:48" x14ac:dyDescent="0.35">
      <c r="A5" t="s">
        <v>99</v>
      </c>
      <c r="B5" s="4">
        <v>0.1</v>
      </c>
      <c r="C5" s="2" t="s">
        <v>100</v>
      </c>
      <c r="E5" s="71">
        <v>0</v>
      </c>
      <c r="F5" s="71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83">
        <f t="shared" ref="H5:H35" si="0">(($B$5*58.44)+(($G5/1000)*(1000-($B$5*58.44/2.16))))/1000</f>
        <v>1.002978398632</v>
      </c>
      <c r="I5" s="83">
        <f>H5*1000</f>
        <v>1002.978398632</v>
      </c>
      <c r="J5" s="72">
        <f t="shared" ref="J5:J35" si="1">$B$5/($H5-($B$5*58.44/1000))</f>
        <v>0.10028738366382019</v>
      </c>
      <c r="K5" s="82">
        <f t="shared" ref="K5:K35" si="2">(295.68-1.2283*$F5+0.002094*$F5^2-0.00000141*$F5^3)-13*$B$5+1.065*$B$5^2-0.03006*$B$5^3</f>
        <v>86.379984046966257</v>
      </c>
      <c r="L5" s="72">
        <f>(0.0495166+0.6034658*EXP(-0.06653081*$E5)+0.09703832*EXP(0.1447269*$J5)+1.025107*EXP(-0.02062455*$E5+0.1301095*$J5))*0.001</f>
        <v>1.7900100262562676E-3</v>
      </c>
      <c r="M5" s="72">
        <f t="shared" ref="M5:M35" si="3">((5.6+0.27*$E5-0.00015*$E5^2)*$B$5)-((2.36+0.099*$E5)*($B$5^(3/2))/(1+0.214*SQRT($B$5)))</f>
        <v>0.49010053563301115</v>
      </c>
      <c r="N5" s="83">
        <f>-LOG10(6.997844909E-16 + 5.017799566E-16*$E5 - 2.443366453E-17*$E5^2 + 7.194759186E-19*$E5^3)</f>
        <v>15.155035686876243</v>
      </c>
      <c r="O5" s="71">
        <f>10^(-1*$N5)</f>
        <v>6.9978449090000084E-16</v>
      </c>
      <c r="P5" s="83">
        <f>IF($B$31="on",$P$41+($P$41-$N5/2)*LN(P$40/$P$42)*$P$43,7)</f>
        <v>7.5571172578373327</v>
      </c>
      <c r="Q5" s="72">
        <f>10^(-1*P5)</f>
        <v>2.7725714199811738E-8</v>
      </c>
      <c r="R5" s="72">
        <f t="shared" ref="R5:R35" si="4">(2*$B$5+2*$Q5)/2</f>
        <v>0.1000000277257142</v>
      </c>
      <c r="S5" s="71">
        <f t="shared" ref="S5:S35" si="5">(($K5*$B$17*$F5*$B$18)/(2*$B$19*$B$20^2*$R5*1000))^0.5</f>
        <v>9.6589004818342253E-10</v>
      </c>
      <c r="T5" s="77"/>
      <c r="U5" s="72">
        <f t="shared" ref="U5:U35" si="6">((10^-$P5+$B$5*$B$26)*SQRT(8000*$B$19*$B$17*$K5*$B$18*$F5)/(2*$B$20*$B$22*$B$28))*(($B$23+$B$24+$B$5+(10^-$P5)+10^($P5-$N5))/SQRT($R5))</f>
        <v>1.800894793364826E-2</v>
      </c>
      <c r="V5" s="72">
        <f t="shared" ref="V5:V35" si="7">(2*$B$18*$F5*LN($U5))/(3*$B$20)</f>
        <v>-6.3056618480535911E-2</v>
      </c>
      <c r="W5" s="84">
        <f t="shared" ref="W5:W35" si="8">$V5*EXP(-$B$29/$S5)+$B$37</f>
        <v>-9.8561014507874221E-3</v>
      </c>
      <c r="X5" s="85">
        <f>W5*1000</f>
        <v>-9.8561014507874223</v>
      </c>
      <c r="Y5" s="77"/>
      <c r="Z5" s="72">
        <f t="shared" ref="Z5:Z35" si="9">($B$20*$B$32*$B$22*$B$26*$B$5)/(10^-$P5+$B$28*$U5^(2/3)+$B$26*$B$5)</f>
        <v>7.8520606807023942E-10</v>
      </c>
      <c r="AA5" s="72">
        <f t="shared" ref="AA5:AA35" si="10">$B$6+((2*$B$17*$K5*$B$18*$F5)/($L5*$B$20*1))</f>
        <v>7.2112372037814545E-8</v>
      </c>
      <c r="AB5" s="72">
        <f t="shared" ref="AB5:AB35" si="11">$B$7+((2*$B$17*$K5*$B$18*$F5)/($L5*$B$20*1))</f>
        <v>3.8311237203781454E-7</v>
      </c>
      <c r="AC5" s="72">
        <f t="shared" ref="AC5:AC35" si="12">$B$8+((2*$B$17*$K5*$B$18*$F5)/($L5*$B$20*1))</f>
        <v>9.9112372037814562E-8</v>
      </c>
      <c r="AD5" s="72">
        <f t="shared" ref="AD5:AD35" si="13">$B$9+((2*$B$17*$K5*$B$18*$F5)/($L5*$B$20*1))</f>
        <v>2.2511237203781455E-7</v>
      </c>
      <c r="AE5" s="72">
        <f t="shared" ref="AE5:AE35" si="14">(SQRT((2000*$B$19*$B$17*$K5*$B$18*$F5)/($B$5+10^-$P5))*((($AA5*$B$5+$AB5*10^(-1*$P5))*($U5^(-1/3)-1)+($AC5*$B$5+$AD5*10^($P5-$N5))*($U5^(1/3)-1))))</f>
        <v>2.4202888280025661E-9</v>
      </c>
      <c r="AF5" s="72">
        <f>$B$30</f>
        <v>2.4E-9</v>
      </c>
      <c r="AG5" s="72">
        <f>$Z5+$AE5+$AF5</f>
        <v>5.6054948960728055E-9</v>
      </c>
      <c r="AH5" s="84">
        <f t="shared" ref="AH5:AH35" si="15">-1*($B$33*$K5*$B$17*$W5)/($L5*($B$33*$M5+4*$AF5*$B$34*$B$35))</f>
        <v>8.5382991898646415E-9</v>
      </c>
      <c r="AI5" s="84">
        <f>AH5*1000000*1000</f>
        <v>8.5382991898646416</v>
      </c>
      <c r="AJ5" s="77"/>
      <c r="AK5" s="72">
        <f>$B$20^2/(4*PI()*$K5*$B$17*$B$18*$F5)</f>
        <v>7.0821298599630476E-10</v>
      </c>
      <c r="AL5" s="84">
        <f>$B$29</f>
        <v>5.0000000000000001E-9</v>
      </c>
      <c r="AM5" s="84">
        <f>2*S5</f>
        <v>1.9317800963668451E-9</v>
      </c>
      <c r="AN5" s="81"/>
      <c r="AO5" s="72">
        <f>(SQRT((2000*$B$19*$B$17*$K5*$B$18*$F5)/($B$5+10^-$B$13))*((($AA5*$B$5)*($U5^(-1/3)-1))))</f>
        <v>1.1406844228271647E-9</v>
      </c>
      <c r="AP5" s="72">
        <f>(SQRT((2000*$B$19*$B$17*$K5*$B$18*$F5)/($B$5+10^-$P5))*((($AB5*10^(-1*$P5))*($U5^(-1/3)-1))))</f>
        <v>5.5726392714779048E-15</v>
      </c>
      <c r="AQ5" s="72">
        <f>(SQRT((2000*$B$19*$B$17*$K5*$B$18*$F5)/($B$5+10^-$P5))*((($AC5*$B$5)*($U5^(1/3)-1))))</f>
        <v>-1.3629376735747229E-9</v>
      </c>
      <c r="AR5" s="72">
        <f>(SQRT((2000*$B$19*$B$17*$K5*$B$18*$F5)/($B$5+10^-$P5))*((($AD5*10^($P5-$N5))*($U5^(1/3)-1))))</f>
        <v>-7.8132021563651974E-16</v>
      </c>
      <c r="AS5" s="72">
        <f>SUM(AO5:AR5)</f>
        <v>-2.2224845942850231E-10</v>
      </c>
      <c r="AT5" s="77"/>
      <c r="AU5" s="71">
        <v>-10.098803496282359</v>
      </c>
      <c r="AV5" s="84">
        <v>8.7485530047110771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E6" s="71">
        <v>5</v>
      </c>
      <c r="F6" s="71">
        <f t="shared" ref="F6:F35" si="16">E6+273.15</f>
        <v>278.14999999999998</v>
      </c>
      <c r="G6" s="71">
        <f t="shared" ref="G6:G35" si="17">(((((-0.00000000028054253*E6+0.00000010556302)*E6-0.000046170461)*E6-0.0079870401)*E6+16.945176)*E6+999.83952)/(1+0.01687985*E6)</f>
        <v>999.96382124947729</v>
      </c>
      <c r="H6" s="83">
        <f t="shared" si="0"/>
        <v>1.0031023635775413</v>
      </c>
      <c r="I6" s="83">
        <f t="shared" ref="I6:I35" si="18">H6*1000</f>
        <v>1003.1023635775414</v>
      </c>
      <c r="J6" s="72">
        <f t="shared" si="1"/>
        <v>0.10027491736570886</v>
      </c>
      <c r="K6" s="82">
        <f t="shared" si="2"/>
        <v>84.403512173591267</v>
      </c>
      <c r="L6" s="72">
        <f t="shared" ref="L6:L35" si="19">(0.0495166+0.6034658*EXP(-0.06653081*$E6)+0.09703832*EXP(0.1447269*$J6)+1.025107*EXP(-0.02062455*$E6+0.1301095*$J6))*0.001</f>
        <v>1.5174754455915252E-3</v>
      </c>
      <c r="M6" s="72">
        <f t="shared" si="3"/>
        <v>0.61006441916620624</v>
      </c>
      <c r="N6" s="83">
        <f t="shared" ref="N6:N35" si="20">-LOG10(6.997844909E-16 + 5.017799566E-16*$E6 - 2.443366453E-17*$E6^2 + 7.194759186E-19*$E6^3)</f>
        <v>14.570606742437821</v>
      </c>
      <c r="O6" s="71">
        <f t="shared" ref="O6:O35" si="21">10^(-1*$N6)</f>
        <v>2.6877771504749887E-15</v>
      </c>
      <c r="P6" s="83">
        <f t="shared" ref="P6:P35" si="22">IF($B$31="on",$P$41+($P$41-$N6/2)*LN(P$40/$P$42)*$P$43,7)</f>
        <v>7.3418056777768275</v>
      </c>
      <c r="Q6" s="72">
        <f t="shared" ref="Q6:Q35" si="23">10^(-1*P6)</f>
        <v>4.5519168713173643E-8</v>
      </c>
      <c r="R6" s="72">
        <f t="shared" si="4"/>
        <v>0.10000004551916872</v>
      </c>
      <c r="S6" s="71">
        <f t="shared" si="5"/>
        <v>9.6347462719336205E-10</v>
      </c>
      <c r="T6" s="77"/>
      <c r="U6" s="72">
        <f t="shared" si="6"/>
        <v>2.8312287266690064E-2</v>
      </c>
      <c r="V6" s="72">
        <f t="shared" si="7"/>
        <v>-5.6978714010434389E-2</v>
      </c>
      <c r="W6" s="84">
        <f t="shared" si="8"/>
        <v>-9.8176286016179535E-3</v>
      </c>
      <c r="X6" s="85">
        <f t="shared" ref="X6:X35" si="24">W6*1000</f>
        <v>-9.8176286016179528</v>
      </c>
      <c r="Y6" s="77"/>
      <c r="Z6" s="72">
        <f t="shared" si="9"/>
        <v>5.0123460576517451E-10</v>
      </c>
      <c r="AA6" s="72">
        <f t="shared" si="10"/>
        <v>7.5605996791354409E-8</v>
      </c>
      <c r="AB6" s="72">
        <f t="shared" si="11"/>
        <v>3.8660599679135443E-7</v>
      </c>
      <c r="AC6" s="72">
        <f t="shared" si="12"/>
        <v>1.0260599679135441E-7</v>
      </c>
      <c r="AD6" s="72">
        <f t="shared" si="13"/>
        <v>2.2860599679135439E-7</v>
      </c>
      <c r="AE6" s="72">
        <f t="shared" si="14"/>
        <v>1.8798963919760972E-9</v>
      </c>
      <c r="AF6" s="72">
        <f t="shared" ref="AF6:AF35" si="25">$B$30</f>
        <v>2.4E-9</v>
      </c>
      <c r="AG6" s="72">
        <f t="shared" ref="AG6:AG35" si="26">$Z6+$AE6+$AF6</f>
        <v>4.7811309977412712E-9</v>
      </c>
      <c r="AH6" s="84">
        <f t="shared" si="15"/>
        <v>7.884309041029408E-9</v>
      </c>
      <c r="AI6" s="84">
        <f t="shared" ref="AI6:AI35" si="27">AH6*1000000*1000</f>
        <v>7.8843090410294083</v>
      </c>
      <c r="AJ6" s="77"/>
      <c r="AK6" s="72">
        <f t="shared" ref="AK6:AK35" si="28">$B$20^2/(4*PI()*$K6*$B$17*$B$18*$F6)</f>
        <v>7.1176827582211618E-10</v>
      </c>
      <c r="AL6" s="84">
        <f t="shared" ref="AL6:AL35" si="29">$B$29</f>
        <v>5.0000000000000001E-9</v>
      </c>
      <c r="AM6" s="84">
        <f t="shared" ref="AM6:AM35" si="30">2*S6</f>
        <v>1.9269492543867241E-9</v>
      </c>
      <c r="AN6" s="81"/>
      <c r="AO6" s="72">
        <f t="shared" ref="AO6:AO35" si="31">(SQRT((2000*$B$19*$B$17*$K6*$B$18*$F6)/($B$5+10^-$B$13))*((($AA6*$B$5)*($U6^(-1/3)-1))))</f>
        <v>9.6663356578006199E-10</v>
      </c>
      <c r="AP6" s="72">
        <f t="shared" ref="AP6:AP35" si="32">(SQRT((2000*$B$19*$B$17*$K6*$B$18*$F6)/($B$5+10^-$P6))*((($AB6*10^(-1*$P6))*($U6^(-1/3)-1))))</f>
        <v>7.4621638426288433E-15</v>
      </c>
      <c r="AQ6" s="72">
        <f t="shared" ref="AQ6:AQ35" si="33">(SQRT((2000*$B$19*$B$17*$K6*$B$18*$F6)/($B$5+10^-$P6))*((($AC6*$B$5)*($U6^(1/3)-1))))</f>
        <v>-1.3260694434438523E-9</v>
      </c>
      <c r="AR6" s="72">
        <f t="shared" ref="AR6:AR35" si="34">(SQRT((2000*$B$19*$B$17*$K6*$B$18*$F6)/($B$5+10^-$P6))*((($AD6*10^($P6-$N6))*($U6^(1/3)-1))))</f>
        <v>-1.7445365703921108E-15</v>
      </c>
      <c r="AS6" s="72">
        <f t="shared" ref="AS6:AS35" si="35">SUM(AO6:AR6)</f>
        <v>-3.5943016003651807E-10</v>
      </c>
      <c r="AT6" s="77"/>
      <c r="AU6" s="71">
        <v>-10.105308878533998</v>
      </c>
      <c r="AV6" s="84">
        <v>8.1153404248976244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E7" s="71">
        <v>10</v>
      </c>
      <c r="F7" s="71">
        <f t="shared" si="16"/>
        <v>283.14999999999998</v>
      </c>
      <c r="G7" s="71">
        <f t="shared" si="17"/>
        <v>999.69963437234651</v>
      </c>
      <c r="H7" s="83">
        <f t="shared" si="0"/>
        <v>1.0028388914726838</v>
      </c>
      <c r="I7" s="83">
        <f t="shared" si="18"/>
        <v>1002.8388914726838</v>
      </c>
      <c r="J7" s="72">
        <f t="shared" si="1"/>
        <v>0.10030141664245414</v>
      </c>
      <c r="K7" s="82">
        <f t="shared" si="2"/>
        <v>82.47291157521623</v>
      </c>
      <c r="L7" s="72">
        <f t="shared" si="19"/>
        <v>1.3032418825459999E-3</v>
      </c>
      <c r="M7" s="72">
        <f t="shared" si="3"/>
        <v>0.72927830269940142</v>
      </c>
      <c r="N7" s="83">
        <f t="shared" si="20"/>
        <v>14.398625266103792</v>
      </c>
      <c r="O7" s="71">
        <f t="shared" si="21"/>
        <v>3.9936935224999789E-15</v>
      </c>
      <c r="P7" s="83">
        <f t="shared" si="22"/>
        <v>7.278445360388373</v>
      </c>
      <c r="Q7" s="72">
        <f t="shared" si="23"/>
        <v>5.2668947476894279E-8</v>
      </c>
      <c r="R7" s="72">
        <f t="shared" si="4"/>
        <v>0.10000005266894749</v>
      </c>
      <c r="S7" s="71">
        <f t="shared" si="5"/>
        <v>9.609137802255269E-10</v>
      </c>
      <c r="T7" s="77"/>
      <c r="U7" s="72">
        <f t="shared" si="6"/>
        <v>3.2384178478898414E-2</v>
      </c>
      <c r="V7" s="72">
        <f t="shared" si="7"/>
        <v>-5.5816344861700853E-2</v>
      </c>
      <c r="W7" s="84">
        <f t="shared" si="8"/>
        <v>-9.8068753230995207E-3</v>
      </c>
      <c r="X7" s="85">
        <f t="shared" si="24"/>
        <v>-9.8068753230995203</v>
      </c>
      <c r="Y7" s="77"/>
      <c r="Z7" s="72">
        <f t="shared" si="9"/>
        <v>4.3779035399287097E-10</v>
      </c>
      <c r="AA7" s="72">
        <f t="shared" si="10"/>
        <v>7.9340553189668917E-8</v>
      </c>
      <c r="AB7" s="72">
        <f t="shared" si="11"/>
        <v>3.9034055318966892E-7</v>
      </c>
      <c r="AC7" s="72">
        <f t="shared" si="12"/>
        <v>1.0634055318966892E-7</v>
      </c>
      <c r="AD7" s="72">
        <f t="shared" si="13"/>
        <v>2.3234055318966891E-7</v>
      </c>
      <c r="AE7" s="72">
        <f t="shared" si="14"/>
        <v>1.8008180517603146E-9</v>
      </c>
      <c r="AF7" s="72">
        <f t="shared" si="25"/>
        <v>2.4E-9</v>
      </c>
      <c r="AG7" s="72">
        <f t="shared" si="26"/>
        <v>4.6386084057531854E-9</v>
      </c>
      <c r="AH7" s="84">
        <f t="shared" si="15"/>
        <v>7.5015653695761783E-9</v>
      </c>
      <c r="AI7" s="84">
        <f t="shared" si="27"/>
        <v>7.5015653695761788</v>
      </c>
      <c r="AJ7" s="77"/>
      <c r="AK7" s="72">
        <f t="shared" si="28"/>
        <v>7.1556702215296564E-10</v>
      </c>
      <c r="AL7" s="84">
        <f t="shared" si="29"/>
        <v>5.0000000000000001E-9</v>
      </c>
      <c r="AM7" s="84">
        <f t="shared" si="30"/>
        <v>1.9218275604510538E-9</v>
      </c>
      <c r="AN7" s="81"/>
      <c r="AO7" s="72">
        <f t="shared" si="31"/>
        <v>9.4794176152321103E-10</v>
      </c>
      <c r="AP7" s="72">
        <f t="shared" si="32"/>
        <v>8.1466859230927203E-15</v>
      </c>
      <c r="AQ7" s="72">
        <f t="shared" si="33"/>
        <v>-1.3431541878443211E-9</v>
      </c>
      <c r="AR7" s="72">
        <f t="shared" si="34"/>
        <v>-2.225215460209297E-15</v>
      </c>
      <c r="AS7" s="72">
        <f t="shared" si="35"/>
        <v>-3.9520650485064718E-10</v>
      </c>
      <c r="AT7" s="77"/>
      <c r="AU7" s="71">
        <v>-10.111387494381317</v>
      </c>
      <c r="AV7" s="84">
        <v>7.7344977290491004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E8" s="71">
        <v>15</v>
      </c>
      <c r="F8" s="71">
        <f t="shared" si="16"/>
        <v>288.14999999999998</v>
      </c>
      <c r="G8" s="71">
        <f t="shared" si="17"/>
        <v>999.09960879081439</v>
      </c>
      <c r="H8" s="83">
        <f t="shared" si="0"/>
        <v>1.0022404892936971</v>
      </c>
      <c r="I8" s="83">
        <f t="shared" si="18"/>
        <v>1002.2404892936971</v>
      </c>
      <c r="J8" s="72">
        <f t="shared" si="1"/>
        <v>0.10036165429575702</v>
      </c>
      <c r="K8" s="82">
        <f t="shared" si="2"/>
        <v>80.587124751841301</v>
      </c>
      <c r="L8" s="72">
        <f t="shared" si="19"/>
        <v>1.1326554069154119E-3</v>
      </c>
      <c r="M8" s="72">
        <f t="shared" si="3"/>
        <v>0.84774218623259678</v>
      </c>
      <c r="N8" s="83">
        <f t="shared" si="20"/>
        <v>14.287591032741444</v>
      </c>
      <c r="O8" s="71">
        <f t="shared" si="21"/>
        <v>5.1571405459249914E-15</v>
      </c>
      <c r="P8" s="83">
        <f t="shared" si="22"/>
        <v>7.2375388371000264</v>
      </c>
      <c r="Q8" s="72">
        <f t="shared" si="23"/>
        <v>5.7871023445131709E-8</v>
      </c>
      <c r="R8" s="72">
        <f t="shared" si="4"/>
        <v>0.10000005787102345</v>
      </c>
      <c r="S8" s="71">
        <f t="shared" si="5"/>
        <v>9.5821420830319312E-10</v>
      </c>
      <c r="T8" s="77"/>
      <c r="U8" s="72">
        <f t="shared" si="6"/>
        <v>3.5302125268309212E-2</v>
      </c>
      <c r="V8" s="72">
        <f t="shared" si="7"/>
        <v>-5.5373298957316998E-2</v>
      </c>
      <c r="W8" s="84">
        <f t="shared" si="8"/>
        <v>-9.8000091153544831E-3</v>
      </c>
      <c r="X8" s="85">
        <f t="shared" si="24"/>
        <v>-9.8000091153544826</v>
      </c>
      <c r="Y8" s="77"/>
      <c r="Z8" s="72">
        <f t="shared" si="9"/>
        <v>4.0091252916455292E-10</v>
      </c>
      <c r="AA8" s="72">
        <f t="shared" si="10"/>
        <v>8.3281740974370137E-8</v>
      </c>
      <c r="AB8" s="72">
        <f t="shared" si="11"/>
        <v>3.9428174097437013E-7</v>
      </c>
      <c r="AC8" s="72">
        <f t="shared" si="12"/>
        <v>1.1028174097437013E-7</v>
      </c>
      <c r="AD8" s="72">
        <f t="shared" si="13"/>
        <v>2.3628174097437012E-7</v>
      </c>
      <c r="AE8" s="72">
        <f t="shared" si="14"/>
        <v>1.7838767055200383E-9</v>
      </c>
      <c r="AF8" s="72">
        <f t="shared" si="25"/>
        <v>2.4E-9</v>
      </c>
      <c r="AG8" s="72">
        <f t="shared" si="26"/>
        <v>4.5847892346845913E-9</v>
      </c>
      <c r="AH8" s="84">
        <f t="shared" si="15"/>
        <v>7.2543421258418989E-9</v>
      </c>
      <c r="AI8" s="84">
        <f t="shared" si="27"/>
        <v>7.254342125841899</v>
      </c>
      <c r="AJ8" s="77"/>
      <c r="AK8" s="72">
        <f t="shared" si="28"/>
        <v>7.1960459080647344E-10</v>
      </c>
      <c r="AL8" s="84">
        <f t="shared" si="29"/>
        <v>5.0000000000000001E-9</v>
      </c>
      <c r="AM8" s="84">
        <f t="shared" si="30"/>
        <v>1.9164284166063862E-9</v>
      </c>
      <c r="AN8" s="81"/>
      <c r="AO8" s="72">
        <f t="shared" si="31"/>
        <v>9.5094614225433733E-10</v>
      </c>
      <c r="AP8" s="72">
        <f t="shared" si="32"/>
        <v>8.6411226796247718E-15</v>
      </c>
      <c r="AQ8" s="72">
        <f t="shared" si="33"/>
        <v>-1.3700599568338092E-9</v>
      </c>
      <c r="AR8" s="72">
        <f t="shared" si="34"/>
        <v>-2.6158565624738281E-15</v>
      </c>
      <c r="AS8" s="72">
        <f t="shared" si="35"/>
        <v>-4.1910778931335483E-10</v>
      </c>
      <c r="AT8" s="77"/>
      <c r="AU8" s="71">
        <v>-10.117039413035938</v>
      </c>
      <c r="AV8" s="84">
        <v>7.4890222757481855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E9" s="71">
        <v>20</v>
      </c>
      <c r="F9" s="71">
        <f t="shared" si="16"/>
        <v>293.14999999999998</v>
      </c>
      <c r="G9" s="71">
        <f t="shared" si="17"/>
        <v>998.20413220058367</v>
      </c>
      <c r="H9" s="83">
        <f t="shared" si="0"/>
        <v>1.0013474354651299</v>
      </c>
      <c r="I9" s="83">
        <f t="shared" si="18"/>
        <v>1001.3474354651299</v>
      </c>
      <c r="J9" s="72">
        <f t="shared" si="1"/>
        <v>0.10045168749545993</v>
      </c>
      <c r="K9" s="82">
        <f t="shared" si="2"/>
        <v>78.74509420346628</v>
      </c>
      <c r="L9" s="72">
        <f t="shared" si="19"/>
        <v>9.9502819174770909E-4</v>
      </c>
      <c r="M9" s="72">
        <f t="shared" si="3"/>
        <v>0.96545606976579179</v>
      </c>
      <c r="N9" s="83">
        <f t="shared" si="20"/>
        <v>14.172777768292415</v>
      </c>
      <c r="O9" s="71">
        <f t="shared" si="21"/>
        <v>6.7177251596999975E-15</v>
      </c>
      <c r="P9" s="83">
        <f t="shared" si="22"/>
        <v>7.1952400673082959</v>
      </c>
      <c r="Q9" s="72">
        <f t="shared" si="23"/>
        <v>6.3791076732935601E-8</v>
      </c>
      <c r="R9" s="72">
        <f t="shared" si="4"/>
        <v>0.10000006379107673</v>
      </c>
      <c r="S9" s="71">
        <f t="shared" si="5"/>
        <v>9.5538221780566543E-10</v>
      </c>
      <c r="T9" s="77"/>
      <c r="U9" s="72">
        <f t="shared" si="6"/>
        <v>3.8611882429379699E-2</v>
      </c>
      <c r="V9" s="72">
        <f t="shared" si="7"/>
        <v>-5.4824339531395469E-2</v>
      </c>
      <c r="W9" s="84">
        <f t="shared" si="8"/>
        <v>-9.7924758293978821E-3</v>
      </c>
      <c r="X9" s="85">
        <f t="shared" si="24"/>
        <v>-9.7924758293978815</v>
      </c>
      <c r="Y9" s="77"/>
      <c r="Z9" s="72">
        <f t="shared" si="9"/>
        <v>3.6586521622213152E-10</v>
      </c>
      <c r="AA9" s="72">
        <f t="shared" si="10"/>
        <v>8.739830386384847E-8</v>
      </c>
      <c r="AB9" s="72">
        <f t="shared" si="11"/>
        <v>3.9839830386384846E-7</v>
      </c>
      <c r="AC9" s="72">
        <f t="shared" si="12"/>
        <v>1.1439830386384847E-7</v>
      </c>
      <c r="AD9" s="72">
        <f t="shared" si="13"/>
        <v>2.4039830386384845E-7</v>
      </c>
      <c r="AE9" s="72">
        <f t="shared" si="14"/>
        <v>1.7594905180461168E-9</v>
      </c>
      <c r="AF9" s="72">
        <f t="shared" si="25"/>
        <v>2.4E-9</v>
      </c>
      <c r="AG9" s="72">
        <f t="shared" si="26"/>
        <v>4.5253557342682482E-9</v>
      </c>
      <c r="AH9" s="84">
        <f t="shared" si="15"/>
        <v>7.082641675891661E-9</v>
      </c>
      <c r="AI9" s="84">
        <f t="shared" si="27"/>
        <v>7.0826416758916606</v>
      </c>
      <c r="AJ9" s="77"/>
      <c r="AK9" s="72">
        <f t="shared" si="28"/>
        <v>7.2387704489909715E-10</v>
      </c>
      <c r="AL9" s="84">
        <f t="shared" si="29"/>
        <v>5.0000000000000001E-9</v>
      </c>
      <c r="AM9" s="84">
        <f t="shared" si="30"/>
        <v>1.9107644356113309E-9</v>
      </c>
      <c r="AN9" s="81"/>
      <c r="AO9" s="72">
        <f t="shared" si="31"/>
        <v>9.5142195100848662E-10</v>
      </c>
      <c r="AP9" s="72">
        <f t="shared" si="32"/>
        <v>9.1757966492592497E-15</v>
      </c>
      <c r="AQ9" s="72">
        <f t="shared" si="33"/>
        <v>-1.3960241907376794E-9</v>
      </c>
      <c r="AR9" s="72">
        <f t="shared" si="34"/>
        <v>-3.0893495970340432E-15</v>
      </c>
      <c r="AS9" s="72">
        <f t="shared" si="35"/>
        <v>-4.4459615328214065E-10</v>
      </c>
      <c r="AT9" s="77"/>
      <c r="AU9" s="71">
        <v>-10.122264920574315</v>
      </c>
      <c r="AV9" s="84">
        <v>7.3211717663914575</v>
      </c>
    </row>
    <row r="10" spans="1:48" x14ac:dyDescent="0.35">
      <c r="B10" s="4"/>
      <c r="C10" s="2"/>
      <c r="E10" s="71">
        <v>25</v>
      </c>
      <c r="F10" s="71">
        <f t="shared" si="16"/>
        <v>298.14999999999998</v>
      </c>
      <c r="G10" s="71">
        <f t="shared" si="17"/>
        <v>997.04489541791554</v>
      </c>
      <c r="H10" s="83">
        <f t="shared" si="0"/>
        <v>1.0001913350619793</v>
      </c>
      <c r="I10" s="83">
        <f t="shared" si="18"/>
        <v>1000.1913350619793</v>
      </c>
      <c r="J10" s="72">
        <f t="shared" si="1"/>
        <v>0.1005684799203156</v>
      </c>
      <c r="K10" s="82">
        <f t="shared" si="2"/>
        <v>76.945762430091278</v>
      </c>
      <c r="L10" s="72">
        <f t="shared" si="19"/>
        <v>8.8253387204650566E-4</v>
      </c>
      <c r="M10" s="72">
        <f t="shared" si="3"/>
        <v>1.0824199532989869</v>
      </c>
      <c r="N10" s="83">
        <f t="shared" si="20"/>
        <v>14.035502101212563</v>
      </c>
      <c r="O10" s="71">
        <f t="shared" si="21"/>
        <v>9.215054302775012E-15</v>
      </c>
      <c r="P10" s="83">
        <f t="shared" si="22"/>
        <v>7.1446658425644749</v>
      </c>
      <c r="Q10" s="72">
        <f t="shared" si="23"/>
        <v>7.1669464156079142E-8</v>
      </c>
      <c r="R10" s="72">
        <f t="shared" si="4"/>
        <v>0.10000007166946416</v>
      </c>
      <c r="S10" s="71">
        <f t="shared" si="5"/>
        <v>9.5242370115295499E-10</v>
      </c>
      <c r="T10" s="77"/>
      <c r="U10" s="72">
        <f t="shared" si="6"/>
        <v>4.30217096567116E-2</v>
      </c>
      <c r="V10" s="72">
        <f t="shared" si="7"/>
        <v>-5.3906408656447413E-2</v>
      </c>
      <c r="W10" s="84">
        <f t="shared" si="8"/>
        <v>-9.7829415363212338E-3</v>
      </c>
      <c r="X10" s="85">
        <f t="shared" si="24"/>
        <v>-9.7829415363212338</v>
      </c>
      <c r="Y10" s="77"/>
      <c r="Z10" s="72">
        <f t="shared" si="9"/>
        <v>3.2776072615597005E-10</v>
      </c>
      <c r="AA10" s="72">
        <f t="shared" si="10"/>
        <v>9.1663640339729203E-8</v>
      </c>
      <c r="AB10" s="72">
        <f t="shared" si="11"/>
        <v>4.0266364033972919E-7</v>
      </c>
      <c r="AC10" s="72">
        <f t="shared" si="12"/>
        <v>1.1866364033972921E-7</v>
      </c>
      <c r="AD10" s="72">
        <f t="shared" si="13"/>
        <v>2.4466364033972918E-7</v>
      </c>
      <c r="AE10" s="72">
        <f t="shared" si="14"/>
        <v>1.7062737903292444E-9</v>
      </c>
      <c r="AF10" s="72">
        <f t="shared" si="25"/>
        <v>2.4E-9</v>
      </c>
      <c r="AG10" s="72">
        <f t="shared" si="26"/>
        <v>4.4340345164852146E-9</v>
      </c>
      <c r="AH10" s="84">
        <f t="shared" si="15"/>
        <v>6.9552704250630351E-9</v>
      </c>
      <c r="AI10" s="84">
        <f t="shared" si="27"/>
        <v>6.9552704250630351</v>
      </c>
      <c r="AJ10" s="77"/>
      <c r="AK10" s="72">
        <f t="shared" si="28"/>
        <v>7.2838113524223437E-10</v>
      </c>
      <c r="AL10" s="84">
        <f t="shared" si="29"/>
        <v>5.0000000000000001E-9</v>
      </c>
      <c r="AM10" s="84">
        <f t="shared" si="30"/>
        <v>1.90484740230591E-9</v>
      </c>
      <c r="AN10" s="81"/>
      <c r="AO10" s="72">
        <f t="shared" si="31"/>
        <v>9.4156143062056368E-10</v>
      </c>
      <c r="AP10" s="72">
        <f t="shared" si="32"/>
        <v>9.8316026765946825E-15</v>
      </c>
      <c r="AQ10" s="72">
        <f t="shared" si="33"/>
        <v>-1.4165371493735772E-9</v>
      </c>
      <c r="AR10" s="72">
        <f t="shared" si="34"/>
        <v>-3.7552899573349016E-15</v>
      </c>
      <c r="AS10" s="72">
        <f t="shared" si="35"/>
        <v>-4.7496964244029418E-10</v>
      </c>
      <c r="AT10" s="77"/>
      <c r="AU10" s="71">
        <v>-10.127064460871541</v>
      </c>
      <c r="AV10" s="84">
        <v>7.1999300797796897</v>
      </c>
    </row>
    <row r="11" spans="1:48" x14ac:dyDescent="0.35">
      <c r="B11" s="4"/>
      <c r="C11" s="2"/>
      <c r="E11" s="71">
        <v>30</v>
      </c>
      <c r="F11" s="71">
        <f t="shared" si="16"/>
        <v>303.14999999999998</v>
      </c>
      <c r="G11" s="71">
        <f t="shared" si="17"/>
        <v>995.64725885447808</v>
      </c>
      <c r="H11" s="83">
        <f t="shared" si="0"/>
        <v>0.99879747988191081</v>
      </c>
      <c r="I11" s="83">
        <f t="shared" si="18"/>
        <v>998.79747988191082</v>
      </c>
      <c r="J11" s="72">
        <f t="shared" si="1"/>
        <v>0.10070965259308293</v>
      </c>
      <c r="K11" s="82">
        <f t="shared" si="2"/>
        <v>75.188071931716266</v>
      </c>
      <c r="L11" s="72">
        <f t="shared" si="19"/>
        <v>7.8941377122841152E-4</v>
      </c>
      <c r="M11" s="72">
        <f t="shared" si="3"/>
        <v>1.1986338368321823</v>
      </c>
      <c r="N11" s="83">
        <f t="shared" si="20"/>
        <v>13.879796860721664</v>
      </c>
      <c r="O11" s="71">
        <f t="shared" si="21"/>
        <v>1.3188734914099951E-14</v>
      </c>
      <c r="P11" s="83">
        <f t="shared" si="22"/>
        <v>7.087301912059611</v>
      </c>
      <c r="Q11" s="72">
        <f t="shared" si="23"/>
        <v>8.1789600697522008E-8</v>
      </c>
      <c r="R11" s="72">
        <f t="shared" si="4"/>
        <v>0.10000008178960071</v>
      </c>
      <c r="S11" s="71">
        <f t="shared" si="5"/>
        <v>9.493441362685078E-10</v>
      </c>
      <c r="T11" s="77"/>
      <c r="U11" s="72">
        <f t="shared" si="6"/>
        <v>4.8682005440187644E-2</v>
      </c>
      <c r="V11" s="72">
        <f t="shared" si="7"/>
        <v>-5.2656986847766374E-2</v>
      </c>
      <c r="W11" s="84">
        <f t="shared" si="8"/>
        <v>-9.7717167635554582E-3</v>
      </c>
      <c r="X11" s="85">
        <f t="shared" si="24"/>
        <v>-9.7717167635554585</v>
      </c>
      <c r="Y11" s="77"/>
      <c r="Z11" s="72">
        <f t="shared" si="9"/>
        <v>2.8911364783111431E-10</v>
      </c>
      <c r="AA11" s="72">
        <f t="shared" si="10"/>
        <v>9.6056120938680756E-8</v>
      </c>
      <c r="AB11" s="72">
        <f t="shared" si="11"/>
        <v>4.0705612093868075E-7</v>
      </c>
      <c r="AC11" s="72">
        <f t="shared" si="12"/>
        <v>1.2305612093868075E-7</v>
      </c>
      <c r="AD11" s="72">
        <f t="shared" si="13"/>
        <v>2.4905612093868074E-7</v>
      </c>
      <c r="AE11" s="72">
        <f t="shared" si="14"/>
        <v>1.628189188455525E-9</v>
      </c>
      <c r="AF11" s="72">
        <f t="shared" si="25"/>
        <v>2.4E-9</v>
      </c>
      <c r="AG11" s="72">
        <f t="shared" si="26"/>
        <v>4.3173028362866388E-9</v>
      </c>
      <c r="AH11" s="84">
        <f t="shared" si="15"/>
        <v>6.855317648634661E-9</v>
      </c>
      <c r="AI11" s="84">
        <f t="shared" si="27"/>
        <v>6.855317648634661</v>
      </c>
      <c r="AJ11" s="77"/>
      <c r="AK11" s="72">
        <f t="shared" si="28"/>
        <v>7.3311429751735976E-10</v>
      </c>
      <c r="AL11" s="84">
        <f t="shared" si="29"/>
        <v>5.0000000000000001E-9</v>
      </c>
      <c r="AM11" s="84">
        <f t="shared" si="30"/>
        <v>1.8986882725370156E-9</v>
      </c>
      <c r="AN11" s="81"/>
      <c r="AO11" s="72">
        <f t="shared" si="31"/>
        <v>9.223791879460673E-10</v>
      </c>
      <c r="AP11" s="72">
        <f t="shared" si="32"/>
        <v>1.0603103320795014E-14</v>
      </c>
      <c r="AQ11" s="72">
        <f t="shared" si="33"/>
        <v>-1.4310011742122055E-9</v>
      </c>
      <c r="AR11" s="72">
        <f t="shared" si="34"/>
        <v>-4.6702382911275034E-15</v>
      </c>
      <c r="AS11" s="72">
        <f t="shared" si="35"/>
        <v>-5.0861605340110853E-10</v>
      </c>
      <c r="AT11" s="77"/>
      <c r="AU11" s="71">
        <v>-10.131438575537089</v>
      </c>
      <c r="AV11" s="84">
        <v>7.1076818304737097</v>
      </c>
    </row>
    <row r="12" spans="1:48" x14ac:dyDescent="0.35">
      <c r="B12" s="4"/>
      <c r="C12" s="2"/>
      <c r="E12" s="71">
        <v>35</v>
      </c>
      <c r="F12" s="71">
        <f t="shared" si="16"/>
        <v>308.14999999999998</v>
      </c>
      <c r="G12" s="71">
        <f t="shared" si="17"/>
        <v>994.03186567551825</v>
      </c>
      <c r="H12" s="83">
        <f t="shared" si="0"/>
        <v>0.99718645723894062</v>
      </c>
      <c r="I12" s="83">
        <f t="shared" si="18"/>
        <v>997.18645723894065</v>
      </c>
      <c r="J12" s="72">
        <f t="shared" si="1"/>
        <v>0.10087331503839472</v>
      </c>
      <c r="K12" s="82">
        <f t="shared" si="2"/>
        <v>73.470965208341255</v>
      </c>
      <c r="L12" s="72">
        <f t="shared" si="19"/>
        <v>7.1140619011580844E-4</v>
      </c>
      <c r="M12" s="72">
        <f t="shared" si="3"/>
        <v>1.3140977203653772</v>
      </c>
      <c r="N12" s="83">
        <f t="shared" si="20"/>
        <v>13.717188217917446</v>
      </c>
      <c r="O12" s="71">
        <f t="shared" si="21"/>
        <v>1.9178373932624932E-14</v>
      </c>
      <c r="P12" s="83">
        <f t="shared" si="22"/>
        <v>7.027394674153534</v>
      </c>
      <c r="Q12" s="72">
        <f t="shared" si="23"/>
        <v>9.3886970536325416E-8</v>
      </c>
      <c r="R12" s="72">
        <f t="shared" si="4"/>
        <v>0.10000009388697054</v>
      </c>
      <c r="S12" s="71">
        <f t="shared" si="5"/>
        <v>9.4614858520239382E-10</v>
      </c>
      <c r="T12" s="77"/>
      <c r="U12" s="72">
        <f t="shared" si="6"/>
        <v>5.5427279309734616E-2</v>
      </c>
      <c r="V12" s="72">
        <f t="shared" si="7"/>
        <v>-5.1227478911175926E-2</v>
      </c>
      <c r="W12" s="84">
        <f t="shared" si="8"/>
        <v>-9.7596797483940761E-3</v>
      </c>
      <c r="X12" s="85">
        <f t="shared" si="24"/>
        <v>-9.7596797483940758</v>
      </c>
      <c r="Y12" s="77"/>
      <c r="Z12" s="72">
        <f t="shared" si="9"/>
        <v>2.5342563066033445E-10</v>
      </c>
      <c r="AA12" s="72">
        <f t="shared" si="10"/>
        <v>1.0055843829793621E-7</v>
      </c>
      <c r="AB12" s="72">
        <f t="shared" si="11"/>
        <v>4.1155843829793623E-7</v>
      </c>
      <c r="AC12" s="72">
        <f t="shared" si="12"/>
        <v>1.2755843829793623E-7</v>
      </c>
      <c r="AD12" s="72">
        <f t="shared" si="13"/>
        <v>2.5355843829793622E-7</v>
      </c>
      <c r="AE12" s="72">
        <f t="shared" si="14"/>
        <v>1.5381935097180414E-9</v>
      </c>
      <c r="AF12" s="72">
        <f t="shared" si="25"/>
        <v>2.4E-9</v>
      </c>
      <c r="AG12" s="72">
        <f t="shared" si="26"/>
        <v>4.1916191403783763E-9</v>
      </c>
      <c r="AH12" s="84">
        <f t="shared" si="15"/>
        <v>6.7732430841137195E-9</v>
      </c>
      <c r="AI12" s="84">
        <f t="shared" si="27"/>
        <v>6.7732430841137194</v>
      </c>
      <c r="AJ12" s="77"/>
      <c r="AK12" s="72">
        <f t="shared" si="28"/>
        <v>7.3807465603252362E-10</v>
      </c>
      <c r="AL12" s="84">
        <f t="shared" si="29"/>
        <v>5.0000000000000001E-9</v>
      </c>
      <c r="AM12" s="84">
        <f t="shared" si="30"/>
        <v>1.8922971704047876E-9</v>
      </c>
      <c r="AN12" s="81"/>
      <c r="AO12" s="72">
        <f t="shared" si="31"/>
        <v>8.9819307127201446E-10</v>
      </c>
      <c r="AP12" s="72">
        <f t="shared" si="32"/>
        <v>1.1446801603709692E-14</v>
      </c>
      <c r="AQ12" s="72">
        <f t="shared" si="33"/>
        <v>-1.4407800951274838E-9</v>
      </c>
      <c r="AR12" s="72">
        <f t="shared" si="34"/>
        <v>-5.8502312163235999E-15</v>
      </c>
      <c r="AS12" s="72">
        <f t="shared" si="35"/>
        <v>-5.4258142728508194E-10</v>
      </c>
      <c r="AT12" s="77"/>
      <c r="AU12" s="71">
        <v>-10.135387842864413</v>
      </c>
      <c r="AV12" s="84">
        <v>7.033988010817505</v>
      </c>
    </row>
    <row r="13" spans="1:48" x14ac:dyDescent="0.35">
      <c r="B13" s="2"/>
      <c r="C13" s="2"/>
      <c r="E13" s="71">
        <v>40</v>
      </c>
      <c r="F13" s="71">
        <f t="shared" si="16"/>
        <v>313.14999999999998</v>
      </c>
      <c r="G13" s="71">
        <f t="shared" si="17"/>
        <v>992.21576731538448</v>
      </c>
      <c r="H13" s="83">
        <f t="shared" si="0"/>
        <v>0.99537527243381463</v>
      </c>
      <c r="I13" s="83">
        <f t="shared" si="18"/>
        <v>995.37527243381464</v>
      </c>
      <c r="J13" s="72">
        <f t="shared" si="1"/>
        <v>0.10105794812734285</v>
      </c>
      <c r="K13" s="82">
        <f t="shared" si="2"/>
        <v>71.793384759966273</v>
      </c>
      <c r="L13" s="72">
        <f t="shared" si="19"/>
        <v>6.4533578661310812E-4</v>
      </c>
      <c r="M13" s="72">
        <f t="shared" si="3"/>
        <v>1.4288116038985723</v>
      </c>
      <c r="N13" s="83">
        <f t="shared" si="20"/>
        <v>13.557150715817892</v>
      </c>
      <c r="O13" s="71">
        <f t="shared" si="21"/>
        <v>2.7723578297299922E-14</v>
      </c>
      <c r="P13" s="83">
        <f t="shared" si="22"/>
        <v>6.9684346794888237</v>
      </c>
      <c r="Q13" s="72">
        <f t="shared" si="23"/>
        <v>1.0753883331252261E-7</v>
      </c>
      <c r="R13" s="72">
        <f t="shared" si="4"/>
        <v>0.10000010753883332</v>
      </c>
      <c r="S13" s="71">
        <f t="shared" si="5"/>
        <v>9.4284169178775248E-10</v>
      </c>
      <c r="T13" s="77"/>
      <c r="U13" s="72">
        <f t="shared" si="6"/>
        <v>6.3003270075911277E-2</v>
      </c>
      <c r="V13" s="72">
        <f t="shared" si="7"/>
        <v>-4.9753049196286349E-2</v>
      </c>
      <c r="W13" s="84">
        <f t="shared" si="8"/>
        <v>-9.7475740732856104E-3</v>
      </c>
      <c r="X13" s="85">
        <f t="shared" si="24"/>
        <v>-9.7475740732856107</v>
      </c>
      <c r="Y13" s="77"/>
      <c r="Z13" s="72">
        <f t="shared" si="9"/>
        <v>2.2246423389774233E-10</v>
      </c>
      <c r="AA13" s="72">
        <f t="shared" si="10"/>
        <v>1.0515639610324627E-7</v>
      </c>
      <c r="AB13" s="72">
        <f t="shared" si="11"/>
        <v>4.1615639610324627E-7</v>
      </c>
      <c r="AC13" s="72">
        <f t="shared" si="12"/>
        <v>1.3215639610324626E-7</v>
      </c>
      <c r="AD13" s="72">
        <f t="shared" si="13"/>
        <v>2.5815639610324625E-7</v>
      </c>
      <c r="AE13" s="72">
        <f t="shared" si="14"/>
        <v>1.4470411612695305E-9</v>
      </c>
      <c r="AF13" s="72">
        <f t="shared" si="25"/>
        <v>2.4E-9</v>
      </c>
      <c r="AG13" s="72">
        <f t="shared" si="26"/>
        <v>4.0695053951672731E-9</v>
      </c>
      <c r="AH13" s="84">
        <f t="shared" si="15"/>
        <v>6.7032792490542482E-9</v>
      </c>
      <c r="AI13" s="84">
        <f t="shared" si="27"/>
        <v>6.7032792490542477</v>
      </c>
      <c r="AJ13" s="77"/>
      <c r="AK13" s="72">
        <f t="shared" si="28"/>
        <v>7.4326103394446763E-10</v>
      </c>
      <c r="AL13" s="84">
        <f t="shared" si="29"/>
        <v>5.0000000000000001E-9</v>
      </c>
      <c r="AM13" s="84">
        <f t="shared" si="30"/>
        <v>1.885683383575505E-9</v>
      </c>
      <c r="AN13" s="81"/>
      <c r="AO13" s="72">
        <f t="shared" si="31"/>
        <v>8.7273714280468367E-10</v>
      </c>
      <c r="AP13" s="72">
        <f t="shared" si="32"/>
        <v>1.2318725257031233E-14</v>
      </c>
      <c r="AQ13" s="72">
        <f t="shared" si="33"/>
        <v>-1.4475039548572817E-9</v>
      </c>
      <c r="AR13" s="72">
        <f t="shared" si="34"/>
        <v>-7.289511498017543E-15</v>
      </c>
      <c r="AS13" s="72">
        <f t="shared" si="35"/>
        <v>-5.7476178283883905E-10</v>
      </c>
      <c r="AT13" s="77"/>
      <c r="AU13" s="71">
        <v>-10.138912815835132</v>
      </c>
      <c r="AV13" s="84">
        <v>6.972400336876567</v>
      </c>
    </row>
    <row r="14" spans="1:48" x14ac:dyDescent="0.35">
      <c r="B14" s="3"/>
      <c r="C14" s="2"/>
      <c r="E14" s="71">
        <v>45</v>
      </c>
      <c r="F14" s="71">
        <f t="shared" si="16"/>
        <v>318.14999999999998</v>
      </c>
      <c r="G14" s="71">
        <f t="shared" si="17"/>
        <v>990.21322507955676</v>
      </c>
      <c r="H14" s="83">
        <f t="shared" si="0"/>
        <v>0.99337814818725823</v>
      </c>
      <c r="I14" s="83">
        <f t="shared" si="18"/>
        <v>993.37814818725826</v>
      </c>
      <c r="J14" s="72">
        <f t="shared" si="1"/>
        <v>0.10126232108890862</v>
      </c>
      <c r="K14" s="82">
        <f t="shared" si="2"/>
        <v>70.154273086591232</v>
      </c>
      <c r="L14" s="72">
        <f t="shared" si="19"/>
        <v>5.8881788042947471E-4</v>
      </c>
      <c r="M14" s="72">
        <f t="shared" si="3"/>
        <v>1.5427754874317676</v>
      </c>
      <c r="N14" s="83">
        <f t="shared" si="20"/>
        <v>13.404901273924571</v>
      </c>
      <c r="O14" s="71">
        <f t="shared" si="21"/>
        <v>3.9363954947074921E-14</v>
      </c>
      <c r="P14" s="83">
        <f t="shared" si="22"/>
        <v>6.9123439122375876</v>
      </c>
      <c r="Q14" s="72">
        <f t="shared" si="23"/>
        <v>1.2236468252503526E-7</v>
      </c>
      <c r="R14" s="72">
        <f t="shared" si="4"/>
        <v>0.10000012236468253</v>
      </c>
      <c r="S14" s="71">
        <f t="shared" si="5"/>
        <v>9.3942767918462732E-10</v>
      </c>
      <c r="T14" s="77"/>
      <c r="U14" s="72">
        <f t="shared" si="6"/>
        <v>7.1182467628338908E-2</v>
      </c>
      <c r="V14" s="72">
        <f t="shared" si="7"/>
        <v>-4.8315698936268678E-2</v>
      </c>
      <c r="W14" s="84">
        <f t="shared" si="8"/>
        <v>-9.7358326240494023E-3</v>
      </c>
      <c r="X14" s="85">
        <f t="shared" si="24"/>
        <v>-9.7358326240494026</v>
      </c>
      <c r="Y14" s="77"/>
      <c r="Z14" s="72">
        <f t="shared" si="9"/>
        <v>1.964254690293432E-10</v>
      </c>
      <c r="AA14" s="72">
        <f t="shared" si="10"/>
        <v>1.0983749835394485E-7</v>
      </c>
      <c r="AB14" s="72">
        <f t="shared" si="11"/>
        <v>4.2083749835394487E-7</v>
      </c>
      <c r="AC14" s="72">
        <f t="shared" si="12"/>
        <v>1.3683749835394487E-7</v>
      </c>
      <c r="AD14" s="72">
        <f t="shared" si="13"/>
        <v>2.6283749835394486E-7</v>
      </c>
      <c r="AE14" s="72">
        <f t="shared" si="14"/>
        <v>1.3606000851216035E-9</v>
      </c>
      <c r="AF14" s="72">
        <f t="shared" si="25"/>
        <v>2.4E-9</v>
      </c>
      <c r="AG14" s="72">
        <f t="shared" si="26"/>
        <v>3.9570255541509472E-9</v>
      </c>
      <c r="AH14" s="84">
        <f t="shared" si="15"/>
        <v>6.6416384463838258E-9</v>
      </c>
      <c r="AI14" s="84">
        <f t="shared" si="27"/>
        <v>6.6416384463838254</v>
      </c>
      <c r="AJ14" s="77"/>
      <c r="AK14" s="72">
        <f t="shared" si="28"/>
        <v>7.4867296990875945E-10</v>
      </c>
      <c r="AL14" s="84">
        <f t="shared" si="29"/>
        <v>5.0000000000000001E-9</v>
      </c>
      <c r="AM14" s="84">
        <f t="shared" si="30"/>
        <v>1.8788553583692546E-9</v>
      </c>
      <c r="AN14" s="81"/>
      <c r="AO14" s="72">
        <f t="shared" si="31"/>
        <v>8.4814031975216998E-10</v>
      </c>
      <c r="AP14" s="72">
        <f t="shared" si="32"/>
        <v>1.3188143731002249E-14</v>
      </c>
      <c r="AQ14" s="72">
        <f t="shared" si="33"/>
        <v>-1.4523656178725514E-9</v>
      </c>
      <c r="AR14" s="72">
        <f t="shared" si="34"/>
        <v>-8.9743044073163882E-15</v>
      </c>
      <c r="AS14" s="72">
        <f t="shared" si="35"/>
        <v>-6.0422108428105771E-10</v>
      </c>
      <c r="AT14" s="77"/>
      <c r="AU14" s="71">
        <v>-10.142013959246786</v>
      </c>
      <c r="AV14" s="84">
        <v>6.9187316994750088</v>
      </c>
    </row>
    <row r="15" spans="1:48" x14ac:dyDescent="0.35">
      <c r="B15" s="6"/>
      <c r="C15" s="2"/>
      <c r="E15" s="71">
        <v>50</v>
      </c>
      <c r="F15" s="71">
        <f t="shared" si="16"/>
        <v>323.14999999999998</v>
      </c>
      <c r="G15" s="71">
        <f t="shared" si="17"/>
        <v>988.03629161147626</v>
      </c>
      <c r="H15" s="83">
        <f t="shared" si="0"/>
        <v>0.99120710453361638</v>
      </c>
      <c r="I15" s="83">
        <f t="shared" si="18"/>
        <v>991.20710453361642</v>
      </c>
      <c r="J15" s="72">
        <f t="shared" si="1"/>
        <v>0.10148543165448755</v>
      </c>
      <c r="K15" s="82">
        <f t="shared" si="2"/>
        <v>68.552572688216301</v>
      </c>
      <c r="L15" s="72">
        <f t="shared" si="19"/>
        <v>5.4004528538494111E-4</v>
      </c>
      <c r="M15" s="72">
        <f t="shared" si="3"/>
        <v>1.6559893709649629</v>
      </c>
      <c r="N15" s="83">
        <f t="shared" si="20"/>
        <v>13.262496376836017</v>
      </c>
      <c r="O15" s="71">
        <f t="shared" si="21"/>
        <v>5.4639110820899895E-14</v>
      </c>
      <c r="P15" s="83">
        <f t="shared" si="22"/>
        <v>6.8598800093247148</v>
      </c>
      <c r="Q15" s="72">
        <f t="shared" si="23"/>
        <v>1.3807657019233466E-7</v>
      </c>
      <c r="R15" s="72">
        <f t="shared" si="4"/>
        <v>0.1000001380765702</v>
      </c>
      <c r="S15" s="71">
        <f t="shared" si="5"/>
        <v>9.3591034715377267E-10</v>
      </c>
      <c r="T15" s="77"/>
      <c r="U15" s="72">
        <f t="shared" si="6"/>
        <v>7.9792391176505925E-2</v>
      </c>
      <c r="V15" s="72">
        <f t="shared" si="7"/>
        <v>-4.6954512132524606E-2</v>
      </c>
      <c r="W15" s="84">
        <f t="shared" si="8"/>
        <v>-9.7246497523418678E-3</v>
      </c>
      <c r="X15" s="85">
        <f t="shared" si="24"/>
        <v>-9.7246497523418682</v>
      </c>
      <c r="Y15" s="77"/>
      <c r="Z15" s="72">
        <f t="shared" si="9"/>
        <v>1.7476461922232796E-10</v>
      </c>
      <c r="AA15" s="72">
        <f t="shared" si="10"/>
        <v>1.1458959946753009E-7</v>
      </c>
      <c r="AB15" s="72">
        <f t="shared" si="11"/>
        <v>4.2558959946753007E-7</v>
      </c>
      <c r="AC15" s="72">
        <f t="shared" si="12"/>
        <v>1.4158959946753009E-7</v>
      </c>
      <c r="AD15" s="72">
        <f t="shared" si="13"/>
        <v>2.6758959946753006E-7</v>
      </c>
      <c r="AE15" s="72">
        <f t="shared" si="14"/>
        <v>1.2811476007392287E-9</v>
      </c>
      <c r="AF15" s="72">
        <f t="shared" si="25"/>
        <v>2.4E-9</v>
      </c>
      <c r="AG15" s="72">
        <f t="shared" si="26"/>
        <v>3.8559122199615565E-9</v>
      </c>
      <c r="AH15" s="84">
        <f t="shared" si="15"/>
        <v>6.5856274417780834E-9</v>
      </c>
      <c r="AI15" s="84">
        <f t="shared" si="27"/>
        <v>6.5856274417780831</v>
      </c>
      <c r="AJ15" s="77"/>
      <c r="AK15" s="72">
        <f t="shared" si="28"/>
        <v>7.5431074119677147E-10</v>
      </c>
      <c r="AL15" s="84">
        <f t="shared" si="29"/>
        <v>5.0000000000000001E-9</v>
      </c>
      <c r="AM15" s="84">
        <f t="shared" si="30"/>
        <v>1.8718206943075453E-9</v>
      </c>
      <c r="AN15" s="81"/>
      <c r="AO15" s="72">
        <f t="shared" si="31"/>
        <v>8.2530152568792766E-10</v>
      </c>
      <c r="AP15" s="72">
        <f t="shared" si="32"/>
        <v>1.4037006018972129E-14</v>
      </c>
      <c r="AQ15" s="72">
        <f t="shared" si="33"/>
        <v>-1.4560691567678477E-9</v>
      </c>
      <c r="AR15" s="72">
        <f t="shared" si="34"/>
        <v>-1.0889388973882475E-14</v>
      </c>
      <c r="AS15" s="72">
        <f t="shared" si="35"/>
        <v>-6.30764483462875E-10</v>
      </c>
      <c r="AT15" s="77"/>
      <c r="AU15" s="71">
        <v>-10.144691586060867</v>
      </c>
      <c r="AV15" s="84">
        <v>6.8700860660108418</v>
      </c>
    </row>
    <row r="16" spans="1:48" x14ac:dyDescent="0.35">
      <c r="A16" s="43"/>
      <c r="B16" s="36"/>
      <c r="C16" s="6"/>
      <c r="E16" s="71">
        <v>55</v>
      </c>
      <c r="F16" s="71">
        <f t="shared" si="16"/>
        <v>328.15</v>
      </c>
      <c r="G16" s="71">
        <f t="shared" si="17"/>
        <v>985.69523966623524</v>
      </c>
      <c r="H16" s="83">
        <f t="shared" si="0"/>
        <v>0.98887238643447173</v>
      </c>
      <c r="I16" s="83">
        <f t="shared" si="18"/>
        <v>988.87238643447176</v>
      </c>
      <c r="J16" s="72">
        <f t="shared" si="1"/>
        <v>0.10172646220594767</v>
      </c>
      <c r="K16" s="82">
        <f t="shared" si="2"/>
        <v>66.987226064841295</v>
      </c>
      <c r="L16" s="72">
        <f t="shared" si="19"/>
        <v>4.9763442783902988E-4</v>
      </c>
      <c r="M16" s="72">
        <f t="shared" si="3"/>
        <v>1.7684532544981582</v>
      </c>
      <c r="N16" s="83">
        <f t="shared" si="20"/>
        <v>13.130248301853779</v>
      </c>
      <c r="O16" s="71">
        <f t="shared" si="21"/>
        <v>7.4088652857724808E-14</v>
      </c>
      <c r="P16" s="83">
        <f t="shared" si="22"/>
        <v>6.8111580179597135</v>
      </c>
      <c r="Q16" s="72">
        <f t="shared" si="23"/>
        <v>1.5446923012951594E-7</v>
      </c>
      <c r="R16" s="72">
        <f t="shared" si="4"/>
        <v>0.10000015446923013</v>
      </c>
      <c r="S16" s="71">
        <f t="shared" si="5"/>
        <v>9.3229306866045702E-10</v>
      </c>
      <c r="T16" s="77"/>
      <c r="U16" s="72">
        <f t="shared" si="6"/>
        <v>8.8709265998394807E-2</v>
      </c>
      <c r="V16" s="72">
        <f t="shared" si="7"/>
        <v>-4.568320321921053E-2</v>
      </c>
      <c r="W16" s="84">
        <f t="shared" si="8"/>
        <v>-9.7140833742404894E-3</v>
      </c>
      <c r="X16" s="85">
        <f t="shared" si="24"/>
        <v>-9.7140833742404897</v>
      </c>
      <c r="Y16" s="77"/>
      <c r="Z16" s="72">
        <f t="shared" si="9"/>
        <v>1.5674390318618662E-10</v>
      </c>
      <c r="AA16" s="72">
        <f t="shared" si="10"/>
        <v>1.1939977043750071E-7</v>
      </c>
      <c r="AB16" s="72">
        <f t="shared" si="11"/>
        <v>4.3039977043750073E-7</v>
      </c>
      <c r="AC16" s="72">
        <f t="shared" si="12"/>
        <v>1.4639977043750072E-7</v>
      </c>
      <c r="AD16" s="72">
        <f t="shared" si="13"/>
        <v>2.7239977043750071E-7</v>
      </c>
      <c r="AE16" s="72">
        <f t="shared" si="14"/>
        <v>1.2090331428486237E-9</v>
      </c>
      <c r="AF16" s="72">
        <f t="shared" si="25"/>
        <v>2.4E-9</v>
      </c>
      <c r="AG16" s="72">
        <f t="shared" si="26"/>
        <v>3.7657770460348101E-9</v>
      </c>
      <c r="AH16" s="84">
        <f t="shared" si="15"/>
        <v>6.5331859443535297E-9</v>
      </c>
      <c r="AI16" s="84">
        <f t="shared" si="27"/>
        <v>6.5331859443535301</v>
      </c>
      <c r="AJ16" s="77"/>
      <c r="AK16" s="72">
        <f t="shared" si="28"/>
        <v>7.6017539339502768E-10</v>
      </c>
      <c r="AL16" s="84">
        <f t="shared" si="29"/>
        <v>5.0000000000000001E-9</v>
      </c>
      <c r="AM16" s="84">
        <f t="shared" si="30"/>
        <v>1.864586137320914E-9</v>
      </c>
      <c r="AN16" s="81"/>
      <c r="AO16" s="72">
        <f t="shared" si="31"/>
        <v>8.0443233380571905E-10</v>
      </c>
      <c r="AP16" s="72">
        <f t="shared" si="32"/>
        <v>1.4855800102306627E-14</v>
      </c>
      <c r="AQ16" s="72">
        <f t="shared" si="33"/>
        <v>-1.4589668524829247E-9</v>
      </c>
      <c r="AR16" s="72">
        <f t="shared" si="34"/>
        <v>-1.3020314738879607E-14</v>
      </c>
      <c r="AS16" s="72">
        <f t="shared" si="35"/>
        <v>-6.545326831918422E-10</v>
      </c>
      <c r="AT16" s="77"/>
      <c r="AU16" s="71">
        <v>-10.146945793095563</v>
      </c>
      <c r="AV16" s="84">
        <v>6.8243083633141568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E17" s="71">
        <v>60</v>
      </c>
      <c r="F17" s="71">
        <f t="shared" si="16"/>
        <v>333.15</v>
      </c>
      <c r="G17" s="71">
        <f t="shared" si="17"/>
        <v>983.19888300964794</v>
      </c>
      <c r="H17" s="83">
        <f t="shared" si="0"/>
        <v>0.98638278380950528</v>
      </c>
      <c r="I17" s="83">
        <f t="shared" si="18"/>
        <v>986.38278380950533</v>
      </c>
      <c r="J17" s="72">
        <f t="shared" si="1"/>
        <v>0.10198474721365795</v>
      </c>
      <c r="K17" s="82">
        <f t="shared" si="2"/>
        <v>65.457175716466281</v>
      </c>
      <c r="L17" s="72">
        <f t="shared" si="19"/>
        <v>4.6051407582683198E-4</v>
      </c>
      <c r="M17" s="72">
        <f t="shared" si="3"/>
        <v>1.8801671380313536</v>
      </c>
      <c r="N17" s="83">
        <f t="shared" si="20"/>
        <v>13.007657769459144</v>
      </c>
      <c r="O17" s="71">
        <f t="shared" si="21"/>
        <v>9.8252187996499737E-14</v>
      </c>
      <c r="P17" s="83">
        <f t="shared" si="22"/>
        <v>6.7659939967702591</v>
      </c>
      <c r="Q17" s="72">
        <f t="shared" si="23"/>
        <v>1.7139809996137247E-7</v>
      </c>
      <c r="R17" s="72">
        <f t="shared" si="4"/>
        <v>0.10000017139809997</v>
      </c>
      <c r="S17" s="71">
        <f t="shared" si="5"/>
        <v>9.2857878560557342E-10</v>
      </c>
      <c r="T17" s="77"/>
      <c r="U17" s="72">
        <f t="shared" si="6"/>
        <v>9.7844948953742183E-2</v>
      </c>
      <c r="V17" s="72">
        <f t="shared" si="7"/>
        <v>-4.4502582333211881E-2</v>
      </c>
      <c r="W17" s="84">
        <f t="shared" si="8"/>
        <v>-9.7041244329982724E-3</v>
      </c>
      <c r="X17" s="85">
        <f t="shared" si="24"/>
        <v>-9.7041244329982721</v>
      </c>
      <c r="Y17" s="77"/>
      <c r="Z17" s="72">
        <f t="shared" si="9"/>
        <v>1.41668126261659E-10</v>
      </c>
      <c r="AA17" s="72">
        <f t="shared" si="10"/>
        <v>1.2425345260052968E-7</v>
      </c>
      <c r="AB17" s="72">
        <f t="shared" si="11"/>
        <v>4.352534526005297E-7</v>
      </c>
      <c r="AC17" s="72">
        <f t="shared" si="12"/>
        <v>1.5125345260052969E-7</v>
      </c>
      <c r="AD17" s="72">
        <f t="shared" si="13"/>
        <v>2.7725345260052968E-7</v>
      </c>
      <c r="AE17" s="72">
        <f t="shared" si="14"/>
        <v>1.1437468564075593E-9</v>
      </c>
      <c r="AF17" s="72">
        <f t="shared" si="25"/>
        <v>2.4E-9</v>
      </c>
      <c r="AG17" s="72">
        <f t="shared" si="26"/>
        <v>3.6854149826692182E-9</v>
      </c>
      <c r="AH17" s="84">
        <f t="shared" si="15"/>
        <v>6.4826338598229062E-9</v>
      </c>
      <c r="AI17" s="84">
        <f t="shared" si="27"/>
        <v>6.4826338598229061</v>
      </c>
      <c r="AJ17" s="77"/>
      <c r="AK17" s="72">
        <f t="shared" si="28"/>
        <v>7.6626877688135572E-10</v>
      </c>
      <c r="AL17" s="84">
        <f t="shared" si="29"/>
        <v>5.0000000000000001E-9</v>
      </c>
      <c r="AM17" s="84">
        <f t="shared" si="30"/>
        <v>1.8571575712111468E-9</v>
      </c>
      <c r="AN17" s="81"/>
      <c r="AO17" s="72">
        <f t="shared" si="31"/>
        <v>7.8541882446396287E-10</v>
      </c>
      <c r="AP17" s="72">
        <f t="shared" si="32"/>
        <v>1.5640010460366677E-14</v>
      </c>
      <c r="AQ17" s="72">
        <f t="shared" si="33"/>
        <v>-1.4611907414642714E-9</v>
      </c>
      <c r="AR17" s="72">
        <f t="shared" si="34"/>
        <v>-1.5353762032599652E-14</v>
      </c>
      <c r="AS17" s="72">
        <f t="shared" si="35"/>
        <v>-6.7577163075188066E-10</v>
      </c>
      <c r="AT17" s="77"/>
      <c r="AU17" s="71">
        <v>-10.148776396215613</v>
      </c>
      <c r="AV17" s="84">
        <v>6.7796751033821234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E18" s="71">
        <v>65</v>
      </c>
      <c r="F18" s="71">
        <f t="shared" si="16"/>
        <v>338.15</v>
      </c>
      <c r="G18" s="71">
        <f t="shared" si="17"/>
        <v>980.55481983181551</v>
      </c>
      <c r="H18" s="83">
        <f t="shared" si="0"/>
        <v>0.98374587429149274</v>
      </c>
      <c r="I18" s="83">
        <f t="shared" si="18"/>
        <v>983.74587429149278</v>
      </c>
      <c r="J18" s="72">
        <f t="shared" si="1"/>
        <v>0.10225974878353902</v>
      </c>
      <c r="K18" s="82">
        <f t="shared" si="2"/>
        <v>63.961364143091274</v>
      </c>
      <c r="L18" s="72">
        <f t="shared" si="19"/>
        <v>4.2784471245412286E-4</v>
      </c>
      <c r="M18" s="72">
        <f t="shared" si="3"/>
        <v>1.9911310215645481</v>
      </c>
      <c r="N18" s="83">
        <f t="shared" si="20"/>
        <v>12.893913443972313</v>
      </c>
      <c r="O18" s="71">
        <f t="shared" si="21"/>
        <v>1.2766932317617458E-13</v>
      </c>
      <c r="P18" s="83">
        <f t="shared" si="22"/>
        <v>6.7240890386456762</v>
      </c>
      <c r="Q18" s="72">
        <f t="shared" si="23"/>
        <v>1.8876043145640275E-7</v>
      </c>
      <c r="R18" s="72">
        <f t="shared" si="4"/>
        <v>0.10000018876043146</v>
      </c>
      <c r="S18" s="71">
        <f t="shared" si="5"/>
        <v>9.2477000363188703E-10</v>
      </c>
      <c r="T18" s="77"/>
      <c r="U18" s="72">
        <f t="shared" si="6"/>
        <v>0.10713579672220701</v>
      </c>
      <c r="V18" s="72">
        <f t="shared" si="7"/>
        <v>-4.3407622665620628E-2</v>
      </c>
      <c r="W18" s="84">
        <f t="shared" si="8"/>
        <v>-9.6947351785646434E-3</v>
      </c>
      <c r="X18" s="85">
        <f t="shared" si="24"/>
        <v>-9.6947351785646436</v>
      </c>
      <c r="Y18" s="77"/>
      <c r="Z18" s="72">
        <f t="shared" si="9"/>
        <v>1.2895525664879696E-10</v>
      </c>
      <c r="AA18" s="72">
        <f t="shared" si="10"/>
        <v>1.2913391474522811E-7</v>
      </c>
      <c r="AB18" s="72">
        <f t="shared" si="11"/>
        <v>4.4013391474522813E-7</v>
      </c>
      <c r="AC18" s="72">
        <f t="shared" si="12"/>
        <v>1.5613391474522813E-7</v>
      </c>
      <c r="AD18" s="72">
        <f t="shared" si="13"/>
        <v>2.8213391474522812E-7</v>
      </c>
      <c r="AE18" s="72">
        <f t="shared" si="14"/>
        <v>1.0844732076929742E-9</v>
      </c>
      <c r="AF18" s="72">
        <f t="shared" si="25"/>
        <v>2.4E-9</v>
      </c>
      <c r="AG18" s="72">
        <f t="shared" si="26"/>
        <v>3.6134284643417711E-9</v>
      </c>
      <c r="AH18" s="84">
        <f t="shared" si="15"/>
        <v>6.4325325306211661E-9</v>
      </c>
      <c r="AI18" s="84">
        <f t="shared" si="27"/>
        <v>6.4325325306211667</v>
      </c>
      <c r="AJ18" s="77"/>
      <c r="AK18" s="72">
        <f t="shared" si="28"/>
        <v>7.7259359035556336E-10</v>
      </c>
      <c r="AL18" s="84">
        <f t="shared" si="29"/>
        <v>5.0000000000000001E-9</v>
      </c>
      <c r="AM18" s="84">
        <f t="shared" si="30"/>
        <v>1.8495400072637741E-9</v>
      </c>
      <c r="AN18" s="81"/>
      <c r="AO18" s="72">
        <f t="shared" si="31"/>
        <v>7.6801536332075018E-10</v>
      </c>
      <c r="AP18" s="72">
        <f t="shared" si="32"/>
        <v>1.6387825065609243E-14</v>
      </c>
      <c r="AQ18" s="72">
        <f t="shared" si="33"/>
        <v>-1.4627416921549562E-9</v>
      </c>
      <c r="AR18" s="72">
        <f t="shared" si="34"/>
        <v>-1.7877273356279281E-14</v>
      </c>
      <c r="AS18" s="72">
        <f t="shared" si="35"/>
        <v>-6.9472781828249671E-10</v>
      </c>
      <c r="AT18" s="77"/>
      <c r="AU18" s="71">
        <v>-10.15018286520009</v>
      </c>
      <c r="AV18" s="84">
        <v>6.7347254755820529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E19" s="71">
        <v>70</v>
      </c>
      <c r="F19" s="71">
        <f t="shared" si="16"/>
        <v>343.15</v>
      </c>
      <c r="G19" s="71">
        <f t="shared" si="17"/>
        <v>977.76961965898226</v>
      </c>
      <c r="H19" s="83">
        <f t="shared" si="0"/>
        <v>0.98096820963246056</v>
      </c>
      <c r="I19" s="83">
        <f t="shared" si="18"/>
        <v>980.96820963246057</v>
      </c>
      <c r="J19" s="72">
        <f t="shared" si="1"/>
        <v>0.10255103812640602</v>
      </c>
      <c r="K19" s="82">
        <f t="shared" si="2"/>
        <v>62.498733844716256</v>
      </c>
      <c r="L19" s="72">
        <f t="shared" si="19"/>
        <v>3.989599644474131E-4</v>
      </c>
      <c r="M19" s="72">
        <f t="shared" si="3"/>
        <v>2.1013449050977431</v>
      </c>
      <c r="N19" s="83">
        <f t="shared" si="20"/>
        <v>12.788133131675163</v>
      </c>
      <c r="O19" s="71">
        <f t="shared" si="21"/>
        <v>1.6287966533569951E-13</v>
      </c>
      <c r="P19" s="83">
        <f t="shared" si="22"/>
        <v>6.6851181314092489</v>
      </c>
      <c r="Q19" s="72">
        <f t="shared" si="23"/>
        <v>2.0648184330658182E-7</v>
      </c>
      <c r="R19" s="72">
        <f t="shared" si="4"/>
        <v>0.10000020648184331</v>
      </c>
      <c r="S19" s="71">
        <f t="shared" si="5"/>
        <v>9.2086878600631248E-10</v>
      </c>
      <c r="T19" s="77"/>
      <c r="U19" s="72">
        <f t="shared" si="6"/>
        <v>0.11653476633818834</v>
      </c>
      <c r="V19" s="72">
        <f t="shared" si="7"/>
        <v>-4.2391093525181417E-2</v>
      </c>
      <c r="W19" s="84">
        <f t="shared" si="8"/>
        <v>-9.6858682989208501E-3</v>
      </c>
      <c r="X19" s="85">
        <f t="shared" si="24"/>
        <v>-9.68586829892085</v>
      </c>
      <c r="Y19" s="77"/>
      <c r="Z19" s="72">
        <f t="shared" si="9"/>
        <v>1.1814047709120031E-10</v>
      </c>
      <c r="AA19" s="72">
        <f t="shared" si="10"/>
        <v>1.340219970214649E-7</v>
      </c>
      <c r="AB19" s="72">
        <f t="shared" si="11"/>
        <v>4.4502199702146492E-7</v>
      </c>
      <c r="AC19" s="72">
        <f t="shared" si="12"/>
        <v>1.6102199702146491E-7</v>
      </c>
      <c r="AD19" s="72">
        <f t="shared" si="13"/>
        <v>2.870219970214649E-7</v>
      </c>
      <c r="AE19" s="72">
        <f t="shared" si="14"/>
        <v>1.0303476244142824E-9</v>
      </c>
      <c r="AF19" s="72">
        <f t="shared" si="25"/>
        <v>2.4E-9</v>
      </c>
      <c r="AG19" s="72">
        <f t="shared" si="26"/>
        <v>3.5484881015054826E-9</v>
      </c>
      <c r="AH19" s="84">
        <f t="shared" si="15"/>
        <v>6.3816123058157441E-9</v>
      </c>
      <c r="AI19" s="84">
        <f t="shared" si="27"/>
        <v>6.3816123058157439</v>
      </c>
      <c r="AJ19" s="77"/>
      <c r="AK19" s="72">
        <f t="shared" si="28"/>
        <v>7.7915343179210895E-10</v>
      </c>
      <c r="AL19" s="84">
        <f t="shared" si="29"/>
        <v>5.0000000000000001E-9</v>
      </c>
      <c r="AM19" s="84">
        <f t="shared" si="30"/>
        <v>1.841737572012625E-9</v>
      </c>
      <c r="AN19" s="81"/>
      <c r="AO19" s="72">
        <f t="shared" si="31"/>
        <v>7.5193850625017767E-10</v>
      </c>
      <c r="AP19" s="72">
        <f t="shared" si="32"/>
        <v>1.7098794052583174E-14</v>
      </c>
      <c r="AQ19" s="72">
        <f t="shared" si="33"/>
        <v>-1.4635442114761109E-9</v>
      </c>
      <c r="AR19" s="72">
        <f t="shared" si="34"/>
        <v>-2.0578836627168793E-14</v>
      </c>
      <c r="AS19" s="72">
        <f t="shared" si="35"/>
        <v>-7.1160918526850776E-10</v>
      </c>
      <c r="AT19" s="77"/>
      <c r="AU19" s="71">
        <v>-10.151164258498611</v>
      </c>
      <c r="AV19" s="84">
        <v>6.6881746296616216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E20" s="71">
        <v>75</v>
      </c>
      <c r="F20" s="71">
        <f t="shared" si="16"/>
        <v>348.15</v>
      </c>
      <c r="G20" s="71">
        <f t="shared" si="17"/>
        <v>974.84896849496351</v>
      </c>
      <c r="H20" s="83">
        <f t="shared" si="0"/>
        <v>0.97805546045242442</v>
      </c>
      <c r="I20" s="83">
        <f t="shared" si="18"/>
        <v>978.05546045242443</v>
      </c>
      <c r="J20" s="72">
        <f t="shared" si="1"/>
        <v>0.10285828142106493</v>
      </c>
      <c r="K20" s="82">
        <f t="shared" si="2"/>
        <v>61.068227321341247</v>
      </c>
      <c r="L20" s="72">
        <f t="shared" si="19"/>
        <v>3.7332391922874483E-4</v>
      </c>
      <c r="M20" s="72">
        <f t="shared" si="3"/>
        <v>2.2108087886309384</v>
      </c>
      <c r="N20" s="83">
        <f t="shared" si="20"/>
        <v>12.689470621937891</v>
      </c>
      <c r="O20" s="71">
        <f t="shared" si="21"/>
        <v>2.0442282141402446E-13</v>
      </c>
      <c r="P20" s="83">
        <f t="shared" si="22"/>
        <v>6.6487695195439018</v>
      </c>
      <c r="Q20" s="72">
        <f t="shared" si="23"/>
        <v>2.2450730698981018E-7</v>
      </c>
      <c r="R20" s="72">
        <f t="shared" si="4"/>
        <v>0.100000224507307</v>
      </c>
      <c r="S20" s="71">
        <f t="shared" si="5"/>
        <v>9.1687674658633505E-10</v>
      </c>
      <c r="T20" s="77"/>
      <c r="U20" s="72">
        <f t="shared" si="6"/>
        <v>0.1260061232145466</v>
      </c>
      <c r="V20" s="72">
        <f t="shared" si="7"/>
        <v>-4.1445317770318034E-2</v>
      </c>
      <c r="W20" s="84">
        <f t="shared" si="8"/>
        <v>-9.6774758449096436E-3</v>
      </c>
      <c r="X20" s="85">
        <f t="shared" si="24"/>
        <v>-9.6774758449096439</v>
      </c>
      <c r="Y20" s="77"/>
      <c r="Z20" s="72">
        <f t="shared" si="9"/>
        <v>1.0885919435508604E-10</v>
      </c>
      <c r="AA20" s="72">
        <f t="shared" si="10"/>
        <v>1.388961089093288E-7</v>
      </c>
      <c r="AB20" s="72">
        <f t="shared" si="11"/>
        <v>4.4989610890932882E-7</v>
      </c>
      <c r="AC20" s="72">
        <f t="shared" si="12"/>
        <v>1.6589610890932882E-7</v>
      </c>
      <c r="AD20" s="72">
        <f t="shared" si="13"/>
        <v>2.9189610890932881E-7</v>
      </c>
      <c r="AE20" s="72">
        <f t="shared" si="14"/>
        <v>9.805644651788924E-10</v>
      </c>
      <c r="AF20" s="72">
        <f t="shared" si="25"/>
        <v>2.4E-9</v>
      </c>
      <c r="AG20" s="72">
        <f t="shared" si="26"/>
        <v>3.4894236595339783E-9</v>
      </c>
      <c r="AH20" s="84">
        <f t="shared" si="15"/>
        <v>6.3287391480062387E-9</v>
      </c>
      <c r="AI20" s="84">
        <f t="shared" si="27"/>
        <v>6.328739148006238</v>
      </c>
      <c r="AJ20" s="77"/>
      <c r="AK20" s="72">
        <f t="shared" si="28"/>
        <v>7.8595285728092878E-10</v>
      </c>
      <c r="AL20" s="84">
        <f t="shared" si="29"/>
        <v>5.0000000000000001E-9</v>
      </c>
      <c r="AM20" s="84">
        <f t="shared" si="30"/>
        <v>1.8337534931726701E-9</v>
      </c>
      <c r="AN20" s="81"/>
      <c r="AO20" s="72">
        <f t="shared" si="31"/>
        <v>7.3690964451749445E-10</v>
      </c>
      <c r="AP20" s="72">
        <f t="shared" si="32"/>
        <v>1.7773081551912336E-14</v>
      </c>
      <c r="AQ20" s="72">
        <f t="shared" si="33"/>
        <v>-1.4634799131410711E-9</v>
      </c>
      <c r="AR20" s="72">
        <f t="shared" si="34"/>
        <v>-2.3446486359624725E-14</v>
      </c>
      <c r="AS20" s="72">
        <f t="shared" si="35"/>
        <v>-7.2657594202838438E-10</v>
      </c>
      <c r="AT20" s="77"/>
      <c r="AU20" s="71">
        <v>-10.151719158117588</v>
      </c>
      <c r="AV20" s="84">
        <v>6.6388744822182808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E21" s="71">
        <v>80</v>
      </c>
      <c r="F21" s="71">
        <f t="shared" si="16"/>
        <v>353.15</v>
      </c>
      <c r="G21" s="71">
        <f t="shared" si="17"/>
        <v>971.79778269157964</v>
      </c>
      <c r="H21" s="83">
        <f t="shared" si="0"/>
        <v>0.97501252980174191</v>
      </c>
      <c r="I21" s="83">
        <f t="shared" si="18"/>
        <v>975.01252980174195</v>
      </c>
      <c r="J21" s="72">
        <f t="shared" si="1"/>
        <v>0.10318122898651746</v>
      </c>
      <c r="K21" s="82">
        <f t="shared" si="2"/>
        <v>59.668787072966246</v>
      </c>
      <c r="L21" s="72">
        <f t="shared" si="19"/>
        <v>3.5049990162515409E-4</v>
      </c>
      <c r="M21" s="72">
        <f t="shared" si="3"/>
        <v>2.3195226721641342</v>
      </c>
      <c r="N21" s="83">
        <f t="shared" si="20"/>
        <v>12.597156969451365</v>
      </c>
      <c r="O21" s="71">
        <f t="shared" si="21"/>
        <v>2.5283839835009936E-13</v>
      </c>
      <c r="P21" s="83">
        <f t="shared" si="22"/>
        <v>6.6147599131286521</v>
      </c>
      <c r="Q21" s="72">
        <f t="shared" si="23"/>
        <v>2.4279519456365894E-7</v>
      </c>
      <c r="R21" s="72">
        <f t="shared" si="4"/>
        <v>0.10000024279519457</v>
      </c>
      <c r="S21" s="71">
        <f t="shared" si="5"/>
        <v>9.1279504187117811E-10</v>
      </c>
      <c r="T21" s="77"/>
      <c r="U21" s="72">
        <f t="shared" si="6"/>
        <v>0.13552194228135259</v>
      </c>
      <c r="V21" s="72">
        <f t="shared" si="7"/>
        <v>-4.0562967571511593E-2</v>
      </c>
      <c r="W21" s="84">
        <f t="shared" si="8"/>
        <v>-9.6695130413258154E-3</v>
      </c>
      <c r="X21" s="85">
        <f t="shared" si="24"/>
        <v>-9.6695130413258159</v>
      </c>
      <c r="Y21" s="77"/>
      <c r="Z21" s="72">
        <f t="shared" si="9"/>
        <v>1.0082663184967867E-10</v>
      </c>
      <c r="AA21" s="72">
        <f t="shared" si="10"/>
        <v>1.4373244160737836E-7</v>
      </c>
      <c r="AB21" s="72">
        <f t="shared" si="11"/>
        <v>4.5473244160737838E-7</v>
      </c>
      <c r="AC21" s="72">
        <f t="shared" si="12"/>
        <v>1.7073244160737838E-7</v>
      </c>
      <c r="AD21" s="72">
        <f t="shared" si="13"/>
        <v>2.9673244160737837E-7</v>
      </c>
      <c r="AE21" s="72">
        <f t="shared" si="14"/>
        <v>9.3441553727507283E-10</v>
      </c>
      <c r="AF21" s="72">
        <f t="shared" si="25"/>
        <v>2.4E-9</v>
      </c>
      <c r="AG21" s="72">
        <f t="shared" si="26"/>
        <v>3.4352421691247517E-9</v>
      </c>
      <c r="AH21" s="84">
        <f t="shared" si="15"/>
        <v>6.2729035511267797E-9</v>
      </c>
      <c r="AI21" s="84">
        <f t="shared" si="27"/>
        <v>6.2729035511267792</v>
      </c>
      <c r="AJ21" s="77"/>
      <c r="AK21" s="72">
        <f t="shared" si="28"/>
        <v>7.9299744833290233E-10</v>
      </c>
      <c r="AL21" s="84">
        <f t="shared" si="29"/>
        <v>5.0000000000000001E-9</v>
      </c>
      <c r="AM21" s="84">
        <f t="shared" si="30"/>
        <v>1.8255900837423562E-9</v>
      </c>
      <c r="AN21" s="81"/>
      <c r="AO21" s="72">
        <f t="shared" si="31"/>
        <v>7.2267302075783068E-10</v>
      </c>
      <c r="AP21" s="72">
        <f t="shared" si="32"/>
        <v>1.8411063660237417E-14</v>
      </c>
      <c r="AQ21" s="72">
        <f t="shared" si="33"/>
        <v>-1.4624087520858676E-9</v>
      </c>
      <c r="AR21" s="72">
        <f t="shared" si="34"/>
        <v>-2.6467974050498115E-14</v>
      </c>
      <c r="AS21" s="72">
        <f t="shared" si="35"/>
        <v>-7.3974378823842717E-10</v>
      </c>
      <c r="AT21" s="77"/>
      <c r="AU21" s="71">
        <v>-10.151845604911781</v>
      </c>
      <c r="AV21" s="84">
        <v>6.5858011278662749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E22" s="71">
        <v>85</v>
      </c>
      <c r="F22" s="71">
        <f t="shared" si="16"/>
        <v>358.15</v>
      </c>
      <c r="G22" s="71">
        <f t="shared" si="17"/>
        <v>968.62029913592266</v>
      </c>
      <c r="H22" s="83">
        <f t="shared" si="0"/>
        <v>0.97184364310437166</v>
      </c>
      <c r="I22" s="83">
        <f t="shared" si="18"/>
        <v>971.84364310437161</v>
      </c>
      <c r="J22" s="72">
        <f t="shared" si="1"/>
        <v>0.10351970698315825</v>
      </c>
      <c r="K22" s="82">
        <f t="shared" si="2"/>
        <v>58.299355599591308</v>
      </c>
      <c r="L22" s="72">
        <f t="shared" si="19"/>
        <v>3.3012752802472067E-4</v>
      </c>
      <c r="M22" s="72">
        <f t="shared" si="3"/>
        <v>2.4274865556973291</v>
      </c>
      <c r="N22" s="83">
        <f t="shared" si="20"/>
        <v>12.510511201702162</v>
      </c>
      <c r="O22" s="71">
        <f t="shared" si="21"/>
        <v>3.0866600308287458E-13</v>
      </c>
      <c r="P22" s="83">
        <f t="shared" si="22"/>
        <v>6.5828384326181979</v>
      </c>
      <c r="Q22" s="72">
        <f t="shared" si="23"/>
        <v>2.6131333183601375E-7</v>
      </c>
      <c r="R22" s="72">
        <f t="shared" si="4"/>
        <v>0.10000026131333184</v>
      </c>
      <c r="S22" s="71">
        <f t="shared" si="5"/>
        <v>9.0862436212699568E-10</v>
      </c>
      <c r="T22" s="77"/>
      <c r="U22" s="72">
        <f t="shared" si="6"/>
        <v>0.14505978025575175</v>
      </c>
      <c r="V22" s="72">
        <f t="shared" si="7"/>
        <v>-3.9737383442798438E-2</v>
      </c>
      <c r="W22" s="84">
        <f t="shared" si="8"/>
        <v>-9.6619396303455878E-3</v>
      </c>
      <c r="X22" s="85">
        <f t="shared" si="24"/>
        <v>-9.6619396303455876</v>
      </c>
      <c r="Y22" s="77"/>
      <c r="Z22" s="72">
        <f t="shared" si="9"/>
        <v>9.38197677538261E-11</v>
      </c>
      <c r="AA22" s="72">
        <f t="shared" si="10"/>
        <v>1.4850535289046416E-7</v>
      </c>
      <c r="AB22" s="72">
        <f t="shared" si="11"/>
        <v>4.5950535289046418E-7</v>
      </c>
      <c r="AC22" s="72">
        <f t="shared" si="12"/>
        <v>1.7550535289046415E-7</v>
      </c>
      <c r="AD22" s="72">
        <f t="shared" si="13"/>
        <v>3.0150535289046417E-7</v>
      </c>
      <c r="AE22" s="72">
        <f t="shared" si="14"/>
        <v>8.9129779130633128E-10</v>
      </c>
      <c r="AF22" s="72">
        <f t="shared" si="25"/>
        <v>2.4E-9</v>
      </c>
      <c r="AG22" s="72">
        <f t="shared" si="26"/>
        <v>3.3851175590601573E-9</v>
      </c>
      <c r="AH22" s="84">
        <f t="shared" si="15"/>
        <v>6.2132212703956329E-9</v>
      </c>
      <c r="AI22" s="84">
        <f t="shared" si="27"/>
        <v>6.2132212703956329</v>
      </c>
      <c r="AJ22" s="77"/>
      <c r="AK22" s="72">
        <f t="shared" si="28"/>
        <v>8.0029388835143369E-10</v>
      </c>
      <c r="AL22" s="84">
        <f t="shared" si="29"/>
        <v>5.0000000000000001E-9</v>
      </c>
      <c r="AM22" s="84">
        <f t="shared" si="30"/>
        <v>1.8172487242539914E-9</v>
      </c>
      <c r="AN22" s="81"/>
      <c r="AO22" s="72">
        <f t="shared" si="31"/>
        <v>7.0900236707055655E-10</v>
      </c>
      <c r="AP22" s="72">
        <f t="shared" si="32"/>
        <v>1.9013124607696488E-14</v>
      </c>
      <c r="AQ22" s="72">
        <f t="shared" si="33"/>
        <v>-1.4601833459658396E-9</v>
      </c>
      <c r="AR22" s="72">
        <f t="shared" si="34"/>
        <v>-2.9630520584815384E-14</v>
      </c>
      <c r="AS22" s="72">
        <f t="shared" si="35"/>
        <v>-7.511915962912602E-10</v>
      </c>
      <c r="AT22" s="77"/>
      <c r="AU22" s="71">
        <v>-10.151541034592849</v>
      </c>
      <c r="AV22" s="84">
        <v>6.5280561142431797</v>
      </c>
    </row>
    <row r="23" spans="1:48" x14ac:dyDescent="0.35">
      <c r="A23" t="s">
        <v>20</v>
      </c>
      <c r="B23" s="51">
        <v>0</v>
      </c>
      <c r="C23" s="4" t="s">
        <v>52</v>
      </c>
      <c r="E23" s="71">
        <v>90</v>
      </c>
      <c r="F23" s="71">
        <f t="shared" si="16"/>
        <v>363.15</v>
      </c>
      <c r="G23" s="71">
        <f t="shared" si="17"/>
        <v>965.3201473085868</v>
      </c>
      <c r="H23" s="83">
        <f t="shared" si="0"/>
        <v>0.96855242002114639</v>
      </c>
      <c r="I23" s="83">
        <f t="shared" si="18"/>
        <v>968.55242002114642</v>
      </c>
      <c r="J23" s="72">
        <f t="shared" si="1"/>
        <v>0.1038736110750994</v>
      </c>
      <c r="K23" s="82">
        <f t="shared" si="2"/>
        <v>56.958875401216304</v>
      </c>
      <c r="L23" s="72">
        <f t="shared" si="19"/>
        <v>3.1190575034296584E-4</v>
      </c>
      <c r="M23" s="72">
        <f t="shared" si="3"/>
        <v>2.5347004392305239</v>
      </c>
      <c r="N23" s="83">
        <f t="shared" si="20"/>
        <v>12.428937568837505</v>
      </c>
      <c r="O23" s="71">
        <f t="shared" si="21"/>
        <v>3.7244524255129788E-13</v>
      </c>
      <c r="P23" s="83">
        <f t="shared" si="22"/>
        <v>6.5527855956557133</v>
      </c>
      <c r="Q23" s="72">
        <f t="shared" si="23"/>
        <v>2.8003634737653743E-7</v>
      </c>
      <c r="R23" s="72">
        <f t="shared" si="4"/>
        <v>0.10000028003634738</v>
      </c>
      <c r="S23" s="71">
        <f t="shared" si="5"/>
        <v>9.0436492156314126E-10</v>
      </c>
      <c r="T23" s="77"/>
      <c r="U23" s="72">
        <f t="shared" si="6"/>
        <v>0.15460110302229285</v>
      </c>
      <c r="V23" s="72">
        <f t="shared" si="7"/>
        <v>-3.8962663907742272E-2</v>
      </c>
      <c r="W23" s="84">
        <f t="shared" si="8"/>
        <v>-9.6547200709745234E-3</v>
      </c>
      <c r="X23" s="85">
        <f t="shared" si="24"/>
        <v>-9.6547200709745233</v>
      </c>
      <c r="Y23" s="77"/>
      <c r="Z23" s="72">
        <f t="shared" si="9"/>
        <v>8.7662876959643277E-11</v>
      </c>
      <c r="AA23" s="72">
        <f t="shared" si="10"/>
        <v>1.5318788211427523E-7</v>
      </c>
      <c r="AB23" s="72">
        <f t="shared" si="11"/>
        <v>4.6418788211427525E-7</v>
      </c>
      <c r="AC23" s="72">
        <f t="shared" si="12"/>
        <v>1.8018788211427525E-7</v>
      </c>
      <c r="AD23" s="72">
        <f t="shared" si="13"/>
        <v>3.0618788211427524E-7</v>
      </c>
      <c r="AE23" s="72">
        <f t="shared" si="14"/>
        <v>8.5070820558673743E-10</v>
      </c>
      <c r="AF23" s="72">
        <f t="shared" si="25"/>
        <v>2.4E-9</v>
      </c>
      <c r="AG23" s="72">
        <f t="shared" si="26"/>
        <v>3.3383710825463806E-9</v>
      </c>
      <c r="AH23" s="84">
        <f t="shared" si="15"/>
        <v>6.1489392423579222E-9</v>
      </c>
      <c r="AI23" s="84">
        <f t="shared" si="27"/>
        <v>6.1489392423579217</v>
      </c>
      <c r="AJ23" s="77"/>
      <c r="AK23" s="72">
        <f t="shared" si="28"/>
        <v>8.0785004911490265E-10</v>
      </c>
      <c r="AL23" s="84">
        <f t="shared" si="29"/>
        <v>5.0000000000000001E-9</v>
      </c>
      <c r="AM23" s="84">
        <f t="shared" si="30"/>
        <v>1.8087298431262825E-9</v>
      </c>
      <c r="AN23" s="81"/>
      <c r="AO23" s="72">
        <f t="shared" si="31"/>
        <v>6.9570246338549886E-10</v>
      </c>
      <c r="AP23" s="72">
        <f t="shared" si="32"/>
        <v>1.9579566261952496E-14</v>
      </c>
      <c r="AQ23" s="72">
        <f t="shared" si="33"/>
        <v>-1.4566592593536851E-9</v>
      </c>
      <c r="AR23" s="72">
        <f t="shared" si="34"/>
        <v>-3.292065130153044E-14</v>
      </c>
      <c r="AS23" s="72">
        <f t="shared" si="35"/>
        <v>-7.6097013705322595E-10</v>
      </c>
      <c r="AT23" s="77"/>
      <c r="AU23" s="71">
        <v>-10.150802214807291</v>
      </c>
      <c r="AV23" s="84">
        <v>6.4648737736345545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E24" s="71">
        <v>95</v>
      </c>
      <c r="F24" s="71">
        <f t="shared" si="16"/>
        <v>368.15</v>
      </c>
      <c r="G24" s="71">
        <f t="shared" si="17"/>
        <v>961.90040732662351</v>
      </c>
      <c r="H24" s="83">
        <f t="shared" si="0"/>
        <v>0.9651419323356899</v>
      </c>
      <c r="I24" s="83">
        <f t="shared" si="18"/>
        <v>965.14193233568994</v>
      </c>
      <c r="J24" s="72">
        <f t="shared" si="1"/>
        <v>0.10424290163590878</v>
      </c>
      <c r="K24" s="82">
        <f t="shared" si="2"/>
        <v>55.646288977841252</v>
      </c>
      <c r="L24" s="72">
        <f t="shared" si="19"/>
        <v>2.955802441554774E-4</v>
      </c>
      <c r="M24" s="72">
        <f t="shared" si="3"/>
        <v>2.6411643227637192</v>
      </c>
      <c r="N24" s="83">
        <f t="shared" si="20"/>
        <v>12.351917515046324</v>
      </c>
      <c r="O24" s="71">
        <f t="shared" si="21"/>
        <v>4.4471572369432338E-13</v>
      </c>
      <c r="P24" s="83">
        <f t="shared" si="22"/>
        <v>6.524410359220326</v>
      </c>
      <c r="Q24" s="72">
        <f t="shared" si="23"/>
        <v>2.989438619925696E-7</v>
      </c>
      <c r="R24" s="72">
        <f t="shared" si="4"/>
        <v>0.100000298943862</v>
      </c>
      <c r="S24" s="71">
        <f t="shared" si="5"/>
        <v>9.0001644752380326E-10</v>
      </c>
      <c r="T24" s="77"/>
      <c r="U24" s="72">
        <f t="shared" si="6"/>
        <v>0.16413020173644138</v>
      </c>
      <c r="V24" s="72">
        <f t="shared" si="7"/>
        <v>-3.8233649778434721E-2</v>
      </c>
      <c r="W24" s="84">
        <f t="shared" si="8"/>
        <v>-9.6478232438350804E-3</v>
      </c>
      <c r="X24" s="85">
        <f t="shared" si="24"/>
        <v>-9.6478232438350808</v>
      </c>
      <c r="Y24" s="77"/>
      <c r="Z24" s="72">
        <f t="shared" si="9"/>
        <v>8.2216424553286266E-11</v>
      </c>
      <c r="AA24" s="72">
        <f t="shared" si="10"/>
        <v>1.5775235348303105E-7</v>
      </c>
      <c r="AB24" s="72">
        <f t="shared" si="11"/>
        <v>4.6875235348303104E-7</v>
      </c>
      <c r="AC24" s="72">
        <f t="shared" si="12"/>
        <v>1.8475235348303104E-7</v>
      </c>
      <c r="AD24" s="72">
        <f t="shared" si="13"/>
        <v>3.1075235348303103E-7</v>
      </c>
      <c r="AE24" s="72">
        <f t="shared" si="14"/>
        <v>8.1223398973335108E-10</v>
      </c>
      <c r="AF24" s="72">
        <f t="shared" si="25"/>
        <v>2.4E-9</v>
      </c>
      <c r="AG24" s="72">
        <f t="shared" si="26"/>
        <v>3.2944504142866372E-9</v>
      </c>
      <c r="AH24" s="84">
        <f t="shared" si="15"/>
        <v>6.0794425398165479E-9</v>
      </c>
      <c r="AI24" s="84">
        <f t="shared" si="27"/>
        <v>6.0794425398165481</v>
      </c>
      <c r="AJ24" s="77"/>
      <c r="AK24" s="72">
        <f t="shared" si="28"/>
        <v>8.1567508828043633E-10</v>
      </c>
      <c r="AL24" s="84">
        <f t="shared" si="29"/>
        <v>5.0000000000000001E-9</v>
      </c>
      <c r="AM24" s="84">
        <f t="shared" si="30"/>
        <v>1.8000328950476065E-9</v>
      </c>
      <c r="AN24" s="81"/>
      <c r="AO24" s="72">
        <f t="shared" si="31"/>
        <v>6.8260851404780405E-10</v>
      </c>
      <c r="AP24" s="72">
        <f t="shared" si="32"/>
        <v>2.0110582457926695E-14</v>
      </c>
      <c r="AQ24" s="72">
        <f t="shared" si="33"/>
        <v>-1.4517027325657941E-9</v>
      </c>
      <c r="AR24" s="72">
        <f t="shared" si="34"/>
        <v>-3.6324110281378274E-14</v>
      </c>
      <c r="AS24" s="72">
        <f t="shared" si="35"/>
        <v>-7.6911043204581349E-10</v>
      </c>
      <c r="AT24" s="77"/>
      <c r="AU24" s="71">
        <v>-10.149625183681879</v>
      </c>
      <c r="AV24" s="84">
        <v>6.3956298246785233</v>
      </c>
    </row>
    <row r="25" spans="1:48" x14ac:dyDescent="0.35">
      <c r="A25" t="s">
        <v>19</v>
      </c>
      <c r="B25" s="33">
        <f>Control!B18</f>
        <v>7.5</v>
      </c>
      <c r="C25" s="4"/>
      <c r="E25" s="71">
        <v>100</v>
      </c>
      <c r="F25" s="71">
        <f t="shared" si="16"/>
        <v>373.15</v>
      </c>
      <c r="G25" s="71">
        <f t="shared" si="17"/>
        <v>958.36365705165758</v>
      </c>
      <c r="H25" s="83">
        <f t="shared" si="0"/>
        <v>0.96161475093507909</v>
      </c>
      <c r="I25" s="83">
        <f t="shared" si="18"/>
        <v>961.61475093507909</v>
      </c>
      <c r="J25" s="72">
        <f t="shared" si="1"/>
        <v>0.10462760018776984</v>
      </c>
      <c r="K25" s="82">
        <f t="shared" si="2"/>
        <v>54.360538829466265</v>
      </c>
      <c r="L25" s="72">
        <f t="shared" si="19"/>
        <v>2.8093395619855629E-4</v>
      </c>
      <c r="M25" s="72">
        <f t="shared" si="3"/>
        <v>2.7468782062969144</v>
      </c>
      <c r="N25" s="83">
        <f t="shared" si="20"/>
        <v>12.279000175809061</v>
      </c>
      <c r="O25" s="71">
        <f t="shared" si="21"/>
        <v>5.2601705345089748E-13</v>
      </c>
      <c r="P25" s="83">
        <f t="shared" si="22"/>
        <v>6.4975466186845647</v>
      </c>
      <c r="Q25" s="72">
        <f t="shared" si="23"/>
        <v>3.1801922970726742E-7</v>
      </c>
      <c r="R25" s="72">
        <f t="shared" si="4"/>
        <v>0.10000031801922972</v>
      </c>
      <c r="S25" s="71">
        <f t="shared" si="5"/>
        <v>8.9557816864576248E-10</v>
      </c>
      <c r="T25" s="77"/>
      <c r="U25" s="72">
        <f t="shared" si="6"/>
        <v>0.17363342885085084</v>
      </c>
      <c r="V25" s="72">
        <f t="shared" si="7"/>
        <v>-3.7545864413901224E-2</v>
      </c>
      <c r="W25" s="84">
        <f t="shared" si="8"/>
        <v>-9.6412219741359613E-3</v>
      </c>
      <c r="X25" s="85">
        <f t="shared" si="24"/>
        <v>-9.641221974135961</v>
      </c>
      <c r="Y25" s="77"/>
      <c r="Z25" s="72">
        <f t="shared" si="9"/>
        <v>7.7368674755792687E-11</v>
      </c>
      <c r="AA25" s="72">
        <f t="shared" si="10"/>
        <v>1.6217102675394222E-7</v>
      </c>
      <c r="AB25" s="72">
        <f t="shared" si="11"/>
        <v>4.7317102675394224E-7</v>
      </c>
      <c r="AC25" s="72">
        <f t="shared" si="12"/>
        <v>1.8917102675394221E-7</v>
      </c>
      <c r="AD25" s="72">
        <f t="shared" si="13"/>
        <v>3.1517102675394223E-7</v>
      </c>
      <c r="AE25" s="72">
        <f t="shared" si="14"/>
        <v>7.7554163150905931E-10</v>
      </c>
      <c r="AF25" s="72">
        <f t="shared" si="25"/>
        <v>2.4E-9</v>
      </c>
      <c r="AG25" s="72">
        <f t="shared" si="26"/>
        <v>3.2529103062648519E-9</v>
      </c>
      <c r="AH25" s="84">
        <f t="shared" si="15"/>
        <v>6.0042598061009968E-9</v>
      </c>
      <c r="AI25" s="84">
        <f t="shared" si="27"/>
        <v>6.0042598061009969</v>
      </c>
      <c r="AJ25" s="77"/>
      <c r="AK25" s="72">
        <f t="shared" si="28"/>
        <v>8.2377955911261318E-10</v>
      </c>
      <c r="AL25" s="84">
        <f t="shared" si="29"/>
        <v>5.0000000000000001E-9</v>
      </c>
      <c r="AM25" s="84">
        <f t="shared" si="30"/>
        <v>1.791156337291525E-9</v>
      </c>
      <c r="AN25" s="81"/>
      <c r="AO25" s="72">
        <f t="shared" si="31"/>
        <v>6.6958462588167941E-10</v>
      </c>
      <c r="AP25" s="72">
        <f t="shared" si="32"/>
        <v>2.0606269922756346E-14</v>
      </c>
      <c r="AQ25" s="72">
        <f t="shared" si="33"/>
        <v>-1.4451965871374969E-9</v>
      </c>
      <c r="AR25" s="72">
        <f t="shared" si="34"/>
        <v>-3.9825848348575693E-14</v>
      </c>
      <c r="AS25" s="72">
        <f t="shared" si="35"/>
        <v>-7.7563118083424321E-10</v>
      </c>
      <c r="AT25" s="77"/>
      <c r="AU25" s="71">
        <v>-10.148005190286815</v>
      </c>
      <c r="AV25" s="84">
        <v>6.3198483494190087</v>
      </c>
    </row>
    <row r="26" spans="1:48" x14ac:dyDescent="0.35">
      <c r="A26" t="s">
        <v>15</v>
      </c>
      <c r="B26" s="6">
        <f>10^-B25</f>
        <v>3.1622776601683699E-8</v>
      </c>
      <c r="C26" s="4"/>
      <c r="E26" s="71">
        <v>105</v>
      </c>
      <c r="F26" s="71">
        <f t="shared" si="16"/>
        <v>378.15</v>
      </c>
      <c r="G26" s="71">
        <f t="shared" si="17"/>
        <v>954.71201059337352</v>
      </c>
      <c r="H26" s="83">
        <f t="shared" si="0"/>
        <v>0.95797298420915711</v>
      </c>
      <c r="I26" s="83">
        <f t="shared" si="18"/>
        <v>957.97298420915706</v>
      </c>
      <c r="J26" s="72">
        <f t="shared" si="1"/>
        <v>0.10502778684241031</v>
      </c>
      <c r="K26" s="82">
        <f t="shared" si="2"/>
        <v>53.100567456091241</v>
      </c>
      <c r="L26" s="72">
        <f t="shared" si="19"/>
        <v>2.6777995734928031E-4</v>
      </c>
      <c r="M26" s="72">
        <f t="shared" si="3"/>
        <v>2.8518420898301096</v>
      </c>
      <c r="N26" s="83">
        <f t="shared" si="20"/>
        <v>12.209793087283666</v>
      </c>
      <c r="O26" s="71">
        <f t="shared" si="21"/>
        <v>6.1688883875997191E-13</v>
      </c>
      <c r="P26" s="83">
        <f t="shared" si="22"/>
        <v>6.4720497850256695</v>
      </c>
      <c r="Q26" s="72">
        <f t="shared" si="23"/>
        <v>3.3724864619458469E-7</v>
      </c>
      <c r="R26" s="72">
        <f t="shared" si="4"/>
        <v>0.1000003372486462</v>
      </c>
      <c r="S26" s="71">
        <f t="shared" si="5"/>
        <v>8.9104880191836188E-10</v>
      </c>
      <c r="T26" s="77"/>
      <c r="U26" s="72">
        <f t="shared" si="6"/>
        <v>0.18309864663727035</v>
      </c>
      <c r="V26" s="72">
        <f t="shared" si="7"/>
        <v>-3.6895439788923581E-2</v>
      </c>
      <c r="W26" s="84">
        <f t="shared" si="8"/>
        <v>-9.6348925191904623E-3</v>
      </c>
      <c r="X26" s="85">
        <f t="shared" si="24"/>
        <v>-9.634892519190462</v>
      </c>
      <c r="Y26" s="77"/>
      <c r="Z26" s="72">
        <f t="shared" si="9"/>
        <v>7.3029381738508315E-11</v>
      </c>
      <c r="AA26" s="72">
        <f t="shared" si="10"/>
        <v>1.6641675646559068E-7</v>
      </c>
      <c r="AB26" s="72">
        <f t="shared" si="11"/>
        <v>4.774167564655907E-7</v>
      </c>
      <c r="AC26" s="72">
        <f t="shared" si="12"/>
        <v>1.934167564655907E-7</v>
      </c>
      <c r="AD26" s="72">
        <f t="shared" si="13"/>
        <v>3.1941675646559069E-7</v>
      </c>
      <c r="AE26" s="72">
        <f t="shared" si="14"/>
        <v>7.4036621302647547E-10</v>
      </c>
      <c r="AF26" s="72">
        <f t="shared" si="25"/>
        <v>2.4E-9</v>
      </c>
      <c r="AG26" s="72">
        <f t="shared" si="26"/>
        <v>3.2133955947649839E-9</v>
      </c>
      <c r="AH26" s="84">
        <f t="shared" si="15"/>
        <v>5.9230656811408832E-9</v>
      </c>
      <c r="AI26" s="84">
        <f t="shared" si="27"/>
        <v>5.9230656811408835</v>
      </c>
      <c r="AJ26" s="77"/>
      <c r="AK26" s="72">
        <f t="shared" si="28"/>
        <v>8.3217553386722886E-10</v>
      </c>
      <c r="AL26" s="84">
        <f t="shared" si="29"/>
        <v>5.0000000000000001E-9</v>
      </c>
      <c r="AM26" s="84">
        <f t="shared" si="30"/>
        <v>1.7820976038367238E-9</v>
      </c>
      <c r="AN26" s="81"/>
      <c r="AO26" s="72">
        <f t="shared" si="31"/>
        <v>6.5652192237042656E-10</v>
      </c>
      <c r="AP26" s="72">
        <f t="shared" si="32"/>
        <v>2.1066658850919915E-14</v>
      </c>
      <c r="AQ26" s="72">
        <f t="shared" si="33"/>
        <v>-1.4370446550215454E-9</v>
      </c>
      <c r="AR26" s="72">
        <f t="shared" si="34"/>
        <v>-4.3410077451756691E-14</v>
      </c>
      <c r="AS26" s="72">
        <f t="shared" si="35"/>
        <v>-7.8054507606971963E-10</v>
      </c>
      <c r="AT26" s="77"/>
      <c r="AU26" s="71">
        <v>-10.145936637526869</v>
      </c>
      <c r="AV26" s="84">
        <v>6.2372054784318109</v>
      </c>
    </row>
    <row r="27" spans="1:48" x14ac:dyDescent="0.35">
      <c r="A27" t="s">
        <v>18</v>
      </c>
      <c r="B27" s="31">
        <f>Control!B20</f>
        <v>7.7</v>
      </c>
      <c r="C27" s="4"/>
      <c r="E27" s="71">
        <v>110</v>
      </c>
      <c r="F27" s="71">
        <f t="shared" si="16"/>
        <v>383.15</v>
      </c>
      <c r="G27" s="71">
        <f t="shared" si="17"/>
        <v>950.94714998784377</v>
      </c>
      <c r="H27" s="83">
        <f t="shared" si="0"/>
        <v>0.95421830964315446</v>
      </c>
      <c r="I27" s="83">
        <f t="shared" si="18"/>
        <v>954.2183096431545</v>
      </c>
      <c r="J27" s="72">
        <f t="shared" si="1"/>
        <v>0.10544359856988016</v>
      </c>
      <c r="K27" s="82">
        <f t="shared" si="2"/>
        <v>51.865317357716265</v>
      </c>
      <c r="L27" s="72">
        <f t="shared" si="19"/>
        <v>2.5595598489294274E-4</v>
      </c>
      <c r="M27" s="72">
        <f t="shared" si="3"/>
        <v>2.9560559733633052</v>
      </c>
      <c r="N27" s="83">
        <f t="shared" si="20"/>
        <v>12.143953780229984</v>
      </c>
      <c r="O27" s="71">
        <f t="shared" si="21"/>
        <v>7.1787068656049998E-13</v>
      </c>
      <c r="P27" s="83">
        <f t="shared" si="22"/>
        <v>6.4477936879128901</v>
      </c>
      <c r="Q27" s="72">
        <f t="shared" si="23"/>
        <v>3.5662050616937907E-7</v>
      </c>
      <c r="R27" s="72">
        <f t="shared" si="4"/>
        <v>0.10000035662050617</v>
      </c>
      <c r="S27" s="71">
        <f t="shared" si="5"/>
        <v>8.8642653856560657E-10</v>
      </c>
      <c r="T27" s="77"/>
      <c r="U27" s="72">
        <f t="shared" si="6"/>
        <v>0.19251481905052042</v>
      </c>
      <c r="V27" s="72">
        <f t="shared" si="7"/>
        <v>-3.6279042368814088E-2</v>
      </c>
      <c r="W27" s="84">
        <f t="shared" si="8"/>
        <v>-9.628814084991574E-3</v>
      </c>
      <c r="X27" s="85">
        <f t="shared" si="24"/>
        <v>-9.6288140849915731</v>
      </c>
      <c r="Y27" s="77"/>
      <c r="Z27" s="72">
        <f t="shared" si="9"/>
        <v>6.9125039167569612E-11</v>
      </c>
      <c r="AA27" s="72">
        <f t="shared" si="10"/>
        <v>1.7046362386917134E-7</v>
      </c>
      <c r="AB27" s="72">
        <f t="shared" si="11"/>
        <v>4.8146362386917136E-7</v>
      </c>
      <c r="AC27" s="72">
        <f t="shared" si="12"/>
        <v>1.9746362386917135E-7</v>
      </c>
      <c r="AD27" s="72">
        <f t="shared" si="13"/>
        <v>3.2346362386917134E-7</v>
      </c>
      <c r="AE27" s="72">
        <f t="shared" si="14"/>
        <v>7.0650149724964675E-10</v>
      </c>
      <c r="AF27" s="72">
        <f t="shared" si="25"/>
        <v>2.4E-9</v>
      </c>
      <c r="AG27" s="72">
        <f t="shared" si="26"/>
        <v>3.1756265364172161E-9</v>
      </c>
      <c r="AH27" s="84">
        <f t="shared" si="15"/>
        <v>5.8356794738756011E-9</v>
      </c>
      <c r="AI27" s="84">
        <f t="shared" si="27"/>
        <v>5.8356794738756008</v>
      </c>
      <c r="AJ27" s="77"/>
      <c r="AK27" s="72">
        <f t="shared" si="28"/>
        <v>8.4087674252734846E-10</v>
      </c>
      <c r="AL27" s="84">
        <f t="shared" si="29"/>
        <v>5.0000000000000001E-9</v>
      </c>
      <c r="AM27" s="84">
        <f t="shared" si="30"/>
        <v>1.7728530771312131E-9</v>
      </c>
      <c r="AN27" s="81"/>
      <c r="AO27" s="72">
        <f t="shared" si="31"/>
        <v>6.4333649445935069E-10</v>
      </c>
      <c r="AP27" s="72">
        <f t="shared" si="32"/>
        <v>2.1491752573706807E-14</v>
      </c>
      <c r="AQ27" s="72">
        <f t="shared" si="33"/>
        <v>-1.4271748955789436E-9</v>
      </c>
      <c r="AR27" s="72">
        <f t="shared" si="34"/>
        <v>-4.7060382229278791E-14</v>
      </c>
      <c r="AS27" s="72">
        <f t="shared" si="35"/>
        <v>-7.8386396974924849E-10</v>
      </c>
      <c r="AT27" s="77"/>
      <c r="AU27" s="71">
        <v>-10.143413028040792</v>
      </c>
      <c r="AV27" s="84">
        <v>6.1475289510289155</v>
      </c>
    </row>
    <row r="28" spans="1:48" x14ac:dyDescent="0.35">
      <c r="A28" t="s">
        <v>17</v>
      </c>
      <c r="B28" s="2">
        <f>10^-B27</f>
        <v>1.9952623149688773E-8</v>
      </c>
      <c r="C28" s="2"/>
      <c r="E28" s="71">
        <v>115</v>
      </c>
      <c r="F28" s="71">
        <f t="shared" si="16"/>
        <v>388.15</v>
      </c>
      <c r="G28" s="71">
        <f t="shared" si="17"/>
        <v>947.07035142167331</v>
      </c>
      <c r="H28" s="83">
        <f t="shared" si="0"/>
        <v>0.95035199997088249</v>
      </c>
      <c r="I28" s="83">
        <f t="shared" si="18"/>
        <v>950.3519999708825</v>
      </c>
      <c r="J28" s="72">
        <f t="shared" si="1"/>
        <v>0.10587522816438064</v>
      </c>
      <c r="K28" s="82">
        <f t="shared" si="2"/>
        <v>50.653731034341263</v>
      </c>
      <c r="L28" s="72">
        <f t="shared" si="19"/>
        <v>2.4532022870498452E-4</v>
      </c>
      <c r="M28" s="72">
        <f t="shared" si="3"/>
        <v>3.0595198568964994</v>
      </c>
      <c r="N28" s="83">
        <f t="shared" si="20"/>
        <v>12.081182455820231</v>
      </c>
      <c r="O28" s="71">
        <f t="shared" si="21"/>
        <v>8.2950220379142061E-13</v>
      </c>
      <c r="P28" s="83">
        <f t="shared" si="22"/>
        <v>6.4246678773763479</v>
      </c>
      <c r="Q28" s="72">
        <f t="shared" si="23"/>
        <v>3.7612493233952813E-7</v>
      </c>
      <c r="R28" s="72">
        <f t="shared" si="4"/>
        <v>0.10000037612493234</v>
      </c>
      <c r="S28" s="71">
        <f t="shared" si="5"/>
        <v>8.8170902865219674E-10</v>
      </c>
      <c r="T28" s="77"/>
      <c r="U28" s="72">
        <f t="shared" si="6"/>
        <v>0.20187170175099942</v>
      </c>
      <c r="V28" s="72">
        <f t="shared" si="7"/>
        <v>-3.5693804875721082E-2</v>
      </c>
      <c r="W28" s="84">
        <f t="shared" si="8"/>
        <v>-9.6229683965548245E-3</v>
      </c>
      <c r="X28" s="85">
        <f t="shared" si="24"/>
        <v>-9.6229683965548247</v>
      </c>
      <c r="Y28" s="77"/>
      <c r="Z28" s="72">
        <f t="shared" si="9"/>
        <v>6.5595286406284729E-11</v>
      </c>
      <c r="AA28" s="72">
        <f t="shared" si="10"/>
        <v>1.7428751020539424E-7</v>
      </c>
      <c r="AB28" s="72">
        <f t="shared" si="11"/>
        <v>4.8528751020539431E-7</v>
      </c>
      <c r="AC28" s="72">
        <f t="shared" si="12"/>
        <v>2.0128751020539426E-7</v>
      </c>
      <c r="AD28" s="72">
        <f t="shared" si="13"/>
        <v>3.2728751020539425E-7</v>
      </c>
      <c r="AE28" s="72">
        <f t="shared" si="14"/>
        <v>6.7379090208743606E-10</v>
      </c>
      <c r="AF28" s="72">
        <f t="shared" si="25"/>
        <v>2.4E-9</v>
      </c>
      <c r="AG28" s="72">
        <f t="shared" si="26"/>
        <v>3.1393861884937207E-9</v>
      </c>
      <c r="AH28" s="84">
        <f t="shared" si="15"/>
        <v>5.7420598720161642E-9</v>
      </c>
      <c r="AI28" s="84">
        <f t="shared" si="27"/>
        <v>5.7420598720161644</v>
      </c>
      <c r="AJ28" s="77"/>
      <c r="AK28" s="72">
        <f t="shared" si="28"/>
        <v>8.4989872890541398E-10</v>
      </c>
      <c r="AL28" s="84">
        <f t="shared" si="29"/>
        <v>5.0000000000000001E-9</v>
      </c>
      <c r="AM28" s="84">
        <f t="shared" si="30"/>
        <v>1.7634180573043935E-9</v>
      </c>
      <c r="AN28" s="81"/>
      <c r="AO28" s="72">
        <f t="shared" si="31"/>
        <v>6.2996725100128217E-10</v>
      </c>
      <c r="AP28" s="72">
        <f t="shared" si="32"/>
        <v>2.1881569521428765E-14</v>
      </c>
      <c r="AQ28" s="72">
        <f t="shared" si="33"/>
        <v>-1.4155412920868603E-9</v>
      </c>
      <c r="AR28" s="72">
        <f t="shared" si="34"/>
        <v>-5.0759877854330548E-14</v>
      </c>
      <c r="AS28" s="72">
        <f t="shared" si="35"/>
        <v>-7.8560291939391105E-10</v>
      </c>
      <c r="AT28" s="77"/>
      <c r="AU28" s="71">
        <v>-10.140426913770895</v>
      </c>
      <c r="AV28" s="84">
        <v>6.0507933115066761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E29" s="71">
        <v>120</v>
      </c>
      <c r="F29" s="71">
        <f t="shared" si="16"/>
        <v>393.15</v>
      </c>
      <c r="G29" s="71">
        <f t="shared" si="17"/>
        <v>943.08250706697231</v>
      </c>
      <c r="H29" s="83">
        <f t="shared" si="0"/>
        <v>0.94637494495063001</v>
      </c>
      <c r="I29" s="83">
        <f t="shared" si="18"/>
        <v>946.37494495063004</v>
      </c>
      <c r="J29" s="72">
        <f t="shared" si="1"/>
        <v>0.10632292380900786</v>
      </c>
      <c r="K29" s="82">
        <f t="shared" si="2"/>
        <v>49.46475098596629</v>
      </c>
      <c r="L29" s="72">
        <f t="shared" si="19"/>
        <v>2.3574803880353488E-4</v>
      </c>
      <c r="M29" s="72">
        <f t="shared" si="3"/>
        <v>3.1622337404296958</v>
      </c>
      <c r="N29" s="83">
        <f t="shared" si="20"/>
        <v>12.021215727882712</v>
      </c>
      <c r="O29" s="71">
        <f t="shared" si="21"/>
        <v>9.523229973916958E-13</v>
      </c>
      <c r="P29" s="83">
        <f t="shared" si="22"/>
        <v>6.4025753183644181</v>
      </c>
      <c r="Q29" s="72">
        <f t="shared" si="23"/>
        <v>3.9575342457719791E-7</v>
      </c>
      <c r="R29" s="72">
        <f t="shared" si="4"/>
        <v>0.10000039575342458</v>
      </c>
      <c r="S29" s="71">
        <f t="shared" si="5"/>
        <v>8.768933642949141E-10</v>
      </c>
      <c r="T29" s="77"/>
      <c r="U29" s="72">
        <f t="shared" si="6"/>
        <v>0.211159600270581</v>
      </c>
      <c r="V29" s="72">
        <f t="shared" si="7"/>
        <v>-3.5137266134407631E-2</v>
      </c>
      <c r="W29" s="84">
        <f t="shared" si="8"/>
        <v>-9.6173393278702786E-3</v>
      </c>
      <c r="X29" s="85">
        <f t="shared" si="24"/>
        <v>-9.6173393278702779</v>
      </c>
      <c r="Y29" s="77"/>
      <c r="Z29" s="72">
        <f t="shared" si="9"/>
        <v>6.2390171934959279E-11</v>
      </c>
      <c r="AA29" s="72">
        <f t="shared" si="10"/>
        <v>1.7786658577287907E-7</v>
      </c>
      <c r="AB29" s="72">
        <f t="shared" si="11"/>
        <v>4.8886658577287903E-7</v>
      </c>
      <c r="AC29" s="72">
        <f t="shared" si="12"/>
        <v>2.0486658577287906E-7</v>
      </c>
      <c r="AD29" s="72">
        <f t="shared" si="13"/>
        <v>3.3086658577287902E-7</v>
      </c>
      <c r="AE29" s="72">
        <f t="shared" si="14"/>
        <v>6.4211934006856201E-10</v>
      </c>
      <c r="AF29" s="72">
        <f t="shared" si="25"/>
        <v>2.4E-9</v>
      </c>
      <c r="AG29" s="72">
        <f t="shared" si="26"/>
        <v>3.1045095120035214E-9</v>
      </c>
      <c r="AH29" s="84">
        <f t="shared" si="15"/>
        <v>5.6422958767823697E-9</v>
      </c>
      <c r="AI29" s="84">
        <f t="shared" si="27"/>
        <v>5.6422958767823701</v>
      </c>
      <c r="AJ29" s="77"/>
      <c r="AK29" s="72">
        <f t="shared" si="28"/>
        <v>8.5925902650175694E-10</v>
      </c>
      <c r="AL29" s="84">
        <f t="shared" si="29"/>
        <v>5.0000000000000001E-9</v>
      </c>
      <c r="AM29" s="84">
        <f t="shared" si="30"/>
        <v>1.7537867285898282E-9</v>
      </c>
      <c r="AN29" s="81"/>
      <c r="AO29" s="72">
        <f t="shared" si="31"/>
        <v>6.1637368590553704E-10</v>
      </c>
      <c r="AP29" s="72">
        <f t="shared" si="32"/>
        <v>2.2236183017253572E-14</v>
      </c>
      <c r="AQ29" s="72">
        <f t="shared" si="33"/>
        <v>-1.4021246063669874E-9</v>
      </c>
      <c r="AR29" s="72">
        <f t="shared" si="34"/>
        <v>-5.449140196849553E-14</v>
      </c>
      <c r="AS29" s="72">
        <f t="shared" si="35"/>
        <v>-7.8578317568040158E-10</v>
      </c>
      <c r="AT29" s="77"/>
      <c r="AU29" s="71">
        <v>-10.136969849961064</v>
      </c>
      <c r="AV29" s="84">
        <v>5.9471109374839122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E30" s="71">
        <v>125</v>
      </c>
      <c r="F30" s="71">
        <f t="shared" si="16"/>
        <v>398.15</v>
      </c>
      <c r="G30" s="71">
        <f t="shared" si="17"/>
        <v>938.98414336096175</v>
      </c>
      <c r="H30" s="83">
        <f t="shared" si="0"/>
        <v>0.94228766959531296</v>
      </c>
      <c r="I30" s="83">
        <f t="shared" si="18"/>
        <v>942.28766959531299</v>
      </c>
      <c r="J30" s="72">
        <f t="shared" si="1"/>
        <v>0.1067869891663802</v>
      </c>
      <c r="K30" s="82">
        <f t="shared" si="2"/>
        <v>48.297319712591303</v>
      </c>
      <c r="L30" s="72">
        <f t="shared" si="19"/>
        <v>2.2712932011364307E-4</v>
      </c>
      <c r="M30" s="72">
        <f t="shared" si="3"/>
        <v>3.26419762396289</v>
      </c>
      <c r="N30" s="83">
        <f t="shared" si="20"/>
        <v>11.963821329959377</v>
      </c>
      <c r="O30" s="71">
        <f t="shared" si="21"/>
        <v>1.0868726743002748E-12</v>
      </c>
      <c r="P30" s="83">
        <f t="shared" si="22"/>
        <v>6.381430440751676</v>
      </c>
      <c r="Q30" s="72">
        <f t="shared" si="23"/>
        <v>4.1549859469731041E-7</v>
      </c>
      <c r="R30" s="72">
        <f t="shared" si="4"/>
        <v>0.1000004154985947</v>
      </c>
      <c r="S30" s="71">
        <f t="shared" si="5"/>
        <v>8.7197606133756475E-10</v>
      </c>
      <c r="T30" s="77"/>
      <c r="U30" s="72">
        <f t="shared" si="6"/>
        <v>0.22036917603302247</v>
      </c>
      <c r="V30" s="72">
        <f t="shared" si="7"/>
        <v>-3.460731932298651E-2</v>
      </c>
      <c r="W30" s="84">
        <f t="shared" si="8"/>
        <v>-9.6119125888277628E-3</v>
      </c>
      <c r="X30" s="85">
        <f t="shared" si="24"/>
        <v>-9.6119125888277637</v>
      </c>
      <c r="Y30" s="77"/>
      <c r="Z30" s="72">
        <f t="shared" si="9"/>
        <v>5.9468053943181265E-11</v>
      </c>
      <c r="AA30" s="72">
        <f t="shared" si="10"/>
        <v>1.8118169610483102E-7</v>
      </c>
      <c r="AB30" s="72">
        <f t="shared" si="11"/>
        <v>4.9218169610483104E-7</v>
      </c>
      <c r="AC30" s="72">
        <f t="shared" si="12"/>
        <v>2.0818169610483101E-7</v>
      </c>
      <c r="AD30" s="72">
        <f t="shared" si="13"/>
        <v>3.3418169610483102E-7</v>
      </c>
      <c r="AE30" s="72">
        <f t="shared" si="14"/>
        <v>6.1140586688995482E-10</v>
      </c>
      <c r="AF30" s="72">
        <f t="shared" si="25"/>
        <v>2.4E-9</v>
      </c>
      <c r="AG30" s="72">
        <f t="shared" si="26"/>
        <v>3.0708739208331362E-9</v>
      </c>
      <c r="AH30" s="84">
        <f t="shared" si="15"/>
        <v>5.5365944399048578E-9</v>
      </c>
      <c r="AI30" s="84">
        <f t="shared" si="27"/>
        <v>5.5365944399048583</v>
      </c>
      <c r="AJ30" s="77"/>
      <c r="AK30" s="72">
        <f t="shared" si="28"/>
        <v>8.6897735695995166E-10</v>
      </c>
      <c r="AL30" s="84">
        <f t="shared" si="29"/>
        <v>5.0000000000000001E-9</v>
      </c>
      <c r="AM30" s="84">
        <f t="shared" si="30"/>
        <v>1.7439521226751295E-9</v>
      </c>
      <c r="AN30" s="81"/>
      <c r="AO30" s="72">
        <f t="shared" si="31"/>
        <v>6.025335734487033E-10</v>
      </c>
      <c r="AP30" s="72">
        <f t="shared" si="32"/>
        <v>2.2555756017086574E-14</v>
      </c>
      <c r="AQ30" s="72">
        <f t="shared" si="33"/>
        <v>-1.3869320862567171E-9</v>
      </c>
      <c r="AR30" s="72">
        <f t="shared" si="34"/>
        <v>-5.823772786801883E-14</v>
      </c>
      <c r="AS30" s="72">
        <f t="shared" si="35"/>
        <v>-7.8443419477986472E-10</v>
      </c>
      <c r="AT30" s="77"/>
      <c r="AU30" s="71">
        <v>-10.133032354455013</v>
      </c>
      <c r="AV30" s="84">
        <v>5.8367194128643156</v>
      </c>
    </row>
    <row r="31" spans="1:48" x14ac:dyDescent="0.35">
      <c r="A31" s="69" t="s">
        <v>141</v>
      </c>
      <c r="B31" s="4" t="str">
        <f>Control!B24</f>
        <v>on</v>
      </c>
      <c r="C31" s="2"/>
      <c r="E31" s="71">
        <v>130</v>
      </c>
      <c r="F31" s="71">
        <f t="shared" si="16"/>
        <v>403.15</v>
      </c>
      <c r="G31" s="71">
        <f t="shared" si="17"/>
        <v>934.77543638776638</v>
      </c>
      <c r="H31" s="83">
        <f t="shared" si="0"/>
        <v>0.93809034951265069</v>
      </c>
      <c r="I31" s="83">
        <f t="shared" si="18"/>
        <v>938.09034951265073</v>
      </c>
      <c r="J31" s="72">
        <f t="shared" si="1"/>
        <v>0.10726778394174123</v>
      </c>
      <c r="K31" s="82">
        <f t="shared" si="2"/>
        <v>47.150379714216299</v>
      </c>
      <c r="L31" s="72">
        <f t="shared" si="19"/>
        <v>2.193664439414103E-4</v>
      </c>
      <c r="M31" s="72">
        <f t="shared" si="3"/>
        <v>3.3654115074960855</v>
      </c>
      <c r="N31" s="83">
        <f t="shared" si="20"/>
        <v>11.908793659323456</v>
      </c>
      <c r="O31" s="71">
        <f t="shared" si="21"/>
        <v>1.2336908414560967E-12</v>
      </c>
      <c r="P31" s="83">
        <f t="shared" si="22"/>
        <v>6.3611574976943226</v>
      </c>
      <c r="Q31" s="72">
        <f t="shared" si="23"/>
        <v>4.3535396313687795E-7</v>
      </c>
      <c r="R31" s="72">
        <f t="shared" si="4"/>
        <v>0.10000043535396315</v>
      </c>
      <c r="S31" s="71">
        <f t="shared" si="5"/>
        <v>8.6695303932118311E-10</v>
      </c>
      <c r="T31" s="77"/>
      <c r="U31" s="72">
        <f t="shared" si="6"/>
        <v>0.22949128626604121</v>
      </c>
      <c r="V31" s="72">
        <f t="shared" si="7"/>
        <v>-3.4102168121382226E-2</v>
      </c>
      <c r="W31" s="84">
        <f t="shared" si="8"/>
        <v>-9.6066754631156364E-3</v>
      </c>
      <c r="X31" s="85">
        <f t="shared" si="24"/>
        <v>-9.6066754631156357</v>
      </c>
      <c r="Y31" s="77"/>
      <c r="Z31" s="72">
        <f t="shared" si="9"/>
        <v>5.6793977051559105E-11</v>
      </c>
      <c r="AA31" s="72">
        <f t="shared" si="10"/>
        <v>1.8421663404956181E-7</v>
      </c>
      <c r="AB31" s="72">
        <f t="shared" si="11"/>
        <v>4.9521663404956183E-7</v>
      </c>
      <c r="AC31" s="72">
        <f t="shared" si="12"/>
        <v>2.1121663404956183E-7</v>
      </c>
      <c r="AD31" s="72">
        <f t="shared" si="13"/>
        <v>3.3721663404956182E-7</v>
      </c>
      <c r="AE31" s="72">
        <f t="shared" si="14"/>
        <v>5.8159708683307275E-10</v>
      </c>
      <c r="AF31" s="72">
        <f t="shared" si="25"/>
        <v>2.4E-9</v>
      </c>
      <c r="AG31" s="72">
        <f t="shared" si="26"/>
        <v>3.0383910638846317E-9</v>
      </c>
      <c r="AH31" s="84">
        <f t="shared" si="15"/>
        <v>5.4252654784586006E-9</v>
      </c>
      <c r="AI31" s="84">
        <f t="shared" si="27"/>
        <v>5.4252654784586003</v>
      </c>
      <c r="AJ31" s="77"/>
      <c r="AK31" s="72">
        <f t="shared" si="28"/>
        <v>8.7907585449934167E-10</v>
      </c>
      <c r="AL31" s="84">
        <f t="shared" si="29"/>
        <v>5.0000000000000001E-9</v>
      </c>
      <c r="AM31" s="84">
        <f t="shared" si="30"/>
        <v>1.7339060786423662E-9</v>
      </c>
      <c r="AN31" s="81"/>
      <c r="AO31" s="72">
        <f t="shared" si="31"/>
        <v>5.8844061281432706E-10</v>
      </c>
      <c r="AP31" s="72">
        <f t="shared" si="32"/>
        <v>2.2840569056370081E-14</v>
      </c>
      <c r="AQ31" s="72">
        <f t="shared" si="33"/>
        <v>-1.3699962478116425E-9</v>
      </c>
      <c r="AR31" s="72">
        <f t="shared" si="34"/>
        <v>-6.1981786220352048E-14</v>
      </c>
      <c r="AS31" s="72">
        <f t="shared" si="35"/>
        <v>-7.8159477621447946E-10</v>
      </c>
      <c r="AT31" s="77"/>
      <c r="AU31" s="71">
        <v>-10.1286038733013</v>
      </c>
      <c r="AV31" s="84">
        <v>5.7199659746774918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E32" s="71">
        <v>135</v>
      </c>
      <c r="F32" s="71">
        <f t="shared" si="16"/>
        <v>408.15</v>
      </c>
      <c r="G32" s="71">
        <f t="shared" si="17"/>
        <v>930.45622488454865</v>
      </c>
      <c r="H32" s="83">
        <f t="shared" si="0"/>
        <v>0.933782823876111</v>
      </c>
      <c r="I32" s="83">
        <f t="shared" si="18"/>
        <v>933.78282387611102</v>
      </c>
      <c r="J32" s="72">
        <f t="shared" si="1"/>
        <v>0.10776572488075031</v>
      </c>
      <c r="K32" s="82">
        <f t="shared" si="2"/>
        <v>46.022873490841263</v>
      </c>
      <c r="L32" s="72">
        <f t="shared" si="19"/>
        <v>2.1237255155521887E-4</v>
      </c>
      <c r="M32" s="72">
        <f t="shared" si="3"/>
        <v>3.4658753910292806</v>
      </c>
      <c r="N32" s="83">
        <f t="shared" si="20"/>
        <v>11.855950031009247</v>
      </c>
      <c r="O32" s="71">
        <f t="shared" si="21"/>
        <v>1.3933171057981192E-12</v>
      </c>
      <c r="P32" s="83">
        <f t="shared" si="22"/>
        <v>6.3416891855637605</v>
      </c>
      <c r="Q32" s="72">
        <f t="shared" si="23"/>
        <v>4.5531380104650093E-7</v>
      </c>
      <c r="R32" s="72">
        <f t="shared" si="4"/>
        <v>0.10000045531380106</v>
      </c>
      <c r="S32" s="71">
        <f t="shared" si="5"/>
        <v>8.6181959955070455E-10</v>
      </c>
      <c r="T32" s="77"/>
      <c r="U32" s="72">
        <f t="shared" si="6"/>
        <v>0.23851684801522849</v>
      </c>
      <c r="V32" s="72">
        <f t="shared" si="7"/>
        <v>-3.362028993296514E-2</v>
      </c>
      <c r="W32" s="84">
        <f t="shared" si="8"/>
        <v>-9.6016165901891288E-3</v>
      </c>
      <c r="X32" s="85">
        <f t="shared" si="24"/>
        <v>-9.6016165901891295</v>
      </c>
      <c r="Y32" s="77"/>
      <c r="Z32" s="72">
        <f t="shared" si="9"/>
        <v>5.4338407178409004E-11</v>
      </c>
      <c r="AA32" s="72">
        <f t="shared" si="10"/>
        <v>1.8695829407289701E-7</v>
      </c>
      <c r="AB32" s="72">
        <f t="shared" si="11"/>
        <v>4.9795829407289698E-7</v>
      </c>
      <c r="AC32" s="72">
        <f t="shared" si="12"/>
        <v>2.13958294072897E-7</v>
      </c>
      <c r="AD32" s="72">
        <f t="shared" si="13"/>
        <v>3.3995829407289697E-7</v>
      </c>
      <c r="AE32" s="72">
        <f t="shared" si="14"/>
        <v>5.5266127757679068E-10</v>
      </c>
      <c r="AF32" s="72">
        <f t="shared" si="25"/>
        <v>2.4E-9</v>
      </c>
      <c r="AG32" s="72">
        <f t="shared" si="26"/>
        <v>3.0069996847551994E-9</v>
      </c>
      <c r="AH32" s="84">
        <f t="shared" si="15"/>
        <v>5.3087050584017132E-9</v>
      </c>
      <c r="AI32" s="84">
        <f t="shared" si="27"/>
        <v>5.3087050584017135</v>
      </c>
      <c r="AJ32" s="77"/>
      <c r="AK32" s="72">
        <f t="shared" si="28"/>
        <v>8.8957932035545938E-10</v>
      </c>
      <c r="AL32" s="84">
        <f t="shared" si="29"/>
        <v>5.0000000000000001E-9</v>
      </c>
      <c r="AM32" s="84">
        <f t="shared" si="30"/>
        <v>1.7236391991014091E-9</v>
      </c>
      <c r="AN32" s="81"/>
      <c r="AO32" s="72">
        <f t="shared" si="31"/>
        <v>5.7410205544129524E-10</v>
      </c>
      <c r="AP32" s="72">
        <f t="shared" si="32"/>
        <v>2.3091040547969191E-14</v>
      </c>
      <c r="AQ32" s="72">
        <f t="shared" si="33"/>
        <v>-1.351372881093652E-9</v>
      </c>
      <c r="AR32" s="72">
        <f t="shared" si="34"/>
        <v>-6.5706883460908018E-14</v>
      </c>
      <c r="AS32" s="72">
        <f t="shared" si="35"/>
        <v>-7.7731344149526958E-10</v>
      </c>
      <c r="AT32" s="77"/>
      <c r="AU32" s="71">
        <v>-10.123672753831324</v>
      </c>
      <c r="AV32" s="84">
        <v>5.5972898898695149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E33" s="71">
        <v>140</v>
      </c>
      <c r="F33" s="71">
        <f t="shared" si="16"/>
        <v>413.15</v>
      </c>
      <c r="G33" s="71">
        <f t="shared" si="17"/>
        <v>926.0260212893005</v>
      </c>
      <c r="H33" s="83">
        <f t="shared" si="0"/>
        <v>0.92936460644281227</v>
      </c>
      <c r="I33" s="83">
        <f t="shared" si="18"/>
        <v>929.36460644281226</v>
      </c>
      <c r="J33" s="72">
        <f t="shared" si="1"/>
        <v>0.10828128717687943</v>
      </c>
      <c r="K33" s="82">
        <f t="shared" si="2"/>
        <v>44.913743542466293</v>
      </c>
      <c r="L33" s="72">
        <f t="shared" si="19"/>
        <v>2.0607015841223535E-4</v>
      </c>
      <c r="M33" s="72">
        <f t="shared" si="3"/>
        <v>3.565589274562476</v>
      </c>
      <c r="N33" s="83">
        <f t="shared" si="20"/>
        <v>11.805127526952067</v>
      </c>
      <c r="O33" s="71">
        <f t="shared" si="21"/>
        <v>1.566291074265293E-12</v>
      </c>
      <c r="P33" s="83">
        <f t="shared" si="22"/>
        <v>6.3229654831268496</v>
      </c>
      <c r="Q33" s="72">
        <f t="shared" si="23"/>
        <v>4.7537300615508051E-7</v>
      </c>
      <c r="R33" s="72">
        <f t="shared" si="4"/>
        <v>0.10000047537300616</v>
      </c>
      <c r="S33" s="71">
        <f t="shared" si="5"/>
        <v>8.5657040102412021E-10</v>
      </c>
      <c r="T33" s="77"/>
      <c r="U33" s="72">
        <f t="shared" si="6"/>
        <v>0.24743671925923347</v>
      </c>
      <c r="V33" s="72">
        <f t="shared" si="7"/>
        <v>-3.3160405288888598E-2</v>
      </c>
      <c r="W33" s="84">
        <f t="shared" si="8"/>
        <v>-9.5967257846261058E-3</v>
      </c>
      <c r="X33" s="85">
        <f t="shared" si="24"/>
        <v>-9.5967257846261056</v>
      </c>
      <c r="Y33" s="77"/>
      <c r="Z33" s="72">
        <f t="shared" si="9"/>
        <v>5.2076237769315589E-11</v>
      </c>
      <c r="AA33" s="72">
        <f t="shared" si="10"/>
        <v>1.8939671209487841E-7</v>
      </c>
      <c r="AB33" s="72">
        <f t="shared" si="11"/>
        <v>5.0039671209487843E-7</v>
      </c>
      <c r="AC33" s="72">
        <f t="shared" si="12"/>
        <v>2.1639671209487843E-7</v>
      </c>
      <c r="AD33" s="72">
        <f t="shared" si="13"/>
        <v>3.4239671209487842E-7</v>
      </c>
      <c r="AE33" s="72">
        <f t="shared" si="14"/>
        <v>5.2458320896168773E-10</v>
      </c>
      <c r="AF33" s="72">
        <f t="shared" si="25"/>
        <v>2.4E-9</v>
      </c>
      <c r="AG33" s="72">
        <f t="shared" si="26"/>
        <v>2.9766594467310035E-9</v>
      </c>
      <c r="AH33" s="84">
        <f t="shared" si="15"/>
        <v>5.1873775775279016E-9</v>
      </c>
      <c r="AI33" s="84">
        <f t="shared" si="27"/>
        <v>5.1873775775279016</v>
      </c>
      <c r="AJ33" s="77"/>
      <c r="AK33" s="72">
        <f t="shared" si="28"/>
        <v>9.0051551204565763E-10</v>
      </c>
      <c r="AL33" s="84">
        <f t="shared" si="29"/>
        <v>5.0000000000000001E-9</v>
      </c>
      <c r="AM33" s="84">
        <f t="shared" si="30"/>
        <v>1.7131408020482404E-9</v>
      </c>
      <c r="AN33" s="81"/>
      <c r="AO33" s="72">
        <f t="shared" si="31"/>
        <v>5.5953635843723396E-10</v>
      </c>
      <c r="AP33" s="72">
        <f t="shared" si="32"/>
        <v>2.3307739271495749E-14</v>
      </c>
      <c r="AQ33" s="72">
        <f t="shared" si="33"/>
        <v>-1.331138448464927E-9</v>
      </c>
      <c r="AR33" s="72">
        <f t="shared" si="34"/>
        <v>-6.9396906551778266E-14</v>
      </c>
      <c r="AS33" s="72">
        <f t="shared" si="35"/>
        <v>-7.7164817919497343E-10</v>
      </c>
      <c r="AT33" s="77"/>
      <c r="AU33" s="71">
        <v>-10.118226226566376</v>
      </c>
      <c r="AV33" s="84">
        <v>5.4692036633163612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E34" s="71">
        <v>145</v>
      </c>
      <c r="F34" s="71">
        <f t="shared" si="16"/>
        <v>418.15</v>
      </c>
      <c r="G34" s="71">
        <f t="shared" si="17"/>
        <v>921.4840211658875</v>
      </c>
      <c r="H34" s="83">
        <f t="shared" si="0"/>
        <v>0.92483489495306648</v>
      </c>
      <c r="I34" s="83">
        <f t="shared" si="18"/>
        <v>924.83489495306651</v>
      </c>
      <c r="J34" s="72">
        <f t="shared" si="1"/>
        <v>0.1088150062739273</v>
      </c>
      <c r="K34" s="82">
        <f t="shared" si="2"/>
        <v>43.821932369091328</v>
      </c>
      <c r="L34" s="72">
        <f t="shared" si="19"/>
        <v>2.0038999153898135E-4</v>
      </c>
      <c r="M34" s="72">
        <f t="shared" si="3"/>
        <v>3.6645531580956714</v>
      </c>
      <c r="N34" s="83">
        <f t="shared" si="20"/>
        <v>11.756180340872524</v>
      </c>
      <c r="O34" s="71">
        <f t="shared" si="21"/>
        <v>1.753152353796568E-12</v>
      </c>
      <c r="P34" s="83">
        <f t="shared" si="22"/>
        <v>6.3049326733651272</v>
      </c>
      <c r="Q34" s="72">
        <f t="shared" si="23"/>
        <v>4.9552700407598444E-7</v>
      </c>
      <c r="R34" s="72">
        <f t="shared" si="4"/>
        <v>0.10000049552700409</v>
      </c>
      <c r="S34" s="71">
        <f t="shared" si="5"/>
        <v>8.5119943394924165E-10</v>
      </c>
      <c r="T34" s="77"/>
      <c r="U34" s="72">
        <f t="shared" si="6"/>
        <v>0.25624159201128954</v>
      </c>
      <c r="V34" s="72">
        <f t="shared" si="7"/>
        <v>-3.2721452594996467E-2</v>
      </c>
      <c r="W34" s="84">
        <f t="shared" si="8"/>
        <v>-9.5919938868718555E-3</v>
      </c>
      <c r="X34" s="85">
        <f t="shared" si="24"/>
        <v>-9.5919938868718564</v>
      </c>
      <c r="Y34" s="77"/>
      <c r="Z34" s="72">
        <f t="shared" si="9"/>
        <v>4.9986003196652568E-11</v>
      </c>
      <c r="AA34" s="72">
        <f t="shared" si="10"/>
        <v>1.9152500014667889E-7</v>
      </c>
      <c r="AB34" s="72">
        <f t="shared" si="11"/>
        <v>5.025250001466789E-7</v>
      </c>
      <c r="AC34" s="72">
        <f t="shared" si="12"/>
        <v>2.185250001466789E-7</v>
      </c>
      <c r="AD34" s="72">
        <f t="shared" si="13"/>
        <v>3.4452500014667889E-7</v>
      </c>
      <c r="AE34" s="72">
        <f t="shared" si="14"/>
        <v>4.9735963580477472E-10</v>
      </c>
      <c r="AF34" s="72">
        <f t="shared" si="25"/>
        <v>2.4E-9</v>
      </c>
      <c r="AG34" s="72">
        <f t="shared" si="26"/>
        <v>2.9473456390014273E-9</v>
      </c>
      <c r="AH34" s="84">
        <f t="shared" si="15"/>
        <v>5.0617977525533644E-9</v>
      </c>
      <c r="AI34" s="84">
        <f t="shared" si="27"/>
        <v>5.0617977525533639</v>
      </c>
      <c r="AJ34" s="77"/>
      <c r="AK34" s="72">
        <f t="shared" si="28"/>
        <v>9.1191547323269636E-10</v>
      </c>
      <c r="AL34" s="84">
        <f t="shared" si="29"/>
        <v>5.0000000000000001E-9</v>
      </c>
      <c r="AM34" s="84">
        <f t="shared" si="30"/>
        <v>1.7023988678984833E-9</v>
      </c>
      <c r="AN34" s="81"/>
      <c r="AO34" s="72">
        <f t="shared" si="31"/>
        <v>5.4477091192447188E-10</v>
      </c>
      <c r="AP34" s="72">
        <f t="shared" si="32"/>
        <v>2.3491389435066844E-14</v>
      </c>
      <c r="AQ34" s="72">
        <f t="shared" si="33"/>
        <v>-1.3093870540559987E-9</v>
      </c>
      <c r="AR34" s="72">
        <f t="shared" si="34"/>
        <v>-7.303650580230995E-14</v>
      </c>
      <c r="AS34" s="72">
        <f t="shared" si="35"/>
        <v>-7.6466568724789414E-10</v>
      </c>
      <c r="AT34" s="77"/>
      <c r="AU34" s="71">
        <v>-10.112250397535711</v>
      </c>
      <c r="AV34" s="84">
        <v>5.3362739522908784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E35" s="71">
        <v>150</v>
      </c>
      <c r="F35" s="71">
        <f t="shared" si="16"/>
        <v>423.15</v>
      </c>
      <c r="G35" s="71">
        <f t="shared" si="17"/>
        <v>916.82911127778289</v>
      </c>
      <c r="H35" s="83">
        <f t="shared" si="0"/>
        <v>0.92019257918227026</v>
      </c>
      <c r="I35" s="83">
        <f t="shared" si="18"/>
        <v>920.19257918227026</v>
      </c>
      <c r="J35" s="72">
        <f t="shared" si="1"/>
        <v>0.10936748005824326</v>
      </c>
      <c r="K35" s="82">
        <f t="shared" si="2"/>
        <v>42.746382470716256</v>
      </c>
      <c r="L35" s="72">
        <f t="shared" si="19"/>
        <v>1.9527000994966093E-4</v>
      </c>
      <c r="M35" s="72">
        <f t="shared" si="3"/>
        <v>3.7627670416288654</v>
      </c>
      <c r="N35" s="83">
        <f t="shared" si="20"/>
        <v>11.708977535066271</v>
      </c>
      <c r="O35" s="71">
        <f t="shared" si="21"/>
        <v>1.9544405513308934E-12</v>
      </c>
      <c r="P35" s="83">
        <f t="shared" si="22"/>
        <v>6.2875425170456118</v>
      </c>
      <c r="Q35" s="72">
        <f t="shared" si="23"/>
        <v>5.1577166901042903E-7</v>
      </c>
      <c r="R35" s="72">
        <f t="shared" si="4"/>
        <v>0.10000051577166902</v>
      </c>
      <c r="S35" s="71">
        <f t="shared" si="5"/>
        <v>8.4569999052555576E-10</v>
      </c>
      <c r="T35" s="77"/>
      <c r="U35" s="72">
        <f t="shared" si="6"/>
        <v>0.26492189357766888</v>
      </c>
      <c r="V35" s="72">
        <f t="shared" si="7"/>
        <v>-3.2302567479302935E-2</v>
      </c>
      <c r="W35" s="84">
        <f t="shared" si="8"/>
        <v>-9.5874126401971974E-3</v>
      </c>
      <c r="X35" s="85">
        <f t="shared" si="24"/>
        <v>-9.5874126401971971</v>
      </c>
      <c r="Y35" s="77"/>
      <c r="Z35" s="72">
        <f t="shared" si="9"/>
        <v>4.804925153145498E-11</v>
      </c>
      <c r="AA35" s="72">
        <f t="shared" si="10"/>
        <v>1.9333918973523712E-7</v>
      </c>
      <c r="AB35" s="72">
        <f t="shared" si="11"/>
        <v>5.0433918973523714E-7</v>
      </c>
      <c r="AC35" s="72">
        <f t="shared" si="12"/>
        <v>2.2033918973523714E-7</v>
      </c>
      <c r="AD35" s="72">
        <f t="shared" si="13"/>
        <v>3.4633918973523713E-7</v>
      </c>
      <c r="AE35" s="72">
        <f t="shared" si="14"/>
        <v>4.709954439166946E-10</v>
      </c>
      <c r="AF35" s="72">
        <f t="shared" si="25"/>
        <v>2.4E-9</v>
      </c>
      <c r="AG35" s="72">
        <f t="shared" si="26"/>
        <v>2.9190446954481497E-9</v>
      </c>
      <c r="AH35" s="84">
        <f t="shared" si="15"/>
        <v>4.9325131358531756E-9</v>
      </c>
      <c r="AI35" s="84">
        <f t="shared" si="27"/>
        <v>4.9325131358531751</v>
      </c>
      <c r="AJ35" s="77"/>
      <c r="AK35" s="72">
        <f t="shared" si="28"/>
        <v>9.2381391112453248E-10</v>
      </c>
      <c r="AL35" s="84">
        <f t="shared" si="29"/>
        <v>5.0000000000000001E-9</v>
      </c>
      <c r="AM35" s="84">
        <f t="shared" si="30"/>
        <v>1.6913999810511115E-9</v>
      </c>
      <c r="AN35" s="81"/>
      <c r="AO35" s="72">
        <f t="shared" si="31"/>
        <v>5.298398874433749E-10</v>
      </c>
      <c r="AP35" s="72">
        <f t="shared" si="32"/>
        <v>2.3642869088609402E-14</v>
      </c>
      <c r="AQ35" s="72">
        <f t="shared" si="33"/>
        <v>-1.2862271615575279E-9</v>
      </c>
      <c r="AR35" s="72">
        <f t="shared" si="34"/>
        <v>-7.6611249743063122E-14</v>
      </c>
      <c r="AS35" s="72">
        <f t="shared" si="35"/>
        <v>-7.564402424948075E-10</v>
      </c>
      <c r="AT35" s="77"/>
      <c r="AU35" s="71">
        <v>-10.105730252856366</v>
      </c>
      <c r="AV35" s="84">
        <v>5.1991029788044516</v>
      </c>
    </row>
    <row r="36" spans="1:48" x14ac:dyDescent="0.35">
      <c r="A36" t="s">
        <v>32</v>
      </c>
      <c r="B36" s="38">
        <f>Control!B29</f>
        <v>0.19</v>
      </c>
      <c r="C36" s="2" t="s">
        <v>1</v>
      </c>
      <c r="K36" s="82"/>
      <c r="M36" s="72"/>
      <c r="Y36" s="86"/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71">
        <f>100*(G35-G5)/G5</f>
        <v>-8.3023732370787968</v>
      </c>
      <c r="H37" s="71">
        <f t="shared" ref="H37:AS37" si="36">100*(H35-H5)/H5</f>
        <v>-8.253998247882949</v>
      </c>
      <c r="I37" s="71">
        <f t="shared" si="36"/>
        <v>-8.253998247882949</v>
      </c>
      <c r="J37" s="71">
        <f t="shared" si="36"/>
        <v>9.0540764577736432</v>
      </c>
      <c r="K37" s="71">
        <f t="shared" si="36"/>
        <v>-50.513555955886353</v>
      </c>
      <c r="L37" s="71">
        <f t="shared" si="36"/>
        <v>-89.091122000134263</v>
      </c>
      <c r="M37" s="71">
        <f t="shared" si="36"/>
        <v>667.75411738101786</v>
      </c>
      <c r="N37" s="71">
        <f t="shared" si="36"/>
        <v>-22.738700343636562</v>
      </c>
      <c r="O37" s="71">
        <f t="shared" si="36"/>
        <v>279191.77864706103</v>
      </c>
      <c r="P37" s="71">
        <f t="shared" si="36"/>
        <v>-16.79972266508199</v>
      </c>
      <c r="Q37" s="71">
        <f t="shared" si="36"/>
        <v>1760.2646817081134</v>
      </c>
      <c r="R37" s="71">
        <f t="shared" si="36"/>
        <v>4.8804581950202949E-4</v>
      </c>
      <c r="S37" s="71">
        <f t="shared" si="36"/>
        <v>-12.443451289710636</v>
      </c>
      <c r="U37" s="71">
        <f t="shared" si="36"/>
        <v>1371.0570242844879</v>
      </c>
      <c r="V37" s="71">
        <f t="shared" si="36"/>
        <v>-48.772122169421479</v>
      </c>
      <c r="W37" s="71">
        <f t="shared" si="36"/>
        <v>-2.7261165272274939</v>
      </c>
      <c r="X37" s="71">
        <f t="shared" si="36"/>
        <v>-2.7261165272274988</v>
      </c>
      <c r="Z37" s="71">
        <f t="shared" si="36"/>
        <v>-93.880682602269857</v>
      </c>
      <c r="AA37" s="71">
        <f t="shared" si="36"/>
        <v>168.1082098282015</v>
      </c>
      <c r="AB37" s="71">
        <f t="shared" si="36"/>
        <v>31.642626692686683</v>
      </c>
      <c r="AC37" s="71">
        <f t="shared" si="36"/>
        <v>122.31249762761267</v>
      </c>
      <c r="AD37" s="71">
        <f t="shared" si="36"/>
        <v>53.851690424664355</v>
      </c>
      <c r="AE37" s="71">
        <f t="shared" si="36"/>
        <v>-80.539700945304077</v>
      </c>
      <c r="AF37" s="71">
        <f t="shared" si="36"/>
        <v>0</v>
      </c>
      <c r="AG37" s="71">
        <f t="shared" si="36"/>
        <v>-47.925299200732042</v>
      </c>
      <c r="AH37" s="71">
        <f t="shared" si="36"/>
        <v>-42.230729725326349</v>
      </c>
      <c r="AI37" s="71">
        <f t="shared" si="36"/>
        <v>-42.230729725326356</v>
      </c>
      <c r="AK37" s="71">
        <f t="shared" si="36"/>
        <v>30.442949986990591</v>
      </c>
      <c r="AL37" s="71">
        <f t="shared" si="36"/>
        <v>0</v>
      </c>
      <c r="AM37" s="71">
        <f t="shared" si="36"/>
        <v>-12.443451289710636</v>
      </c>
      <c r="AO37" s="71">
        <f t="shared" si="36"/>
        <v>-53.5507036968054</v>
      </c>
      <c r="AP37" s="71">
        <f t="shared" si="36"/>
        <v>324.26699337276756</v>
      </c>
      <c r="AQ37" s="71">
        <f t="shared" si="36"/>
        <v>-5.6283213461990558</v>
      </c>
      <c r="AR37" s="71">
        <f t="shared" si="36"/>
        <v>9705.3587005489262</v>
      </c>
      <c r="AS37" s="71">
        <f t="shared" si="36"/>
        <v>240.357923937896</v>
      </c>
      <c r="AU37" s="71">
        <v>6.8589873805910889E-2</v>
      </c>
      <c r="AV37" s="71">
        <f t="shared" ref="AV37" si="37">100*(AV35-AV5)/AV5</f>
        <v>-40.571852556591409</v>
      </c>
    </row>
    <row r="38" spans="1:48" x14ac:dyDescent="0.35">
      <c r="B38" s="37">
        <v>-9.4999999999999998E-3</v>
      </c>
      <c r="C38" s="6"/>
      <c r="G38" s="71" t="str">
        <f>G1</f>
        <v>Density water</v>
      </c>
      <c r="H38" s="71" t="str">
        <f t="shared" ref="H38:AS38" si="38">H1</f>
        <v>Density Soln</v>
      </c>
      <c r="I38" s="71" t="str">
        <f t="shared" si="38"/>
        <v>Density Soln</v>
      </c>
      <c r="J38" s="71" t="str">
        <f t="shared" si="38"/>
        <v>Molality</v>
      </c>
      <c r="K38" s="71" t="str">
        <f t="shared" si="38"/>
        <v>RelPerm Soln</v>
      </c>
      <c r="L38" s="71" t="str">
        <f t="shared" si="38"/>
        <v>Visc Soln</v>
      </c>
      <c r="M38" s="71" t="str">
        <f t="shared" si="38"/>
        <v>Condy Soln</v>
      </c>
      <c r="N38" s="71" t="str">
        <f t="shared" si="38"/>
        <v>pKw</v>
      </c>
      <c r="O38" s="71" t="str">
        <f t="shared" si="38"/>
        <v>Kw</v>
      </c>
      <c r="P38" s="71" t="str">
        <f t="shared" si="38"/>
        <v>pH</v>
      </c>
      <c r="Q38" s="71" t="str">
        <f t="shared" si="38"/>
        <v>[H+]</v>
      </c>
      <c r="R38" s="71" t="str">
        <f t="shared" si="38"/>
        <v>Ionic Conc</v>
      </c>
      <c r="S38" s="71" t="str">
        <f t="shared" si="38"/>
        <v>Debye Length</v>
      </c>
      <c r="U38" s="71" t="str">
        <f t="shared" si="38"/>
        <v>Theta2</v>
      </c>
      <c r="V38" s="71" t="str">
        <f t="shared" si="38"/>
        <v>SternPot</v>
      </c>
      <c r="W38" s="71" t="str">
        <f t="shared" si="38"/>
        <v>Zeta Pot</v>
      </c>
      <c r="X38" s="71" t="str">
        <f t="shared" si="38"/>
        <v>Zeta Pot</v>
      </c>
      <c r="Z38" s="71" t="str">
        <f t="shared" si="38"/>
        <v>SurfConStern</v>
      </c>
      <c r="AA38" s="71" t="str">
        <f t="shared" si="38"/>
        <v>EffMobNa</v>
      </c>
      <c r="AB38" s="71" t="str">
        <f t="shared" si="38"/>
        <v>EffMobHyd</v>
      </c>
      <c r="AC38" s="71" t="str">
        <f t="shared" si="38"/>
        <v>EffMobCl</v>
      </c>
      <c r="AD38" s="71" t="str">
        <f t="shared" si="38"/>
        <v>EffMobOH</v>
      </c>
      <c r="AE38" s="71" t="str">
        <f t="shared" si="38"/>
        <v>SurfConEDL</v>
      </c>
      <c r="AF38" s="71" t="str">
        <f t="shared" si="38"/>
        <v>SurfConProt</v>
      </c>
      <c r="AG38" s="71" t="str">
        <f t="shared" si="38"/>
        <v>TotSurfCon</v>
      </c>
      <c r="AH38" s="71" t="str">
        <f t="shared" si="38"/>
        <v>Cs</v>
      </c>
      <c r="AI38" s="71" t="str">
        <f t="shared" si="38"/>
        <v>Cs</v>
      </c>
      <c r="AK38" s="71" t="str">
        <f t="shared" si="38"/>
        <v>Bjerrum</v>
      </c>
      <c r="AL38" s="71" t="str">
        <f t="shared" si="38"/>
        <v>Shear Plane</v>
      </c>
      <c r="AM38" s="71" t="str">
        <f t="shared" si="38"/>
        <v>Twice Debye</v>
      </c>
      <c r="AO38" s="71" t="str">
        <f t="shared" si="38"/>
        <v>SurfConEDLNa</v>
      </c>
      <c r="AP38" s="71" t="str">
        <f t="shared" si="38"/>
        <v>SurfConEDLH</v>
      </c>
      <c r="AQ38" s="71" t="str">
        <f t="shared" si="38"/>
        <v>SurfConEDLCl</v>
      </c>
      <c r="AR38" s="71" t="str">
        <f t="shared" si="38"/>
        <v>SurfConEDLOH</v>
      </c>
      <c r="AS38" s="71" t="str">
        <f t="shared" si="38"/>
        <v>SurfConEDL</v>
      </c>
      <c r="AU38" s="71" t="s">
        <v>110</v>
      </c>
      <c r="AV38" s="71" t="str">
        <f t="shared" ref="AV38" si="39">AV1</f>
        <v>Cs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K39" s="82"/>
      <c r="M39" s="72"/>
      <c r="Y39" s="86"/>
    </row>
    <row r="40" spans="1:48" x14ac:dyDescent="0.35">
      <c r="O40" s="71" t="s">
        <v>145</v>
      </c>
      <c r="P40" s="71">
        <v>0.1</v>
      </c>
    </row>
    <row r="41" spans="1:48" x14ac:dyDescent="0.35">
      <c r="O41" s="71" t="s">
        <v>146</v>
      </c>
      <c r="P41" s="90">
        <f>Control!B41</f>
        <v>7.5</v>
      </c>
    </row>
    <row r="42" spans="1:48" x14ac:dyDescent="0.35">
      <c r="O42" s="71" t="s">
        <v>147</v>
      </c>
      <c r="P42" s="90">
        <f>Control!B42</f>
        <v>1</v>
      </c>
    </row>
    <row r="43" spans="1:48" x14ac:dyDescent="0.35">
      <c r="O43" s="71" t="s">
        <v>148</v>
      </c>
      <c r="P43" s="90">
        <f>Control!B43</f>
        <v>0.32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V43"/>
  <sheetViews>
    <sheetView workbookViewId="0">
      <selection activeCell="G5" sqref="G5:G35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2.453125" customWidth="1"/>
    <col min="5" max="10" width="16.453125" style="71" customWidth="1"/>
    <col min="11" max="11" width="16.453125" style="82" customWidth="1"/>
    <col min="12" max="12" width="16.453125" style="71" customWidth="1"/>
    <col min="13" max="13" width="16.453125" style="72" customWidth="1"/>
    <col min="14" max="48" width="16.453125" style="71" customWidth="1"/>
  </cols>
  <sheetData>
    <row r="1" spans="1:48" ht="18.5" x14ac:dyDescent="0.45">
      <c r="A1" s="7" t="s">
        <v>33</v>
      </c>
      <c r="B1" s="8"/>
      <c r="C1" s="52">
        <v>1</v>
      </c>
      <c r="E1" s="70" t="s">
        <v>102</v>
      </c>
      <c r="F1" s="70" t="s">
        <v>102</v>
      </c>
      <c r="G1" s="70" t="s">
        <v>97</v>
      </c>
      <c r="H1" s="70" t="s">
        <v>101</v>
      </c>
      <c r="I1" s="70" t="s">
        <v>101</v>
      </c>
      <c r="J1" s="70" t="s">
        <v>103</v>
      </c>
      <c r="K1" s="73" t="s">
        <v>104</v>
      </c>
      <c r="L1" s="70" t="s">
        <v>105</v>
      </c>
      <c r="M1" s="74" t="s">
        <v>106</v>
      </c>
      <c r="N1" s="70" t="s">
        <v>43</v>
      </c>
      <c r="O1" s="70" t="s">
        <v>58</v>
      </c>
      <c r="P1" s="70" t="s">
        <v>16</v>
      </c>
      <c r="Q1" s="70" t="s">
        <v>108</v>
      </c>
      <c r="R1" s="70" t="s">
        <v>107</v>
      </c>
      <c r="S1" s="70" t="s">
        <v>28</v>
      </c>
      <c r="T1" s="75"/>
      <c r="U1" s="70" t="s">
        <v>46</v>
      </c>
      <c r="V1" s="70" t="s">
        <v>109</v>
      </c>
      <c r="W1" s="70" t="s">
        <v>110</v>
      </c>
      <c r="X1" s="70" t="s">
        <v>110</v>
      </c>
      <c r="Y1" s="77"/>
      <c r="Z1" s="70" t="s">
        <v>25</v>
      </c>
      <c r="AA1" s="70" t="s">
        <v>38</v>
      </c>
      <c r="AB1" s="70" t="s">
        <v>40</v>
      </c>
      <c r="AC1" s="70" t="s">
        <v>41</v>
      </c>
      <c r="AD1" s="70" t="s">
        <v>42</v>
      </c>
      <c r="AE1" s="70" t="s">
        <v>27</v>
      </c>
      <c r="AF1" s="70" t="s">
        <v>26</v>
      </c>
      <c r="AG1" s="70" t="s">
        <v>29</v>
      </c>
      <c r="AH1" s="70" t="s">
        <v>10</v>
      </c>
      <c r="AI1" s="70" t="s">
        <v>10</v>
      </c>
      <c r="AJ1" s="77"/>
      <c r="AK1" s="78" t="s">
        <v>90</v>
      </c>
      <c r="AL1" s="70" t="s">
        <v>91</v>
      </c>
      <c r="AM1" s="70" t="s">
        <v>131</v>
      </c>
      <c r="AN1" s="79"/>
      <c r="AO1" s="70" t="s">
        <v>47</v>
      </c>
      <c r="AP1" s="70" t="s">
        <v>48</v>
      </c>
      <c r="AQ1" s="70" t="s">
        <v>49</v>
      </c>
      <c r="AR1" s="70" t="s">
        <v>50</v>
      </c>
      <c r="AS1" s="70" t="s">
        <v>27</v>
      </c>
      <c r="AT1" s="77"/>
      <c r="AU1" s="71" t="s">
        <v>110</v>
      </c>
      <c r="AV1" s="71" t="s">
        <v>10</v>
      </c>
    </row>
    <row r="2" spans="1:48" x14ac:dyDescent="0.35">
      <c r="B2" s="4"/>
      <c r="E2" s="70" t="s">
        <v>96</v>
      </c>
      <c r="F2" s="70" t="s">
        <v>11</v>
      </c>
      <c r="G2" s="70" t="s">
        <v>98</v>
      </c>
      <c r="H2" s="70" t="s">
        <v>93</v>
      </c>
      <c r="I2" s="70" t="s">
        <v>98</v>
      </c>
      <c r="J2" s="70" t="s">
        <v>94</v>
      </c>
      <c r="K2" s="73" t="s">
        <v>1</v>
      </c>
      <c r="L2" s="70" t="s">
        <v>6</v>
      </c>
      <c r="M2" s="74" t="s">
        <v>7</v>
      </c>
      <c r="N2" s="70" t="s">
        <v>1</v>
      </c>
      <c r="O2" s="70" t="s">
        <v>1</v>
      </c>
      <c r="P2" s="70" t="s">
        <v>1</v>
      </c>
      <c r="Q2" s="70" t="s">
        <v>1</v>
      </c>
      <c r="R2" s="70" t="s">
        <v>100</v>
      </c>
      <c r="S2" s="70" t="s">
        <v>9</v>
      </c>
      <c r="T2" s="75"/>
      <c r="U2" s="70" t="s">
        <v>1</v>
      </c>
      <c r="V2" s="70" t="s">
        <v>5</v>
      </c>
      <c r="W2" s="70" t="s">
        <v>5</v>
      </c>
      <c r="X2" s="70" t="s">
        <v>111</v>
      </c>
      <c r="Y2" s="77"/>
      <c r="Z2" s="70" t="s">
        <v>8</v>
      </c>
      <c r="AA2" s="70" t="s">
        <v>39</v>
      </c>
      <c r="AB2" s="70" t="s">
        <v>39</v>
      </c>
      <c r="AC2" s="70" t="s">
        <v>39</v>
      </c>
      <c r="AD2" s="70" t="s">
        <v>39</v>
      </c>
      <c r="AE2" s="70" t="s">
        <v>8</v>
      </c>
      <c r="AF2" s="70" t="s">
        <v>8</v>
      </c>
      <c r="AG2" s="70" t="s">
        <v>8</v>
      </c>
      <c r="AH2" s="70" t="s">
        <v>30</v>
      </c>
      <c r="AI2" s="70" t="s">
        <v>130</v>
      </c>
      <c r="AJ2" s="77"/>
      <c r="AK2" s="80" t="s">
        <v>9</v>
      </c>
      <c r="AL2" s="80" t="s">
        <v>9</v>
      </c>
      <c r="AM2" s="80" t="s">
        <v>9</v>
      </c>
      <c r="AN2" s="79"/>
      <c r="AO2" s="70" t="s">
        <v>8</v>
      </c>
      <c r="AP2" s="70" t="s">
        <v>8</v>
      </c>
      <c r="AQ2" s="70" t="s">
        <v>8</v>
      </c>
      <c r="AR2" s="70" t="s">
        <v>8</v>
      </c>
      <c r="AS2" s="70" t="s">
        <v>8</v>
      </c>
      <c r="AT2" s="77"/>
      <c r="AU2" s="71" t="s">
        <v>111</v>
      </c>
      <c r="AV2" s="71" t="s">
        <v>130</v>
      </c>
    </row>
    <row r="3" spans="1:48" x14ac:dyDescent="0.35">
      <c r="B3" s="4"/>
      <c r="E3" s="70"/>
      <c r="F3" s="70"/>
      <c r="G3" s="70"/>
      <c r="H3" s="70"/>
      <c r="I3" s="70"/>
      <c r="J3" s="70"/>
      <c r="K3" s="73"/>
      <c r="L3" s="70"/>
      <c r="M3" s="74"/>
      <c r="N3" s="70"/>
      <c r="O3" s="70"/>
      <c r="P3" s="70"/>
      <c r="Q3" s="70"/>
      <c r="R3" s="70"/>
      <c r="S3" s="70"/>
      <c r="T3" s="75"/>
      <c r="U3" s="70"/>
      <c r="V3" s="70"/>
      <c r="W3" s="70"/>
      <c r="X3" s="70"/>
      <c r="Y3" s="77"/>
      <c r="Z3" s="70"/>
      <c r="AA3" s="70"/>
      <c r="AB3" s="70"/>
      <c r="AC3" s="70"/>
      <c r="AD3" s="70"/>
      <c r="AE3" s="71" t="s">
        <v>128</v>
      </c>
      <c r="AJ3" s="77"/>
      <c r="AL3" s="80"/>
      <c r="AM3" s="80"/>
      <c r="AN3" s="81"/>
      <c r="AT3" s="77"/>
    </row>
    <row r="4" spans="1:48" x14ac:dyDescent="0.35">
      <c r="B4" s="4"/>
      <c r="P4" s="83">
        <f>IF($B$31="on",N4/2+Control!$D$1,7)</f>
        <v>0</v>
      </c>
      <c r="T4" s="77"/>
      <c r="Y4" s="77"/>
      <c r="AJ4" s="77"/>
      <c r="AK4" s="72"/>
      <c r="AN4" s="81"/>
      <c r="AO4" s="72"/>
      <c r="AT4" s="77"/>
    </row>
    <row r="5" spans="1:48" x14ac:dyDescent="0.35">
      <c r="A5" t="s">
        <v>99</v>
      </c>
      <c r="B5" s="4">
        <v>0.5</v>
      </c>
      <c r="C5" s="2" t="s">
        <v>100</v>
      </c>
      <c r="E5" s="71">
        <v>0</v>
      </c>
      <c r="F5" s="71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83">
        <f t="shared" ref="H5:H35" si="0">(($B$5*58.44)+(($G5/1000)*(1000-($B$5*58.44/2.16))))/1000</f>
        <v>1.0155339131600001</v>
      </c>
      <c r="I5" s="83">
        <f>H5*1000</f>
        <v>1015.5339131600001</v>
      </c>
      <c r="J5" s="72">
        <f t="shared" ref="J5:J35" si="1">$B$5/($H5-($B$5*58.44/1000))</f>
        <v>0.50693799745567403</v>
      </c>
      <c r="K5" s="82">
        <f t="shared" ref="K5:K35" si="2">(295.68-1.2283*$F5+0.002094*$F5^2-0.00000141*$F5^3)-13*$B$5+1.065*$B$5^2-0.03006*$B$5^3</f>
        <v>81.43185660696625</v>
      </c>
      <c r="L5" s="72">
        <f>($T$37*(0.0495166+0.6034658*EXP(-0.06653081*$E5)+0.09703832*EXP(0.1447269*$J5)+1.025107*EXP(-0.02062455*$E5+0.1301095*$J5)))*0.001</f>
        <v>9.2620397579071343E-4</v>
      </c>
      <c r="M5" s="72">
        <f t="shared" ref="M5:M35" si="3">((5.6+0.27*$E5-0.00015*$E5^2)*$B$5)-((2.36+0.099*$E5)*($B$5^(3/2))/(1+0.214*SQRT($B$5)))</f>
        <v>2.0752793446332869</v>
      </c>
      <c r="N5" s="83">
        <f>-LOG10(6.997844909E-16 + 5.017799566E-16*$E5 - 2.443366453E-17*$E5^2 + 7.194759186E-19*$E5^3)</f>
        <v>15.155035686876243</v>
      </c>
      <c r="O5" s="71">
        <f>10^(-1*$N5)</f>
        <v>6.9978449090000084E-16</v>
      </c>
      <c r="P5" s="83">
        <f>IF($B$31="on",$P$41+($P$41-$N5/2)*LN(P$40/$P$42)*$P$43,7)</f>
        <v>7.5171940078791106</v>
      </c>
      <c r="Q5" s="72">
        <f>10^(-1*P5)</f>
        <v>3.0395269059527733E-8</v>
      </c>
      <c r="R5" s="72">
        <f t="shared" ref="R5:R35" si="4">(2*$B$5+2*$Q5)/2</f>
        <v>0.50000003039526908</v>
      </c>
      <c r="S5" s="71">
        <f t="shared" ref="S5:S35" si="5">(($K5*$B$17*$F5*$B$18)/(2*$B$19*$B$20^2*$R5*1000))^0.5</f>
        <v>4.194047500381159E-10</v>
      </c>
      <c r="T5" s="77"/>
      <c r="U5" s="72">
        <f t="shared" ref="U5:U35" si="6">((10^-$P5+$B$5*$B$26)*SQRT(8000*$B$19*$B$17*$K5*$B$18*$F5)/(2*$B$20*$B$22*$B$28))*(($B$23+$B$24+$B$5+(10^-$P5)+10^($P5-$N5))/SQRT($R5))</f>
        <v>5.8489605847402967E-2</v>
      </c>
      <c r="V5" s="72">
        <f t="shared" ref="V5:V35" si="7">(2*$B$18*$F5*LN($U5))/(3*$B$20)</f>
        <v>-4.456482020487218E-2</v>
      </c>
      <c r="W5" s="84">
        <f t="shared" ref="W5:W35" si="8">$V5*EXP(-$B$29/$S5)+$B$37</f>
        <v>-9.5002961296323744E-3</v>
      </c>
      <c r="X5" s="82">
        <f>W5*1000</f>
        <v>-9.5002961296323747</v>
      </c>
      <c r="Y5" s="77"/>
      <c r="Z5" s="72">
        <f t="shared" ref="Z5:Z35" si="9">($B$20*$B$32*$B$22*$B$26*$B$5)/(10^-$P5+$B$28*$U5^(2/3)+$B$26*$B$5)</f>
        <v>2.5734860935275999E-9</v>
      </c>
      <c r="AA5" s="72">
        <f t="shared" ref="AA5:AA35" si="10">$B$6+((2*$B$17*$K5*$B$18*$F5)/($L5*$B$20*1))</f>
        <v>8.8643195002099253E-8</v>
      </c>
      <c r="AB5" s="72">
        <f t="shared" ref="AB5:AB35" si="11">$B$7+((2*$B$17*$K5*$B$18*$F5)/($L5*$B$20*1))</f>
        <v>3.9964319500209926E-7</v>
      </c>
      <c r="AC5" s="72">
        <f t="shared" ref="AC5:AC35" si="12">$B$8+((2*$B$17*$K5*$B$18*$F5)/($L5*$B$20*1))</f>
        <v>1.1564319500209926E-7</v>
      </c>
      <c r="AD5" s="72">
        <f t="shared" ref="AD5:AD35" si="13">$B$9+((2*$B$17*$K5*$B$18*$F5)/($L5*$B$20*1))</f>
        <v>2.4164319500209925E-7</v>
      </c>
      <c r="AE5" s="72">
        <f t="shared" ref="AE5:AE35" si="14">(SQRT((2000*$B$19*$B$17*$K5*$B$18*$F5)/($B$5+10^-$P5))*((($AA5*$B$5+$AB5*10^(-1*$P5))*($U5^(-1/3)-1)+($AC5*$B$5+$AD5*10^($P5-$N5))*($U5^(1/3)-1))))</f>
        <v>2.790305703268552E-9</v>
      </c>
      <c r="AF5" s="72">
        <f>$B$30</f>
        <v>2.4E-9</v>
      </c>
      <c r="AG5" s="72">
        <f>$Z5+$AE5+$AF5</f>
        <v>7.7637917967961515E-9</v>
      </c>
      <c r="AH5" s="84">
        <f>-1*($B$33*$K5*$B$17*$W5)/($L5*($B$33*$M5+4*$AF5*$B$34*$B$35))</f>
        <v>3.5570346053910374E-9</v>
      </c>
      <c r="AI5" s="84">
        <f>Control!$B$44*AH5*1000000*1000</f>
        <v>3.5570346053910376</v>
      </c>
      <c r="AJ5" s="77"/>
      <c r="AK5" s="72">
        <f>$B$20^2/(4*PI()*$K5*$B$17*$B$18*$F5)</f>
        <v>7.5124685818574067E-10</v>
      </c>
      <c r="AL5" s="84">
        <f>$B$29</f>
        <v>5.0000000000000001E-9</v>
      </c>
      <c r="AM5" s="84">
        <f>2*S5</f>
        <v>8.3880950007623179E-10</v>
      </c>
      <c r="AN5" s="81"/>
      <c r="AO5" s="72">
        <f>(SQRT((2000*$B$19*$B$17*$K5*$B$18*$F5)/($B$5+10^-$B$13))*((($AA5*$B$5)*($U5^(-1/3)-1))))</f>
        <v>3.2637976538453583E-9</v>
      </c>
      <c r="AP5" s="72">
        <f>(SQRT((2000*$B$19*$B$17*$K5*$B$18*$F5)/($B$5+10^-$P5))*((($AB5*10^(-1*$P5))*($U5^(-1/3)-1))))</f>
        <v>1.5493404126456403E-15</v>
      </c>
      <c r="AQ5" s="72">
        <f>(SQRT((2000*$B$19*$B$17*$K5*$B$18*$F5)/($B$5+10^-$P5))*((($AC5*$B$5)*($U5^(1/3)-1))))</f>
        <v>-2.8627587608893978E-9</v>
      </c>
      <c r="AR5" s="72">
        <f>(SQRT((2000*$B$19*$B$17*$K5*$B$18*$F5)/($B$5+10^-$P5))*((($AD5*10^($P5-$N5))*($U5^(1/3)-1))))</f>
        <v>-2.7544034680353697E-16</v>
      </c>
      <c r="AS5" s="72">
        <f>SUM(AO5:AR5)</f>
        <v>4.010401668560261E-10</v>
      </c>
      <c r="AT5" s="77"/>
      <c r="AU5" s="71">
        <v>-9.5020080862097132</v>
      </c>
      <c r="AV5" s="71">
        <v>1.7788399448796233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E6" s="71">
        <v>5</v>
      </c>
      <c r="F6" s="71">
        <f t="shared" ref="F6:F35" si="15">E6+273.15</f>
        <v>278.14999999999998</v>
      </c>
      <c r="G6" s="71">
        <f t="shared" ref="G6:G35" si="16">(((((-0.00000000028054253*E6+0.00000010556302)*E6-0.000046170461)*E6-0.0079870401)*E6+16.945176)*E6+999.83952)/(1+0.01687985*E6)</f>
        <v>999.96382124947729</v>
      </c>
      <c r="H6" s="83">
        <f t="shared" si="0"/>
        <v>1.0156565328897968</v>
      </c>
      <c r="I6" s="83">
        <f t="shared" ref="I6:I35" si="17">H6*1000</f>
        <v>1015.6565328897968</v>
      </c>
      <c r="J6" s="72">
        <f t="shared" si="1"/>
        <v>0.50687498214936777</v>
      </c>
      <c r="K6" s="82">
        <f t="shared" si="2"/>
        <v>79.455384733591259</v>
      </c>
      <c r="L6" s="72">
        <f t="shared" ref="L6:L35" si="18">($T$37*(0.0495166+0.6034658*EXP(-0.06653081*$E6)+0.09703832*EXP(0.1447269*$J6)+1.025107*EXP(-0.02062455*$E6+0.1301095*$J6)))*0.001</f>
        <v>7.8716842174600225E-4</v>
      </c>
      <c r="M6" s="72">
        <f t="shared" si="3"/>
        <v>2.5963972580203531</v>
      </c>
      <c r="N6" s="83">
        <f t="shared" ref="N6:N35" si="19">-LOG10(6.997844909E-16 + 5.017799566E-16*$E6 - 2.443366453E-17*$E6^2 + 7.194759186E-19*$E6^3)</f>
        <v>14.570606742437821</v>
      </c>
      <c r="O6" s="71">
        <f t="shared" ref="O6:O35" si="20">10^(-1*$N6)</f>
        <v>2.6877771504749887E-15</v>
      </c>
      <c r="P6" s="83">
        <f t="shared" ref="P6:P35" si="21">IF($B$31="on",$P$41+($P$41-$N6/2)*LN(P$40/$P$42)*$P$43,7)</f>
        <v>7.4523787638670917</v>
      </c>
      <c r="Q6" s="72">
        <f t="shared" ref="Q6:Q35" si="22">10^(-1*P6)</f>
        <v>3.5287528030320749E-8</v>
      </c>
      <c r="R6" s="72">
        <f t="shared" si="4"/>
        <v>0.50000003528752801</v>
      </c>
      <c r="S6" s="71">
        <f t="shared" si="5"/>
        <v>4.1805822430606573E-10</v>
      </c>
      <c r="T6" s="77"/>
      <c r="U6" s="72">
        <f t="shared" si="6"/>
        <v>6.4474696961993067E-2</v>
      </c>
      <c r="V6" s="72">
        <f t="shared" si="7"/>
        <v>-4.3823235481201553E-2</v>
      </c>
      <c r="W6" s="84">
        <f t="shared" si="8"/>
        <v>-9.5002802320988972E-3</v>
      </c>
      <c r="X6" s="82">
        <f t="shared" ref="X6:X35" si="23">W6*1000</f>
        <v>-9.5002802320988966</v>
      </c>
      <c r="Y6" s="77"/>
      <c r="Z6" s="72">
        <f t="shared" si="9"/>
        <v>2.3320931304734923E-9</v>
      </c>
      <c r="AA6" s="72">
        <f t="shared" si="10"/>
        <v>9.4838984654207023E-8</v>
      </c>
      <c r="AB6" s="72">
        <f t="shared" si="11"/>
        <v>4.0583898465420702E-7</v>
      </c>
      <c r="AC6" s="72">
        <f t="shared" si="12"/>
        <v>1.2183898465420701E-7</v>
      </c>
      <c r="AD6" s="72">
        <f t="shared" si="13"/>
        <v>2.47838984654207E-7</v>
      </c>
      <c r="AE6" s="72">
        <f t="shared" si="14"/>
        <v>2.7704232903954122E-9</v>
      </c>
      <c r="AF6" s="72">
        <f t="shared" ref="AF6:AF35" si="24">$B$30</f>
        <v>2.4E-9</v>
      </c>
      <c r="AG6" s="72">
        <f t="shared" ref="AG6:AG35" si="25">$Z6+$AE6+$AF6</f>
        <v>7.5025164208689041E-9</v>
      </c>
      <c r="AH6" s="84">
        <f t="shared" ref="AH6:AH35" si="26">-1*($B$33*$K6*$B$17*$W6)/($L6*($B$33*$M6+4*$AF6*$B$34*$B$35))</f>
        <v>3.2649896742148135E-9</v>
      </c>
      <c r="AI6" s="84">
        <f>Control!$B$44*AH6*1000000*1000</f>
        <v>3.2649896742148137</v>
      </c>
      <c r="AJ6" s="77"/>
      <c r="AK6" s="72">
        <f t="shared" ref="AK6:AK35" si="27">$B$20^2/(4*PI()*$K6*$B$17*$B$18*$F6)</f>
        <v>7.5609403358322542E-10</v>
      </c>
      <c r="AL6" s="84">
        <f t="shared" ref="AL6:AL35" si="28">$B$29</f>
        <v>5.0000000000000001E-9</v>
      </c>
      <c r="AM6" s="84">
        <f t="shared" ref="AM6:AM35" si="29">2*S6</f>
        <v>8.3611644861213146E-10</v>
      </c>
      <c r="AN6" s="81"/>
      <c r="AO6" s="72">
        <f t="shared" ref="AO6:AO35" si="30">(SQRT((2000*$B$19*$B$17*$K6*$B$18*$F6)/($B$5+10^-$B$13))*((($AA6*$B$5)*($U6^(-1/3)-1))))</f>
        <v>3.2989303489978872E-9</v>
      </c>
      <c r="AP6" s="72">
        <f t="shared" ref="AP6:AP35" si="31">(SQRT((2000*$B$19*$B$17*$K6*$B$18*$F6)/($B$5+10^-$P6))*((($AB6*10^(-1*$P6))*($U6^(-1/3)-1))))</f>
        <v>1.7256465881582421E-15</v>
      </c>
      <c r="AQ6" s="72">
        <f t="shared" ref="AQ6:AQ35" si="32">(SQRT((2000*$B$19*$B$17*$K6*$B$18*$F6)/($B$5+10^-$P6))*((($AC6*$B$5)*($U6^(1/3)-1))))</f>
        <v>-2.9434922966043091E-9</v>
      </c>
      <c r="AR6" s="72">
        <f t="shared" ref="AR6:AR35" si="33">(SQRT((2000*$B$19*$B$17*$K6*$B$18*$F6)/($B$5+10^-$P6))*((($AD6*10^($P6-$N6))*($U6^(1/3)-1))))</f>
        <v>-9.1211221263567495E-16</v>
      </c>
      <c r="AS6" s="72">
        <f t="shared" ref="AS6:AS35" si="34">SUM(AO6:AR6)</f>
        <v>3.5543886592795373E-10</v>
      </c>
      <c r="AT6" s="77"/>
      <c r="AU6" s="71">
        <v>-9.5020024997372374</v>
      </c>
      <c r="AV6" s="71">
        <v>1.6327929043526348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E7" s="71">
        <v>10</v>
      </c>
      <c r="F7" s="71">
        <f t="shared" si="15"/>
        <v>283.14999999999998</v>
      </c>
      <c r="G7" s="71">
        <f t="shared" si="16"/>
        <v>999.69963437234651</v>
      </c>
      <c r="H7" s="83">
        <f t="shared" si="0"/>
        <v>1.0153959198740317</v>
      </c>
      <c r="I7" s="83">
        <f t="shared" si="17"/>
        <v>1015.3959198740316</v>
      </c>
      <c r="J7" s="72">
        <f t="shared" si="1"/>
        <v>0.50700893210195919</v>
      </c>
      <c r="K7" s="82">
        <f t="shared" si="2"/>
        <v>77.524784135216223</v>
      </c>
      <c r="L7" s="72">
        <f t="shared" si="18"/>
        <v>6.7756539039350147E-4</v>
      </c>
      <c r="M7" s="72">
        <f t="shared" si="3"/>
        <v>3.1137651714074202</v>
      </c>
      <c r="N7" s="83">
        <f t="shared" si="19"/>
        <v>14.398625266103792</v>
      </c>
      <c r="O7" s="71">
        <f t="shared" si="20"/>
        <v>3.9936935224999789E-15</v>
      </c>
      <c r="P7" s="83">
        <f t="shared" si="21"/>
        <v>7.4333054077983771</v>
      </c>
      <c r="Q7" s="72">
        <f t="shared" si="22"/>
        <v>3.6871821461032721E-8</v>
      </c>
      <c r="R7" s="72">
        <f t="shared" si="4"/>
        <v>0.50000003687182148</v>
      </c>
      <c r="S7" s="71">
        <f t="shared" si="5"/>
        <v>4.1664304549825585E-10</v>
      </c>
      <c r="T7" s="77"/>
      <c r="U7" s="72">
        <f t="shared" si="6"/>
        <v>6.6248681793061218E-2</v>
      </c>
      <c r="V7" s="72">
        <f t="shared" si="7"/>
        <v>-4.4169316048569003E-2</v>
      </c>
      <c r="W7" s="84">
        <f t="shared" si="8"/>
        <v>-9.5002712010887735E-3</v>
      </c>
      <c r="X7" s="82">
        <f t="shared" si="23"/>
        <v>-9.5002712010887738</v>
      </c>
      <c r="Y7" s="77"/>
      <c r="Z7" s="72">
        <f t="shared" si="9"/>
        <v>2.2636152435301736E-9</v>
      </c>
      <c r="AA7" s="72">
        <f t="shared" si="10"/>
        <v>1.0143224678564005E-7</v>
      </c>
      <c r="AB7" s="72">
        <f t="shared" si="11"/>
        <v>4.1243224678564004E-7</v>
      </c>
      <c r="AC7" s="72">
        <f t="shared" si="12"/>
        <v>1.2843224678564004E-7</v>
      </c>
      <c r="AD7" s="72">
        <f t="shared" si="13"/>
        <v>2.5443224678564003E-7</v>
      </c>
      <c r="AE7" s="72">
        <f t="shared" si="14"/>
        <v>2.9254255114842366E-9</v>
      </c>
      <c r="AF7" s="72">
        <f t="shared" si="24"/>
        <v>2.4E-9</v>
      </c>
      <c r="AG7" s="72">
        <f t="shared" si="25"/>
        <v>7.5890407550144101E-9</v>
      </c>
      <c r="AH7" s="84">
        <f t="shared" si="26"/>
        <v>3.0866009186993996E-9</v>
      </c>
      <c r="AI7" s="84">
        <f>Control!$B$44*AH7*1000000*1000</f>
        <v>3.0866009186993995</v>
      </c>
      <c r="AJ7" s="77"/>
      <c r="AK7" s="72">
        <f t="shared" si="27"/>
        <v>7.6123908505479307E-10</v>
      </c>
      <c r="AL7" s="84">
        <f t="shared" si="28"/>
        <v>5.0000000000000001E-9</v>
      </c>
      <c r="AM7" s="84">
        <f t="shared" si="29"/>
        <v>8.332860909965117E-10</v>
      </c>
      <c r="AN7" s="81"/>
      <c r="AO7" s="72">
        <f t="shared" si="30"/>
        <v>3.4634587573845593E-9</v>
      </c>
      <c r="AP7" s="72">
        <f t="shared" si="31"/>
        <v>1.7987540643732523E-15</v>
      </c>
      <c r="AQ7" s="72">
        <f t="shared" si="32"/>
        <v>-3.0734612848162374E-9</v>
      </c>
      <c r="AR7" s="72">
        <f t="shared" si="33"/>
        <v>-1.3189731569187555E-15</v>
      </c>
      <c r="AS7" s="72">
        <f t="shared" si="34"/>
        <v>3.899979523492294E-10</v>
      </c>
      <c r="AT7" s="77"/>
      <c r="AU7" s="71">
        <v>-9.5019937467036115</v>
      </c>
      <c r="AV7" s="71">
        <v>1.5435824387950439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E8" s="71">
        <v>15</v>
      </c>
      <c r="F8" s="71">
        <f t="shared" si="15"/>
        <v>288.14999999999998</v>
      </c>
      <c r="G8" s="71">
        <f t="shared" si="16"/>
        <v>999.09960879081439</v>
      </c>
      <c r="H8" s="83">
        <f t="shared" si="0"/>
        <v>1.0148040113052275</v>
      </c>
      <c r="I8" s="83">
        <f t="shared" si="17"/>
        <v>1014.8040113052275</v>
      </c>
      <c r="J8" s="72">
        <f t="shared" si="1"/>
        <v>0.50731342459364837</v>
      </c>
      <c r="K8" s="82">
        <f t="shared" si="2"/>
        <v>75.638997311841294</v>
      </c>
      <c r="L8" s="72">
        <f t="shared" si="18"/>
        <v>5.9003726943796517E-4</v>
      </c>
      <c r="M8" s="72">
        <f t="shared" si="3"/>
        <v>3.627383084794487</v>
      </c>
      <c r="N8" s="83">
        <f t="shared" si="19"/>
        <v>14.287591032741444</v>
      </c>
      <c r="O8" s="71">
        <f t="shared" si="20"/>
        <v>5.1571405459249914E-15</v>
      </c>
      <c r="P8" s="83">
        <f t="shared" si="21"/>
        <v>7.420991317270258</v>
      </c>
      <c r="Q8" s="72">
        <f t="shared" si="22"/>
        <v>3.7932256858932014E-8</v>
      </c>
      <c r="R8" s="72">
        <f t="shared" si="4"/>
        <v>0.50000003793225689</v>
      </c>
      <c r="S8" s="71">
        <f t="shared" si="5"/>
        <v>4.1516216144450928E-10</v>
      </c>
      <c r="T8" s="77"/>
      <c r="U8" s="72">
        <f t="shared" si="6"/>
        <v>6.7341965146757027E-2</v>
      </c>
      <c r="V8" s="72">
        <f t="shared" si="7"/>
        <v>-4.4678225820079236E-2</v>
      </c>
      <c r="W8" s="84">
        <f t="shared" si="8"/>
        <v>-9.5002628306871586E-3</v>
      </c>
      <c r="X8" s="82">
        <f t="shared" si="23"/>
        <v>-9.5002628306871593</v>
      </c>
      <c r="Y8" s="77"/>
      <c r="Z8" s="72">
        <f t="shared" si="9"/>
        <v>2.2201145656718498E-9</v>
      </c>
      <c r="AA8" s="72">
        <f t="shared" si="10"/>
        <v>1.0836238675115985E-7</v>
      </c>
      <c r="AB8" s="72">
        <f t="shared" si="11"/>
        <v>4.1936238675115987E-7</v>
      </c>
      <c r="AC8" s="72">
        <f t="shared" si="12"/>
        <v>1.3536238675115987E-7</v>
      </c>
      <c r="AD8" s="72">
        <f t="shared" si="13"/>
        <v>2.6136238675115986E-7</v>
      </c>
      <c r="AE8" s="72">
        <f t="shared" si="14"/>
        <v>3.1118179493488756E-9</v>
      </c>
      <c r="AF8" s="72">
        <f t="shared" si="24"/>
        <v>2.4E-9</v>
      </c>
      <c r="AG8" s="72">
        <f t="shared" si="25"/>
        <v>7.7319325150207258E-9</v>
      </c>
      <c r="AH8" s="84">
        <f t="shared" si="26"/>
        <v>2.9689742982728048E-9</v>
      </c>
      <c r="AI8" s="84">
        <f>Control!$B$44*AH8*1000000*1000</f>
        <v>2.9689742982728045</v>
      </c>
      <c r="AJ8" s="77"/>
      <c r="AK8" s="72">
        <f t="shared" si="27"/>
        <v>7.6667945097469598E-10</v>
      </c>
      <c r="AL8" s="84">
        <f t="shared" si="28"/>
        <v>5.0000000000000001E-9</v>
      </c>
      <c r="AM8" s="84">
        <f t="shared" si="29"/>
        <v>8.3032432288901855E-10</v>
      </c>
      <c r="AN8" s="81"/>
      <c r="AO8" s="72">
        <f t="shared" si="30"/>
        <v>3.6532453895213767E-9</v>
      </c>
      <c r="AP8" s="72">
        <f t="shared" si="31"/>
        <v>1.8577576032424771E-15</v>
      </c>
      <c r="AQ8" s="72">
        <f t="shared" si="32"/>
        <v>-3.2157886072046638E-9</v>
      </c>
      <c r="AR8" s="72">
        <f t="shared" si="33"/>
        <v>-1.6883514553785632E-15</v>
      </c>
      <c r="AS8" s="72">
        <f t="shared" si="34"/>
        <v>4.3745695172286059E-10</v>
      </c>
      <c r="AT8" s="77"/>
      <c r="AU8" s="71">
        <v>-9.5019819200018656</v>
      </c>
      <c r="AV8" s="71">
        <v>1.4847579823743962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E9" s="71">
        <v>20</v>
      </c>
      <c r="F9" s="71">
        <f t="shared" si="15"/>
        <v>293.14999999999998</v>
      </c>
      <c r="G9" s="71">
        <f t="shared" si="16"/>
        <v>998.20413220058367</v>
      </c>
      <c r="H9" s="83">
        <f t="shared" si="0"/>
        <v>1.0139206485233145</v>
      </c>
      <c r="I9" s="83">
        <f t="shared" si="17"/>
        <v>1013.9206485233145</v>
      </c>
      <c r="J9" s="72">
        <f t="shared" si="1"/>
        <v>0.50776852919698434</v>
      </c>
      <c r="K9" s="82">
        <f t="shared" si="2"/>
        <v>73.796966763466273</v>
      </c>
      <c r="L9" s="72">
        <f t="shared" si="18"/>
        <v>5.1921337428159761E-4</v>
      </c>
      <c r="M9" s="72">
        <f t="shared" si="3"/>
        <v>4.1372509981815533</v>
      </c>
      <c r="N9" s="83">
        <f t="shared" si="19"/>
        <v>14.172777768292415</v>
      </c>
      <c r="O9" s="71">
        <f t="shared" si="20"/>
        <v>6.7177251596999975E-15</v>
      </c>
      <c r="P9" s="83">
        <f t="shared" si="21"/>
        <v>7.4082581187832606</v>
      </c>
      <c r="Q9" s="72">
        <f t="shared" si="22"/>
        <v>3.9060867225036983E-8</v>
      </c>
      <c r="R9" s="72">
        <f t="shared" si="4"/>
        <v>0.50000003906086721</v>
      </c>
      <c r="S9" s="71">
        <f t="shared" si="5"/>
        <v>4.1361832867339159E-10</v>
      </c>
      <c r="T9" s="77"/>
      <c r="U9" s="72">
        <f t="shared" si="6"/>
        <v>6.8500465399490021E-2</v>
      </c>
      <c r="V9" s="72">
        <f t="shared" si="7"/>
        <v>-4.5166122568054773E-2</v>
      </c>
      <c r="W9" s="84">
        <f t="shared" si="8"/>
        <v>-9.5002540214486654E-3</v>
      </c>
      <c r="X9" s="82">
        <f t="shared" si="23"/>
        <v>-9.500254021448665</v>
      </c>
      <c r="Y9" s="77"/>
      <c r="Z9" s="72">
        <f t="shared" si="9"/>
        <v>2.1756311560302912E-9</v>
      </c>
      <c r="AA9" s="72">
        <f t="shared" si="10"/>
        <v>1.1557508836958025E-7</v>
      </c>
      <c r="AB9" s="72">
        <f t="shared" si="11"/>
        <v>4.2657508836958024E-7</v>
      </c>
      <c r="AC9" s="72">
        <f t="shared" si="12"/>
        <v>1.4257508836958024E-7</v>
      </c>
      <c r="AD9" s="72">
        <f t="shared" si="13"/>
        <v>2.6857508836958023E-7</v>
      </c>
      <c r="AE9" s="72">
        <f t="shared" si="14"/>
        <v>3.2980678864312482E-9</v>
      </c>
      <c r="AF9" s="72">
        <f t="shared" si="24"/>
        <v>2.4E-9</v>
      </c>
      <c r="AG9" s="72">
        <f t="shared" si="25"/>
        <v>7.8736990424615399E-9</v>
      </c>
      <c r="AH9" s="84">
        <f t="shared" si="26"/>
        <v>2.8863996082088045E-9</v>
      </c>
      <c r="AI9" s="84">
        <f>Control!$B$44*AH9*1000000*1000</f>
        <v>2.8863996082088046</v>
      </c>
      <c r="AJ9" s="77"/>
      <c r="AK9" s="72">
        <f t="shared" si="27"/>
        <v>7.7241340114977937E-10</v>
      </c>
      <c r="AL9" s="84">
        <f t="shared" si="28"/>
        <v>5.0000000000000001E-9</v>
      </c>
      <c r="AM9" s="84">
        <f t="shared" si="29"/>
        <v>8.2723665734678317E-10</v>
      </c>
      <c r="AN9" s="81"/>
      <c r="AO9" s="72">
        <f t="shared" si="30"/>
        <v>3.8448152522638599E-9</v>
      </c>
      <c r="AP9" s="72">
        <f t="shared" si="31"/>
        <v>1.9201679602377029E-15</v>
      </c>
      <c r="AQ9" s="72">
        <f t="shared" si="32"/>
        <v>-3.3613469583116672E-9</v>
      </c>
      <c r="AR9" s="72">
        <f t="shared" si="33"/>
        <v>-2.1779392751846354E-15</v>
      </c>
      <c r="AS9" s="72">
        <f t="shared" si="34"/>
        <v>4.8346803618087758E-10</v>
      </c>
      <c r="AT9" s="77"/>
      <c r="AU9" s="71">
        <v>-9.5019671182353491</v>
      </c>
      <c r="AV9" s="71">
        <v>1.4434623266322242</v>
      </c>
    </row>
    <row r="10" spans="1:48" x14ac:dyDescent="0.35">
      <c r="B10" s="4"/>
      <c r="E10" s="71">
        <v>25</v>
      </c>
      <c r="F10" s="71">
        <f t="shared" si="15"/>
        <v>298.14999999999998</v>
      </c>
      <c r="G10" s="71">
        <f t="shared" si="16"/>
        <v>997.04489541791554</v>
      </c>
      <c r="H10" s="83">
        <f t="shared" si="0"/>
        <v>1.0127770936382343</v>
      </c>
      <c r="I10" s="83">
        <f t="shared" si="17"/>
        <v>1012.7770936382343</v>
      </c>
      <c r="J10" s="72">
        <f t="shared" si="1"/>
        <v>0.50835889775393839</v>
      </c>
      <c r="K10" s="82">
        <f t="shared" si="2"/>
        <v>71.997634990091271</v>
      </c>
      <c r="L10" s="72">
        <f t="shared" si="18"/>
        <v>4.6115697613655809E-4</v>
      </c>
      <c r="M10" s="72">
        <f t="shared" si="3"/>
        <v>4.6433689115686194</v>
      </c>
      <c r="N10" s="83">
        <f t="shared" si="19"/>
        <v>14.035502101212563</v>
      </c>
      <c r="O10" s="71">
        <f t="shared" si="20"/>
        <v>9.215054302775012E-15</v>
      </c>
      <c r="P10" s="83">
        <f t="shared" si="21"/>
        <v>7.3930337601279197</v>
      </c>
      <c r="Q10" s="72">
        <f t="shared" si="22"/>
        <v>4.0454444298334853E-8</v>
      </c>
      <c r="R10" s="72">
        <f t="shared" si="4"/>
        <v>0.50000004045444435</v>
      </c>
      <c r="S10" s="71">
        <f t="shared" si="5"/>
        <v>4.1201411251211238E-10</v>
      </c>
      <c r="T10" s="77"/>
      <c r="U10" s="72">
        <f t="shared" si="6"/>
        <v>6.9967736734477856E-2</v>
      </c>
      <c r="V10" s="72">
        <f t="shared" si="7"/>
        <v>-4.5573335058043146E-2</v>
      </c>
      <c r="W10" s="84">
        <f t="shared" si="8"/>
        <v>-9.500244527237002E-3</v>
      </c>
      <c r="X10" s="82">
        <f t="shared" si="23"/>
        <v>-9.5002445272370029</v>
      </c>
      <c r="Y10" s="77"/>
      <c r="Z10" s="72">
        <f t="shared" si="9"/>
        <v>2.1230724922517857E-9</v>
      </c>
      <c r="AA10" s="72">
        <f t="shared" si="10"/>
        <v>1.2302458337212249E-7</v>
      </c>
      <c r="AB10" s="72">
        <f t="shared" si="11"/>
        <v>4.3402458337212245E-7</v>
      </c>
      <c r="AC10" s="72">
        <f t="shared" si="12"/>
        <v>1.5002458337212248E-7</v>
      </c>
      <c r="AD10" s="72">
        <f t="shared" si="13"/>
        <v>2.7602458337212244E-7</v>
      </c>
      <c r="AE10" s="72">
        <f t="shared" si="14"/>
        <v>3.4710673525269984E-9</v>
      </c>
      <c r="AF10" s="72">
        <f t="shared" si="24"/>
        <v>2.4E-9</v>
      </c>
      <c r="AG10" s="72">
        <f t="shared" si="25"/>
        <v>7.9941398447787841E-9</v>
      </c>
      <c r="AH10" s="84">
        <f t="shared" si="26"/>
        <v>2.8251694723180496E-9</v>
      </c>
      <c r="AI10" s="84">
        <f>Control!$B$44*AH10*1000000*1000</f>
        <v>2.8251694723180494</v>
      </c>
      <c r="AJ10" s="77"/>
      <c r="AK10" s="72">
        <f t="shared" si="27"/>
        <v>7.7844003901826082E-10</v>
      </c>
      <c r="AL10" s="84">
        <f t="shared" si="28"/>
        <v>5.0000000000000001E-9</v>
      </c>
      <c r="AM10" s="84">
        <f t="shared" si="29"/>
        <v>8.2402822502422476E-10</v>
      </c>
      <c r="AN10" s="81"/>
      <c r="AO10" s="72">
        <f t="shared" si="30"/>
        <v>4.0281892930615831E-9</v>
      </c>
      <c r="AP10" s="72">
        <f t="shared" si="31"/>
        <v>1.9915404970545179E-15</v>
      </c>
      <c r="AQ10" s="72">
        <f t="shared" si="32"/>
        <v>-3.5059599361582274E-9</v>
      </c>
      <c r="AR10" s="72">
        <f t="shared" si="33"/>
        <v>-2.9386910966413101E-15</v>
      </c>
      <c r="AS10" s="72">
        <f t="shared" si="34"/>
        <v>5.2222840975275635E-10</v>
      </c>
      <c r="AT10" s="77"/>
      <c r="AU10" s="71">
        <v>-9.5019494449582123</v>
      </c>
      <c r="AV10" s="71">
        <v>1.4128406044276847</v>
      </c>
    </row>
    <row r="11" spans="1:48" x14ac:dyDescent="0.35">
      <c r="B11" s="4"/>
      <c r="E11" s="71">
        <v>30</v>
      </c>
      <c r="F11" s="71">
        <f t="shared" si="15"/>
        <v>303.14999999999998</v>
      </c>
      <c r="G11" s="71">
        <f t="shared" si="16"/>
        <v>995.64725885447808</v>
      </c>
      <c r="H11" s="83">
        <f t="shared" si="0"/>
        <v>1.0113983639916413</v>
      </c>
      <c r="I11" s="83">
        <f t="shared" si="17"/>
        <v>1011.3983639916413</v>
      </c>
      <c r="J11" s="72">
        <f t="shared" si="1"/>
        <v>0.50907250488390432</v>
      </c>
      <c r="K11" s="82">
        <f t="shared" si="2"/>
        <v>70.239944491716258</v>
      </c>
      <c r="L11" s="72">
        <f t="shared" si="18"/>
        <v>4.1296792218850528E-4</v>
      </c>
      <c r="M11" s="72">
        <f t="shared" si="3"/>
        <v>5.1457368249556872</v>
      </c>
      <c r="N11" s="83">
        <f t="shared" si="19"/>
        <v>13.879796860721664</v>
      </c>
      <c r="O11" s="71">
        <f t="shared" si="20"/>
        <v>1.3188734914099951E-14</v>
      </c>
      <c r="P11" s="83">
        <f t="shared" si="21"/>
        <v>7.3757654963767711</v>
      </c>
      <c r="Q11" s="72">
        <f t="shared" si="22"/>
        <v>4.2095386719272014E-8</v>
      </c>
      <c r="R11" s="72">
        <f t="shared" si="4"/>
        <v>0.50000004209538673</v>
      </c>
      <c r="S11" s="71">
        <f t="shared" si="5"/>
        <v>4.1035188727072116E-10</v>
      </c>
      <c r="T11" s="77"/>
      <c r="U11" s="72">
        <f t="shared" si="6"/>
        <v>7.1717785941221926E-2</v>
      </c>
      <c r="V11" s="72">
        <f t="shared" si="7"/>
        <v>-4.5907201566531074E-2</v>
      </c>
      <c r="W11" s="84">
        <f t="shared" si="8"/>
        <v>-9.5002345029665432E-3</v>
      </c>
      <c r="X11" s="82">
        <f t="shared" si="23"/>
        <v>-9.5002345029665438</v>
      </c>
      <c r="Y11" s="77"/>
      <c r="Z11" s="72">
        <f t="shared" si="9"/>
        <v>2.0643401695153764E-9</v>
      </c>
      <c r="AA11" s="72">
        <f t="shared" si="10"/>
        <v>1.3067374917938653E-7</v>
      </c>
      <c r="AB11" s="72">
        <f t="shared" si="11"/>
        <v>4.4167374917938655E-7</v>
      </c>
      <c r="AC11" s="72">
        <f t="shared" si="12"/>
        <v>1.5767374917938652E-7</v>
      </c>
      <c r="AD11" s="72">
        <f t="shared" si="13"/>
        <v>2.8367374917938654E-7</v>
      </c>
      <c r="AE11" s="72">
        <f t="shared" si="14"/>
        <v>3.6293939702747262E-9</v>
      </c>
      <c r="AF11" s="72">
        <f t="shared" si="24"/>
        <v>2.4E-9</v>
      </c>
      <c r="AG11" s="72">
        <f t="shared" si="25"/>
        <v>8.0937341397901031E-9</v>
      </c>
      <c r="AH11" s="84">
        <f t="shared" si="26"/>
        <v>2.7775020727807098E-9</v>
      </c>
      <c r="AI11" s="84">
        <f>Control!$B$44*AH11*1000000*1000</f>
        <v>2.7775020727807096</v>
      </c>
      <c r="AJ11" s="77"/>
      <c r="AK11" s="72">
        <f t="shared" si="27"/>
        <v>7.8475931230847737E-10</v>
      </c>
      <c r="AL11" s="84">
        <f t="shared" si="28"/>
        <v>5.0000000000000001E-9</v>
      </c>
      <c r="AM11" s="84">
        <f t="shared" si="29"/>
        <v>8.2070377454144233E-10</v>
      </c>
      <c r="AN11" s="81"/>
      <c r="AO11" s="72">
        <f t="shared" si="30"/>
        <v>4.2019423711660911E-9</v>
      </c>
      <c r="AP11" s="72">
        <f t="shared" si="31"/>
        <v>2.0710397586643771E-15</v>
      </c>
      <c r="AQ11" s="72">
        <f t="shared" si="32"/>
        <v>-3.6485813585073175E-9</v>
      </c>
      <c r="AR11" s="72">
        <f t="shared" si="33"/>
        <v>-4.1132245603816645E-15</v>
      </c>
      <c r="AS11" s="72">
        <f t="shared" si="34"/>
        <v>5.5335897047397212E-10</v>
      </c>
      <c r="AT11" s="77"/>
      <c r="AU11" s="71">
        <v>-9.5019290079362246</v>
      </c>
      <c r="AV11" s="71">
        <v>1.3890011901977757</v>
      </c>
    </row>
    <row r="12" spans="1:48" x14ac:dyDescent="0.35">
      <c r="B12" s="4"/>
      <c r="E12" s="71">
        <v>35</v>
      </c>
      <c r="F12" s="71">
        <f t="shared" si="15"/>
        <v>308.14999999999998</v>
      </c>
      <c r="G12" s="71">
        <f t="shared" si="16"/>
        <v>994.03186567551825</v>
      </c>
      <c r="H12" s="83">
        <f t="shared" si="0"/>
        <v>1.00980482349263</v>
      </c>
      <c r="I12" s="83">
        <f t="shared" si="17"/>
        <v>1009.80482349263</v>
      </c>
      <c r="J12" s="72">
        <f t="shared" si="1"/>
        <v>0.50989979451151268</v>
      </c>
      <c r="K12" s="82">
        <f t="shared" si="2"/>
        <v>68.522837768341248</v>
      </c>
      <c r="L12" s="72">
        <f t="shared" si="18"/>
        <v>3.7249689347286784E-4</v>
      </c>
      <c r="M12" s="72">
        <f t="shared" si="3"/>
        <v>5.644354738342753</v>
      </c>
      <c r="N12" s="83">
        <f t="shared" si="19"/>
        <v>13.717188217917446</v>
      </c>
      <c r="O12" s="71">
        <f t="shared" si="20"/>
        <v>1.9178373932624932E-14</v>
      </c>
      <c r="P12" s="83">
        <f t="shared" si="21"/>
        <v>7.3577316208096635</v>
      </c>
      <c r="Q12" s="72">
        <f t="shared" si="22"/>
        <v>4.388017785530881E-8</v>
      </c>
      <c r="R12" s="72">
        <f t="shared" si="4"/>
        <v>0.50000004388017782</v>
      </c>
      <c r="S12" s="71">
        <f t="shared" si="5"/>
        <v>4.086338358816932E-10</v>
      </c>
      <c r="T12" s="77"/>
      <c r="U12" s="72">
        <f t="shared" si="6"/>
        <v>7.3618754755828006E-2</v>
      </c>
      <c r="V12" s="72">
        <f t="shared" si="7"/>
        <v>-4.6201076946139556E-2</v>
      </c>
      <c r="W12" s="84">
        <f t="shared" si="8"/>
        <v>-9.5002242183608119E-3</v>
      </c>
      <c r="X12" s="82">
        <f t="shared" si="23"/>
        <v>-9.5002242183608114</v>
      </c>
      <c r="Y12" s="77"/>
      <c r="Z12" s="72">
        <f t="shared" si="9"/>
        <v>2.0040596781533578E-9</v>
      </c>
      <c r="AA12" s="72">
        <f t="shared" si="10"/>
        <v>1.3849266731689734E-7</v>
      </c>
      <c r="AB12" s="72">
        <f t="shared" si="11"/>
        <v>4.4949266731689734E-7</v>
      </c>
      <c r="AC12" s="72">
        <f t="shared" si="12"/>
        <v>1.6549266731689733E-7</v>
      </c>
      <c r="AD12" s="72">
        <f t="shared" si="13"/>
        <v>2.9149266731689732E-7</v>
      </c>
      <c r="AE12" s="72">
        <f t="shared" si="14"/>
        <v>3.77732778921465E-9</v>
      </c>
      <c r="AF12" s="72">
        <f t="shared" si="24"/>
        <v>2.4E-9</v>
      </c>
      <c r="AG12" s="72">
        <f t="shared" si="25"/>
        <v>8.1813874673680078E-9</v>
      </c>
      <c r="AH12" s="84">
        <f t="shared" si="26"/>
        <v>2.738757239640805E-9</v>
      </c>
      <c r="AI12" s="84">
        <f>Control!$B$44*AH12*1000000*1000</f>
        <v>2.7387572396408051</v>
      </c>
      <c r="AJ12" s="77"/>
      <c r="AK12" s="72">
        <f t="shared" si="27"/>
        <v>7.9137203216615521E-10</v>
      </c>
      <c r="AL12" s="84">
        <f t="shared" si="28"/>
        <v>5.0000000000000001E-9</v>
      </c>
      <c r="AM12" s="84">
        <f t="shared" si="29"/>
        <v>8.1726767176338639E-10</v>
      </c>
      <c r="AN12" s="81"/>
      <c r="AO12" s="72">
        <f t="shared" si="30"/>
        <v>4.3688497825547024E-9</v>
      </c>
      <c r="AP12" s="72">
        <f t="shared" si="31"/>
        <v>2.1553704634960797E-15</v>
      </c>
      <c r="AQ12" s="72">
        <f t="shared" si="32"/>
        <v>-3.7897379932587141E-9</v>
      </c>
      <c r="AR12" s="72">
        <f t="shared" si="33"/>
        <v>-5.8348737393174683E-15</v>
      </c>
      <c r="AS12" s="72">
        <f t="shared" si="34"/>
        <v>5.791081097927123E-10</v>
      </c>
      <c r="AT12" s="77"/>
      <c r="AU12" s="71">
        <v>-9.5019059184326959</v>
      </c>
      <c r="AV12" s="71">
        <v>1.3696235371846608</v>
      </c>
    </row>
    <row r="13" spans="1:48" x14ac:dyDescent="0.35">
      <c r="B13" s="2"/>
      <c r="E13" s="71">
        <v>40</v>
      </c>
      <c r="F13" s="71">
        <f t="shared" si="15"/>
        <v>313.14999999999998</v>
      </c>
      <c r="G13" s="71">
        <f t="shared" si="16"/>
        <v>992.21576731538448</v>
      </c>
      <c r="H13" s="83">
        <f t="shared" si="0"/>
        <v>1.0080132929075347</v>
      </c>
      <c r="I13" s="83">
        <f t="shared" si="17"/>
        <v>1008.0132929075347</v>
      </c>
      <c r="J13" s="72">
        <f t="shared" si="1"/>
        <v>0.51083308766321345</v>
      </c>
      <c r="K13" s="82">
        <f t="shared" si="2"/>
        <v>66.845257319966265</v>
      </c>
      <c r="L13" s="72">
        <f t="shared" si="18"/>
        <v>3.3813978296423489E-4</v>
      </c>
      <c r="M13" s="72">
        <f t="shared" si="3"/>
        <v>6.1392226517298187</v>
      </c>
      <c r="N13" s="83">
        <f t="shared" si="19"/>
        <v>13.557150715817892</v>
      </c>
      <c r="O13" s="71">
        <f t="shared" si="20"/>
        <v>2.7723578297299922E-14</v>
      </c>
      <c r="P13" s="83">
        <f t="shared" si="21"/>
        <v>7.3399828938713982</v>
      </c>
      <c r="Q13" s="72">
        <f t="shared" si="22"/>
        <v>4.5710619390383078E-8</v>
      </c>
      <c r="R13" s="72">
        <f t="shared" si="4"/>
        <v>0.5000000457106194</v>
      </c>
      <c r="S13" s="71">
        <f t="shared" si="5"/>
        <v>4.0686194901084096E-10</v>
      </c>
      <c r="T13" s="77"/>
      <c r="U13" s="72">
        <f t="shared" si="6"/>
        <v>7.554729041814473E-2</v>
      </c>
      <c r="V13" s="72">
        <f t="shared" si="7"/>
        <v>-4.6485353086252845E-2</v>
      </c>
      <c r="W13" s="84">
        <f t="shared" si="8"/>
        <v>-9.5002138911330341E-3</v>
      </c>
      <c r="X13" s="82">
        <f t="shared" si="23"/>
        <v>-9.5002138911330345</v>
      </c>
      <c r="Y13" s="77"/>
      <c r="Z13" s="72">
        <f t="shared" si="9"/>
        <v>1.9458236704321574E-9</v>
      </c>
      <c r="AA13" s="72">
        <f t="shared" si="10"/>
        <v>1.4645635426793014E-7</v>
      </c>
      <c r="AB13" s="72">
        <f t="shared" si="11"/>
        <v>4.574563542679301E-7</v>
      </c>
      <c r="AC13" s="72">
        <f t="shared" si="12"/>
        <v>1.7345635426793013E-7</v>
      </c>
      <c r="AD13" s="72">
        <f t="shared" si="13"/>
        <v>2.9945635426793009E-7</v>
      </c>
      <c r="AE13" s="72">
        <f t="shared" si="14"/>
        <v>3.9195926306089423E-9</v>
      </c>
      <c r="AF13" s="72">
        <f t="shared" si="24"/>
        <v>2.4E-9</v>
      </c>
      <c r="AG13" s="72">
        <f t="shared" si="25"/>
        <v>8.2654163010410997E-9</v>
      </c>
      <c r="AH13" s="84">
        <f t="shared" si="26"/>
        <v>2.7060356638708401E-9</v>
      </c>
      <c r="AI13" s="84">
        <f>Control!$B$44*AH13*1000000*1000</f>
        <v>2.70603566387084</v>
      </c>
      <c r="AJ13" s="77"/>
      <c r="AK13" s="72">
        <f t="shared" si="27"/>
        <v>7.9827990087079581E-10</v>
      </c>
      <c r="AL13" s="84">
        <f t="shared" si="28"/>
        <v>5.0000000000000001E-9</v>
      </c>
      <c r="AM13" s="84">
        <f t="shared" si="29"/>
        <v>8.1372389802168193E-10</v>
      </c>
      <c r="AN13" s="81"/>
      <c r="AO13" s="72">
        <f t="shared" si="30"/>
        <v>4.5320712403458709E-9</v>
      </c>
      <c r="AP13" s="72">
        <f t="shared" si="31"/>
        <v>2.2415368492100121E-15</v>
      </c>
      <c r="AQ13" s="72">
        <f t="shared" si="32"/>
        <v>-3.9301786735702776E-9</v>
      </c>
      <c r="AR13" s="72">
        <f t="shared" si="33"/>
        <v>-8.2303402039242962E-15</v>
      </c>
      <c r="AS13" s="72">
        <f t="shared" si="34"/>
        <v>6.0188657797223884E-10</v>
      </c>
      <c r="AT13" s="77"/>
      <c r="AU13" s="71">
        <v>-9.5018802905244328</v>
      </c>
      <c r="AV13" s="71">
        <v>1.3532576820154494</v>
      </c>
    </row>
    <row r="14" spans="1:48" x14ac:dyDescent="0.35">
      <c r="B14" s="3"/>
      <c r="E14" s="71">
        <v>45</v>
      </c>
      <c r="F14" s="71">
        <f t="shared" si="15"/>
        <v>318.14999999999998</v>
      </c>
      <c r="G14" s="71">
        <f t="shared" si="16"/>
        <v>990.21322507955676</v>
      </c>
      <c r="H14" s="83">
        <f t="shared" si="0"/>
        <v>1.0060378406180639</v>
      </c>
      <c r="I14" s="83">
        <f t="shared" si="17"/>
        <v>1006.0378406180639</v>
      </c>
      <c r="J14" s="72">
        <f t="shared" si="1"/>
        <v>0.51186616297224263</v>
      </c>
      <c r="K14" s="82">
        <f t="shared" si="2"/>
        <v>65.206145646591224</v>
      </c>
      <c r="L14" s="72">
        <f t="shared" si="18"/>
        <v>3.0868959095617284E-4</v>
      </c>
      <c r="M14" s="72">
        <f t="shared" si="3"/>
        <v>6.6303405651168852</v>
      </c>
      <c r="N14" s="83">
        <f t="shared" si="19"/>
        <v>13.404901273924571</v>
      </c>
      <c r="O14" s="71">
        <f t="shared" si="20"/>
        <v>3.9363954947074921E-14</v>
      </c>
      <c r="P14" s="83">
        <f t="shared" si="21"/>
        <v>7.3230978904489685</v>
      </c>
      <c r="Q14" s="72">
        <f t="shared" si="22"/>
        <v>4.75228096939406E-8</v>
      </c>
      <c r="R14" s="72">
        <f t="shared" si="4"/>
        <v>0.50000004752280969</v>
      </c>
      <c r="S14" s="71">
        <f t="shared" si="5"/>
        <v>4.0503802366741066E-10</v>
      </c>
      <c r="T14" s="77"/>
      <c r="U14" s="72">
        <f t="shared" si="6"/>
        <v>7.742399605547641E-2</v>
      </c>
      <c r="V14" s="72">
        <f t="shared" si="7"/>
        <v>-4.6778922653144817E-2</v>
      </c>
      <c r="W14" s="84">
        <f t="shared" si="8"/>
        <v>-9.500203654157555E-3</v>
      </c>
      <c r="X14" s="82">
        <f t="shared" si="23"/>
        <v>-9.5002036541575556</v>
      </c>
      <c r="Y14" s="77"/>
      <c r="Z14" s="72">
        <f t="shared" si="9"/>
        <v>1.891452313484923E-9</v>
      </c>
      <c r="AA14" s="72">
        <f t="shared" si="10"/>
        <v>1.5454226478364734E-7</v>
      </c>
      <c r="AB14" s="72">
        <f t="shared" si="11"/>
        <v>4.6554226478364733E-7</v>
      </c>
      <c r="AC14" s="72">
        <f t="shared" si="12"/>
        <v>1.8154226478364733E-7</v>
      </c>
      <c r="AD14" s="72">
        <f t="shared" si="13"/>
        <v>3.0754226478364732E-7</v>
      </c>
      <c r="AE14" s="72">
        <f t="shared" si="14"/>
        <v>4.0593409267740518E-9</v>
      </c>
      <c r="AF14" s="72">
        <f t="shared" si="24"/>
        <v>2.4E-9</v>
      </c>
      <c r="AG14" s="72">
        <f t="shared" si="25"/>
        <v>8.3507932402589748E-9</v>
      </c>
      <c r="AH14" s="84">
        <f t="shared" si="26"/>
        <v>2.6774287589935348E-9</v>
      </c>
      <c r="AI14" s="84">
        <f>Control!$B$44*AH14*1000000*1000</f>
        <v>2.6774287589935346</v>
      </c>
      <c r="AJ14" s="77"/>
      <c r="AK14" s="72">
        <f t="shared" si="27"/>
        <v>8.0548554837444421E-10</v>
      </c>
      <c r="AL14" s="84">
        <f t="shared" si="28"/>
        <v>5.0000000000000001E-9</v>
      </c>
      <c r="AM14" s="84">
        <f t="shared" si="29"/>
        <v>8.1007604733482132E-10</v>
      </c>
      <c r="AN14" s="81"/>
      <c r="AO14" s="72">
        <f t="shared" si="30"/>
        <v>4.6936677800516062E-9</v>
      </c>
      <c r="AP14" s="72">
        <f t="shared" si="31"/>
        <v>2.3276458390549318E-15</v>
      </c>
      <c r="AQ14" s="72">
        <f t="shared" si="32"/>
        <v>-4.0703206603696733E-9</v>
      </c>
      <c r="AR14" s="72">
        <f t="shared" si="33"/>
        <v>-1.1423055732699986E-14</v>
      </c>
      <c r="AS14" s="72">
        <f t="shared" si="34"/>
        <v>6.2333802427203942E-10</v>
      </c>
      <c r="AT14" s="77"/>
      <c r="AU14" s="71">
        <v>-9.5018522404528394</v>
      </c>
      <c r="AV14" s="71">
        <v>1.338949114141833</v>
      </c>
    </row>
    <row r="15" spans="1:48" x14ac:dyDescent="0.35">
      <c r="B15" s="6"/>
      <c r="E15" s="71">
        <v>50</v>
      </c>
      <c r="F15" s="71">
        <f t="shared" si="15"/>
        <v>323.14999999999998</v>
      </c>
      <c r="G15" s="71">
        <f t="shared" si="16"/>
        <v>988.03629161147626</v>
      </c>
      <c r="H15" s="83">
        <f t="shared" si="0"/>
        <v>1.0038903562221764</v>
      </c>
      <c r="I15" s="83">
        <f t="shared" si="17"/>
        <v>1003.8903562221764</v>
      </c>
      <c r="J15" s="72">
        <f t="shared" si="1"/>
        <v>0.51299395411798576</v>
      </c>
      <c r="K15" s="82">
        <f t="shared" si="2"/>
        <v>63.604445248216301</v>
      </c>
      <c r="L15" s="72">
        <f t="shared" si="18"/>
        <v>2.8322962568531191E-4</v>
      </c>
      <c r="M15" s="72">
        <f t="shared" si="3"/>
        <v>7.1177084785039533</v>
      </c>
      <c r="N15" s="83">
        <f t="shared" si="19"/>
        <v>13.262496376836017</v>
      </c>
      <c r="O15" s="71">
        <f t="shared" si="20"/>
        <v>5.4639110820899895E-14</v>
      </c>
      <c r="P15" s="83">
        <f t="shared" si="21"/>
        <v>7.3073046819825915</v>
      </c>
      <c r="Q15" s="72">
        <f t="shared" si="22"/>
        <v>4.9282793615645743E-8</v>
      </c>
      <c r="R15" s="72">
        <f t="shared" si="4"/>
        <v>0.50000004928279362</v>
      </c>
      <c r="S15" s="71">
        <f t="shared" si="5"/>
        <v>4.0316366131469409E-10</v>
      </c>
      <c r="T15" s="77"/>
      <c r="U15" s="72">
        <f t="shared" si="6"/>
        <v>7.9207318498779752E-2</v>
      </c>
      <c r="V15" s="72">
        <f t="shared" si="7"/>
        <v>-4.7091187267051193E-2</v>
      </c>
      <c r="W15" s="84">
        <f t="shared" si="8"/>
        <v>-9.5001935788751237E-3</v>
      </c>
      <c r="X15" s="82">
        <f t="shared" si="23"/>
        <v>-9.5001935788751233</v>
      </c>
      <c r="Y15" s="77"/>
      <c r="Z15" s="72">
        <f t="shared" si="9"/>
        <v>1.8415237159726289E-9</v>
      </c>
      <c r="AA15" s="72">
        <f t="shared" si="10"/>
        <v>1.6272798177480593E-7</v>
      </c>
      <c r="AB15" s="72">
        <f t="shared" si="11"/>
        <v>4.7372798177480595E-7</v>
      </c>
      <c r="AC15" s="72">
        <f t="shared" si="12"/>
        <v>1.8972798177480595E-7</v>
      </c>
      <c r="AD15" s="72">
        <f t="shared" si="13"/>
        <v>3.1572798177480594E-7</v>
      </c>
      <c r="AE15" s="72">
        <f t="shared" si="14"/>
        <v>4.1981578788914613E-9</v>
      </c>
      <c r="AF15" s="72">
        <f t="shared" si="24"/>
        <v>2.4E-9</v>
      </c>
      <c r="AG15" s="72">
        <f t="shared" si="25"/>
        <v>8.4396815948640911E-9</v>
      </c>
      <c r="AH15" s="84">
        <f t="shared" si="26"/>
        <v>2.651601683753523E-9</v>
      </c>
      <c r="AI15" s="84">
        <f>Control!$B$44*AH15*1000000*1000</f>
        <v>2.651601683753523</v>
      </c>
      <c r="AJ15" s="77"/>
      <c r="AK15" s="72">
        <f t="shared" si="27"/>
        <v>8.1299257801236959E-10</v>
      </c>
      <c r="AL15" s="84">
        <f t="shared" si="28"/>
        <v>5.0000000000000001E-9</v>
      </c>
      <c r="AM15" s="84">
        <f t="shared" si="29"/>
        <v>8.0632732262938817E-10</v>
      </c>
      <c r="AN15" s="81"/>
      <c r="AO15" s="72">
        <f t="shared" si="30"/>
        <v>4.8545761498234168E-9</v>
      </c>
      <c r="AP15" s="72">
        <f t="shared" si="31"/>
        <v>2.4127039621925872E-15</v>
      </c>
      <c r="AQ15" s="72">
        <f t="shared" si="32"/>
        <v>-4.2102011247167338E-9</v>
      </c>
      <c r="AR15" s="72">
        <f t="shared" si="33"/>
        <v>-1.5535413967750617E-14</v>
      </c>
      <c r="AS15" s="72">
        <f t="shared" si="34"/>
        <v>6.4436190239667747E-10</v>
      </c>
      <c r="AT15" s="77"/>
      <c r="AU15" s="71">
        <v>-9.5018218860151897</v>
      </c>
      <c r="AV15" s="71">
        <v>1.3260302493341294</v>
      </c>
    </row>
    <row r="16" spans="1:48" x14ac:dyDescent="0.35">
      <c r="A16" s="43"/>
      <c r="B16" s="36"/>
      <c r="C16" s="6"/>
      <c r="E16" s="71">
        <v>55</v>
      </c>
      <c r="F16" s="71">
        <f t="shared" si="15"/>
        <v>328.15</v>
      </c>
      <c r="G16" s="71">
        <f t="shared" si="16"/>
        <v>985.69523966623524</v>
      </c>
      <c r="H16" s="83">
        <f t="shared" si="0"/>
        <v>1.001580973507417</v>
      </c>
      <c r="I16" s="83">
        <f t="shared" si="17"/>
        <v>1001.5809735074171</v>
      </c>
      <c r="J16" s="72">
        <f t="shared" si="1"/>
        <v>0.5142123281608505</v>
      </c>
      <c r="K16" s="82">
        <f t="shared" si="2"/>
        <v>62.039098624841294</v>
      </c>
      <c r="L16" s="72">
        <f t="shared" si="18"/>
        <v>2.6105637932242245E-4</v>
      </c>
      <c r="M16" s="72">
        <f t="shared" si="3"/>
        <v>7.6013263918910212</v>
      </c>
      <c r="N16" s="83">
        <f t="shared" si="19"/>
        <v>13.130248301853779</v>
      </c>
      <c r="O16" s="71">
        <f t="shared" si="20"/>
        <v>7.4088652857724808E-14</v>
      </c>
      <c r="P16" s="83">
        <f t="shared" si="21"/>
        <v>7.2926379011332445</v>
      </c>
      <c r="Q16" s="72">
        <f t="shared" si="22"/>
        <v>5.0975570960567134E-8</v>
      </c>
      <c r="R16" s="72">
        <f t="shared" si="4"/>
        <v>0.50000005097557099</v>
      </c>
      <c r="S16" s="71">
        <f t="shared" si="5"/>
        <v>4.0124026547942555E-10</v>
      </c>
      <c r="T16" s="77"/>
      <c r="U16" s="72">
        <f t="shared" si="6"/>
        <v>8.0879459056378375E-2</v>
      </c>
      <c r="V16" s="72">
        <f t="shared" si="7"/>
        <v>-4.742583350908193E-2</v>
      </c>
      <c r="W16" s="84">
        <f t="shared" si="8"/>
        <v>-9.5001837022315981E-3</v>
      </c>
      <c r="X16" s="82">
        <f t="shared" si="23"/>
        <v>-9.5001837022315989</v>
      </c>
      <c r="Y16" s="77"/>
      <c r="Z16" s="72">
        <f t="shared" si="9"/>
        <v>1.7959706886480582E-9</v>
      </c>
      <c r="AA16" s="72">
        <f t="shared" si="10"/>
        <v>1.7098932769195391E-7</v>
      </c>
      <c r="AB16" s="72">
        <f t="shared" si="11"/>
        <v>4.8198932769195396E-7</v>
      </c>
      <c r="AC16" s="72">
        <f t="shared" si="12"/>
        <v>1.979893276919539E-7</v>
      </c>
      <c r="AD16" s="72">
        <f t="shared" si="13"/>
        <v>3.2398932769195389E-7</v>
      </c>
      <c r="AE16" s="72">
        <f t="shared" si="14"/>
        <v>4.3365607075596367E-9</v>
      </c>
      <c r="AF16" s="72">
        <f t="shared" si="24"/>
        <v>2.4E-9</v>
      </c>
      <c r="AG16" s="72">
        <f t="shared" si="25"/>
        <v>8.5325313962076951E-9</v>
      </c>
      <c r="AH16" s="84">
        <f t="shared" si="26"/>
        <v>2.6275574837049952E-9</v>
      </c>
      <c r="AI16" s="84">
        <f>Control!$B$44*AH16*1000000*1000</f>
        <v>2.6275574837049955</v>
      </c>
      <c r="AJ16" s="77"/>
      <c r="AK16" s="72">
        <f t="shared" si="27"/>
        <v>8.2080562185815683E-10</v>
      </c>
      <c r="AL16" s="84">
        <f t="shared" si="28"/>
        <v>5.0000000000000001E-9</v>
      </c>
      <c r="AM16" s="84">
        <f t="shared" si="29"/>
        <v>8.0248053095885111E-10</v>
      </c>
      <c r="AN16" s="81"/>
      <c r="AO16" s="72">
        <f t="shared" si="30"/>
        <v>5.0149483552855805E-9</v>
      </c>
      <c r="AP16" s="72">
        <f t="shared" si="31"/>
        <v>2.4962471502448084E-15</v>
      </c>
      <c r="AQ16" s="72">
        <f t="shared" si="32"/>
        <v>-4.3495660048829785E-9</v>
      </c>
      <c r="AR16" s="72">
        <f t="shared" si="33"/>
        <v>-2.068971195216048E-14</v>
      </c>
      <c r="AS16" s="72">
        <f t="shared" si="34"/>
        <v>6.653641569378E-10</v>
      </c>
      <c r="AT16" s="77"/>
      <c r="AU16" s="71">
        <v>-9.501789346001166</v>
      </c>
      <c r="AV16" s="71">
        <v>1.3140024792826306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E17" s="71">
        <v>60</v>
      </c>
      <c r="F17" s="71">
        <f t="shared" si="15"/>
        <v>333.15</v>
      </c>
      <c r="G17" s="71">
        <f t="shared" si="16"/>
        <v>983.19888300964794</v>
      </c>
      <c r="H17" s="83">
        <f t="shared" si="0"/>
        <v>0.99911838700893407</v>
      </c>
      <c r="I17" s="83">
        <f t="shared" si="17"/>
        <v>999.11838700893406</v>
      </c>
      <c r="J17" s="72">
        <f t="shared" si="1"/>
        <v>0.51551792094628401</v>
      </c>
      <c r="K17" s="82">
        <f t="shared" si="2"/>
        <v>60.509048276466281</v>
      </c>
      <c r="L17" s="72">
        <f t="shared" si="18"/>
        <v>2.4162373512258604E-4</v>
      </c>
      <c r="M17" s="72">
        <f t="shared" si="3"/>
        <v>8.0811943052780872</v>
      </c>
      <c r="N17" s="83">
        <f t="shared" si="19"/>
        <v>13.007657769459144</v>
      </c>
      <c r="O17" s="71">
        <f t="shared" si="20"/>
        <v>9.8252187996499737E-14</v>
      </c>
      <c r="P17" s="83">
        <f t="shared" si="21"/>
        <v>7.2790421760304147</v>
      </c>
      <c r="Q17" s="72">
        <f t="shared" si="22"/>
        <v>5.2596618528345352E-8</v>
      </c>
      <c r="R17" s="72">
        <f t="shared" si="4"/>
        <v>0.5000000525966185</v>
      </c>
      <c r="S17" s="71">
        <f t="shared" si="5"/>
        <v>3.9926903886126343E-10</v>
      </c>
      <c r="T17" s="77"/>
      <c r="U17" s="72">
        <f t="shared" si="6"/>
        <v>8.2435635545324237E-2</v>
      </c>
      <c r="V17" s="72">
        <f t="shared" si="7"/>
        <v>-4.7783573342340166E-2</v>
      </c>
      <c r="W17" s="84">
        <f t="shared" si="8"/>
        <v>-9.5001740439981108E-3</v>
      </c>
      <c r="X17" s="82">
        <f t="shared" si="23"/>
        <v>-9.5001740439981113</v>
      </c>
      <c r="Y17" s="77"/>
      <c r="Z17" s="72">
        <f t="shared" si="9"/>
        <v>1.7544530586796256E-9</v>
      </c>
      <c r="AA17" s="72">
        <f t="shared" si="10"/>
        <v>1.79298996283933E-7</v>
      </c>
      <c r="AB17" s="72">
        <f t="shared" si="11"/>
        <v>4.9029899628393301E-7</v>
      </c>
      <c r="AC17" s="72">
        <f t="shared" si="12"/>
        <v>2.0629899628393299E-7</v>
      </c>
      <c r="AD17" s="72">
        <f t="shared" si="13"/>
        <v>3.32298996283933E-7</v>
      </c>
      <c r="AE17" s="72">
        <f t="shared" si="14"/>
        <v>4.4744167270319172E-9</v>
      </c>
      <c r="AF17" s="72">
        <f t="shared" si="24"/>
        <v>2.4E-9</v>
      </c>
      <c r="AG17" s="72">
        <f t="shared" si="25"/>
        <v>8.6288697857115424E-9</v>
      </c>
      <c r="AH17" s="84">
        <f t="shared" si="26"/>
        <v>2.6045036017457682E-9</v>
      </c>
      <c r="AI17" s="84">
        <f>Control!$B$44*AH17*1000000*1000</f>
        <v>2.6045036017457681</v>
      </c>
      <c r="AJ17" s="77"/>
      <c r="AK17" s="72">
        <f t="shared" si="27"/>
        <v>8.2893040632854264E-10</v>
      </c>
      <c r="AL17" s="84">
        <f t="shared" si="28"/>
        <v>5.0000000000000001E-9</v>
      </c>
      <c r="AM17" s="84">
        <f t="shared" si="29"/>
        <v>7.9853807772252687E-10</v>
      </c>
      <c r="AN17" s="81"/>
      <c r="AO17" s="72">
        <f t="shared" si="30"/>
        <v>5.1744408693450906E-9</v>
      </c>
      <c r="AP17" s="72">
        <f t="shared" si="31"/>
        <v>2.578071740469613E-15</v>
      </c>
      <c r="AQ17" s="72">
        <f t="shared" si="32"/>
        <v>-4.4879528579793267E-9</v>
      </c>
      <c r="AR17" s="72">
        <f t="shared" si="33"/>
        <v>-2.7008135457339621E-14</v>
      </c>
      <c r="AS17" s="72">
        <f t="shared" si="34"/>
        <v>6.8646358130204717E-10</v>
      </c>
      <c r="AT17" s="77"/>
      <c r="AU17" s="71">
        <v>-9.5017547396794502</v>
      </c>
      <c r="AV17" s="71">
        <v>1.3024694164030508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E18" s="71">
        <v>65</v>
      </c>
      <c r="F18" s="71">
        <f t="shared" si="15"/>
        <v>338.15</v>
      </c>
      <c r="G18" s="71">
        <f t="shared" si="16"/>
        <v>980.55481983181551</v>
      </c>
      <c r="H18" s="83">
        <f t="shared" si="0"/>
        <v>0.99651009213020181</v>
      </c>
      <c r="I18" s="83">
        <f t="shared" si="17"/>
        <v>996.51009213020177</v>
      </c>
      <c r="J18" s="72">
        <f t="shared" si="1"/>
        <v>0.51690801349870297</v>
      </c>
      <c r="K18" s="82">
        <f t="shared" si="2"/>
        <v>59.013236703091273</v>
      </c>
      <c r="L18" s="72">
        <f t="shared" si="18"/>
        <v>2.245025177447404E-4</v>
      </c>
      <c r="M18" s="72">
        <f t="shared" si="3"/>
        <v>8.5573122186651513</v>
      </c>
      <c r="N18" s="83">
        <f t="shared" si="19"/>
        <v>12.893913443972313</v>
      </c>
      <c r="O18" s="71">
        <f t="shared" si="20"/>
        <v>1.2766932317617458E-13</v>
      </c>
      <c r="P18" s="83">
        <f t="shared" si="21"/>
        <v>7.2664275266678722</v>
      </c>
      <c r="Q18" s="72">
        <f t="shared" si="22"/>
        <v>5.414675982984395E-8</v>
      </c>
      <c r="R18" s="72">
        <f t="shared" si="4"/>
        <v>0.50000005414675985</v>
      </c>
      <c r="S18" s="71">
        <f t="shared" si="5"/>
        <v>3.9725097994259705E-10</v>
      </c>
      <c r="T18" s="77"/>
      <c r="U18" s="72">
        <f t="shared" si="6"/>
        <v>8.3877625620007362E-2</v>
      </c>
      <c r="V18" s="72">
        <f t="shared" si="7"/>
        <v>-4.8163724734689675E-2</v>
      </c>
      <c r="W18" s="84">
        <f t="shared" si="8"/>
        <v>-9.5001646159746829E-3</v>
      </c>
      <c r="X18" s="82">
        <f t="shared" si="23"/>
        <v>-9.5001646159746826</v>
      </c>
      <c r="Y18" s="77"/>
      <c r="Z18" s="72">
        <f t="shared" si="9"/>
        <v>1.7165471635407675E-9</v>
      </c>
      <c r="AA18" s="72">
        <f t="shared" si="10"/>
        <v>1.8762571606358694E-7</v>
      </c>
      <c r="AB18" s="72">
        <f t="shared" si="11"/>
        <v>4.9862571606358696E-7</v>
      </c>
      <c r="AC18" s="72">
        <f t="shared" si="12"/>
        <v>2.1462571606358693E-7</v>
      </c>
      <c r="AD18" s="72">
        <f t="shared" si="13"/>
        <v>3.4062571606358695E-7</v>
      </c>
      <c r="AE18" s="72">
        <f t="shared" si="14"/>
        <v>4.6112044930788166E-9</v>
      </c>
      <c r="AF18" s="72">
        <f t="shared" si="24"/>
        <v>2.4E-9</v>
      </c>
      <c r="AG18" s="72">
        <f t="shared" si="25"/>
        <v>8.7277516566195839E-9</v>
      </c>
      <c r="AH18" s="84">
        <f t="shared" si="26"/>
        <v>2.5817775414717714E-9</v>
      </c>
      <c r="AI18" s="84">
        <f>Control!$B$44*AH18*1000000*1000</f>
        <v>2.5817775414717716</v>
      </c>
      <c r="AJ18" s="77"/>
      <c r="AK18" s="72">
        <f t="shared" si="27"/>
        <v>8.3737382878987093E-10</v>
      </c>
      <c r="AL18" s="84">
        <f t="shared" si="28"/>
        <v>5.0000000000000001E-9</v>
      </c>
      <c r="AM18" s="84">
        <f t="shared" si="29"/>
        <v>7.9450195988519409E-10</v>
      </c>
      <c r="AN18" s="81"/>
      <c r="AO18" s="72">
        <f t="shared" si="30"/>
        <v>5.3323970422402114E-9</v>
      </c>
      <c r="AP18" s="72">
        <f t="shared" si="31"/>
        <v>2.658078863144061E-15</v>
      </c>
      <c r="AQ18" s="72">
        <f t="shared" si="32"/>
        <v>-4.6247456561189288E-9</v>
      </c>
      <c r="AR18" s="72">
        <f t="shared" si="33"/>
        <v>-3.461207267842129E-14</v>
      </c>
      <c r="AS18" s="72">
        <f t="shared" si="34"/>
        <v>7.076194321274671E-10</v>
      </c>
      <c r="AT18" s="77"/>
      <c r="AU18" s="71">
        <v>-9.5017181863391063</v>
      </c>
      <c r="AV18" s="71">
        <v>1.291099721276598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E19" s="71">
        <v>70</v>
      </c>
      <c r="F19" s="71">
        <f t="shared" si="15"/>
        <v>343.15</v>
      </c>
      <c r="G19" s="71">
        <f t="shared" si="16"/>
        <v>977.76961965898226</v>
      </c>
      <c r="H19" s="83">
        <f t="shared" si="0"/>
        <v>0.99376256952637321</v>
      </c>
      <c r="I19" s="83">
        <f t="shared" si="17"/>
        <v>993.76256952637323</v>
      </c>
      <c r="J19" s="72">
        <f t="shared" si="1"/>
        <v>0.51838043835174519</v>
      </c>
      <c r="K19" s="82">
        <f t="shared" si="2"/>
        <v>57.550606404716255</v>
      </c>
      <c r="L19" s="72">
        <f t="shared" si="18"/>
        <v>2.0935108859517789E-4</v>
      </c>
      <c r="M19" s="72">
        <f t="shared" si="3"/>
        <v>9.0296801320522189</v>
      </c>
      <c r="N19" s="83">
        <f t="shared" si="19"/>
        <v>12.788133131675163</v>
      </c>
      <c r="O19" s="71">
        <f t="shared" si="20"/>
        <v>1.6287966533569951E-13</v>
      </c>
      <c r="P19" s="83">
        <f t="shared" si="21"/>
        <v>7.2546961146314697</v>
      </c>
      <c r="Q19" s="72">
        <f t="shared" si="22"/>
        <v>5.5629337178449043E-8</v>
      </c>
      <c r="R19" s="72">
        <f t="shared" si="4"/>
        <v>0.50000005562933714</v>
      </c>
      <c r="S19" s="71">
        <f t="shared" si="5"/>
        <v>3.9518687909497152E-10</v>
      </c>
      <c r="T19" s="77"/>
      <c r="U19" s="72">
        <f t="shared" si="6"/>
        <v>8.5210225698156353E-2</v>
      </c>
      <c r="V19" s="72">
        <f t="shared" si="7"/>
        <v>-4.856504020970849E-2</v>
      </c>
      <c r="W19" s="84">
        <f t="shared" si="8"/>
        <v>-9.5001554264403845E-3</v>
      </c>
      <c r="X19" s="82">
        <f t="shared" si="23"/>
        <v>-9.5001554264403847</v>
      </c>
      <c r="Y19" s="77"/>
      <c r="Z19" s="72">
        <f t="shared" si="9"/>
        <v>1.6818314854592996E-9</v>
      </c>
      <c r="AA19" s="72">
        <f t="shared" si="10"/>
        <v>1.9593390792994113E-7</v>
      </c>
      <c r="AB19" s="72">
        <f t="shared" si="11"/>
        <v>5.0693390792994121E-7</v>
      </c>
      <c r="AC19" s="72">
        <f t="shared" si="12"/>
        <v>2.2293390792994115E-7</v>
      </c>
      <c r="AD19" s="72">
        <f t="shared" si="13"/>
        <v>3.4893390792994114E-7</v>
      </c>
      <c r="AE19" s="72">
        <f t="shared" si="14"/>
        <v>4.7461650862815847E-9</v>
      </c>
      <c r="AF19" s="72">
        <f t="shared" si="24"/>
        <v>2.4E-9</v>
      </c>
      <c r="AG19" s="72">
        <f t="shared" si="25"/>
        <v>8.8279965717408834E-9</v>
      </c>
      <c r="AH19" s="84">
        <f t="shared" si="26"/>
        <v>2.5588070006247468E-9</v>
      </c>
      <c r="AI19" s="84">
        <f>Control!$B$44*AH19*1000000*1000</f>
        <v>2.5588070006247468</v>
      </c>
      <c r="AJ19" s="77"/>
      <c r="AK19" s="72">
        <f t="shared" si="27"/>
        <v>8.4614404608222641E-10</v>
      </c>
      <c r="AL19" s="84">
        <f t="shared" si="28"/>
        <v>5.0000000000000001E-9</v>
      </c>
      <c r="AM19" s="84">
        <f t="shared" si="29"/>
        <v>7.9037375818994305E-10</v>
      </c>
      <c r="AN19" s="81"/>
      <c r="AO19" s="72">
        <f t="shared" si="30"/>
        <v>5.4879550982834073E-9</v>
      </c>
      <c r="AP19" s="72">
        <f t="shared" si="31"/>
        <v>2.7361932952761926E-15</v>
      </c>
      <c r="AQ19" s="72">
        <f t="shared" si="32"/>
        <v>-4.7592105600829072E-9</v>
      </c>
      <c r="AR19" s="72">
        <f t="shared" si="33"/>
        <v>-4.3620932310038723E-14</v>
      </c>
      <c r="AS19" s="72">
        <f t="shared" si="34"/>
        <v>7.2870365346148524E-10</v>
      </c>
      <c r="AT19" s="77"/>
      <c r="AU19" s="71">
        <v>-9.5016798048900384</v>
      </c>
      <c r="AV19" s="71">
        <v>1.2796071684749257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E20" s="71">
        <v>75</v>
      </c>
      <c r="F20" s="71">
        <f t="shared" si="15"/>
        <v>348.15</v>
      </c>
      <c r="G20" s="71">
        <f t="shared" si="16"/>
        <v>974.84896849496351</v>
      </c>
      <c r="H20" s="83">
        <f t="shared" si="0"/>
        <v>0.99088142828226777</v>
      </c>
      <c r="I20" s="83">
        <f t="shared" si="17"/>
        <v>990.88142828226773</v>
      </c>
      <c r="J20" s="72">
        <f t="shared" si="1"/>
        <v>0.51993350808829519</v>
      </c>
      <c r="K20" s="82">
        <f t="shared" si="2"/>
        <v>56.120099881341247</v>
      </c>
      <c r="L20" s="72">
        <f t="shared" si="18"/>
        <v>1.9589390010149449E-4</v>
      </c>
      <c r="M20" s="72">
        <f t="shared" si="3"/>
        <v>9.4982980454392862</v>
      </c>
      <c r="N20" s="83">
        <f t="shared" si="19"/>
        <v>12.689470621937891</v>
      </c>
      <c r="O20" s="71">
        <f t="shared" si="20"/>
        <v>2.0442282141402446E-13</v>
      </c>
      <c r="P20" s="83">
        <f t="shared" si="21"/>
        <v>7.2437540921592518</v>
      </c>
      <c r="Q20" s="72">
        <f t="shared" si="22"/>
        <v>5.7048720423801348E-8</v>
      </c>
      <c r="R20" s="72">
        <f t="shared" si="4"/>
        <v>0.50000005704872041</v>
      </c>
      <c r="S20" s="71">
        <f t="shared" si="5"/>
        <v>3.9307731417334468E-10</v>
      </c>
      <c r="T20" s="77"/>
      <c r="U20" s="72">
        <f t="shared" si="6"/>
        <v>8.6439392910973509E-2</v>
      </c>
      <c r="V20" s="72">
        <f t="shared" si="7"/>
        <v>-4.8986118393557598E-2</v>
      </c>
      <c r="W20" s="84">
        <f t="shared" si="8"/>
        <v>-9.5001464821558735E-3</v>
      </c>
      <c r="X20" s="82">
        <f t="shared" si="23"/>
        <v>-9.5001464821558734</v>
      </c>
      <c r="Y20" s="77"/>
      <c r="Z20" s="72">
        <f t="shared" si="9"/>
        <v>1.649920621121061E-9</v>
      </c>
      <c r="AA20" s="72">
        <f t="shared" si="10"/>
        <v>2.0418377584162014E-7</v>
      </c>
      <c r="AB20" s="72">
        <f t="shared" si="11"/>
        <v>5.1518377584162016E-7</v>
      </c>
      <c r="AC20" s="72">
        <f t="shared" si="12"/>
        <v>2.3118377584162013E-7</v>
      </c>
      <c r="AD20" s="72">
        <f t="shared" si="13"/>
        <v>3.5718377584162015E-7</v>
      </c>
      <c r="AE20" s="72">
        <f t="shared" si="14"/>
        <v>4.8783918288595183E-9</v>
      </c>
      <c r="AF20" s="72">
        <f t="shared" si="24"/>
        <v>2.4E-9</v>
      </c>
      <c r="AG20" s="72">
        <f t="shared" si="25"/>
        <v>8.9283124499805796E-9</v>
      </c>
      <c r="AH20" s="84">
        <f t="shared" si="26"/>
        <v>2.5350899962289702E-9</v>
      </c>
      <c r="AI20" s="84">
        <f>Control!$B$44*AH20*1000000*1000</f>
        <v>2.5350899962289701</v>
      </c>
      <c r="AJ20" s="77"/>
      <c r="AK20" s="72">
        <f t="shared" si="27"/>
        <v>8.5525057606405536E-10</v>
      </c>
      <c r="AL20" s="84">
        <f t="shared" si="28"/>
        <v>5.0000000000000001E-9</v>
      </c>
      <c r="AM20" s="84">
        <f t="shared" si="29"/>
        <v>7.8615462834668936E-10</v>
      </c>
      <c r="AN20" s="81"/>
      <c r="AO20" s="72">
        <f t="shared" si="30"/>
        <v>5.6401154519439224E-9</v>
      </c>
      <c r="AP20" s="72">
        <f t="shared" si="31"/>
        <v>2.8123246092083582E-15</v>
      </c>
      <c r="AQ20" s="72">
        <f t="shared" si="32"/>
        <v>-4.8905227988977271E-9</v>
      </c>
      <c r="AR20" s="72">
        <f t="shared" si="33"/>
        <v>-5.4150581547258171E-14</v>
      </c>
      <c r="AS20" s="72">
        <f t="shared" si="34"/>
        <v>7.4954131478925707E-10</v>
      </c>
      <c r="AT20" s="77"/>
      <c r="AU20" s="71">
        <v>-9.5016397135265844</v>
      </c>
      <c r="AV20" s="71">
        <v>1.2677407098563038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E21" s="71">
        <v>80</v>
      </c>
      <c r="F21" s="71">
        <f t="shared" si="15"/>
        <v>353.15</v>
      </c>
      <c r="G21" s="71">
        <f t="shared" si="16"/>
        <v>971.79778269157964</v>
      </c>
      <c r="H21" s="83">
        <f t="shared" si="0"/>
        <v>0.98787151824239083</v>
      </c>
      <c r="I21" s="83">
        <f t="shared" si="17"/>
        <v>987.87151824239083</v>
      </c>
      <c r="J21" s="72">
        <f t="shared" si="1"/>
        <v>0.5215659606075721</v>
      </c>
      <c r="K21" s="82">
        <f t="shared" si="2"/>
        <v>54.720659632966246</v>
      </c>
      <c r="L21" s="72">
        <f t="shared" si="18"/>
        <v>1.8390579227574416E-4</v>
      </c>
      <c r="M21" s="72">
        <f t="shared" si="3"/>
        <v>9.9631659588263517</v>
      </c>
      <c r="N21" s="83">
        <f t="shared" si="19"/>
        <v>12.597156969451365</v>
      </c>
      <c r="O21" s="71">
        <f t="shared" si="20"/>
        <v>2.5283839835009936E-13</v>
      </c>
      <c r="P21" s="83">
        <f t="shared" si="21"/>
        <v>7.2335161804875359</v>
      </c>
      <c r="Q21" s="72">
        <f t="shared" si="22"/>
        <v>5.8409544507299777E-8</v>
      </c>
      <c r="R21" s="72">
        <f t="shared" si="4"/>
        <v>0.50000005840954453</v>
      </c>
      <c r="S21" s="71">
        <f t="shared" si="5"/>
        <v>3.9092264558378078E-10</v>
      </c>
      <c r="T21" s="77"/>
      <c r="U21" s="72">
        <f t="shared" si="6"/>
        <v>8.7571300476301087E-2</v>
      </c>
      <c r="V21" s="72">
        <f t="shared" si="7"/>
        <v>-4.9425598363582082E-2</v>
      </c>
      <c r="W21" s="84">
        <f t="shared" si="8"/>
        <v>-9.5001377891830285E-3</v>
      </c>
      <c r="X21" s="82">
        <f t="shared" si="23"/>
        <v>-9.5001377891830288</v>
      </c>
      <c r="Y21" s="77"/>
      <c r="Z21" s="72">
        <f t="shared" si="9"/>
        <v>1.6204753378460195E-9</v>
      </c>
      <c r="AA21" s="72">
        <f t="shared" si="10"/>
        <v>2.1233175994677253E-7</v>
      </c>
      <c r="AB21" s="72">
        <f t="shared" si="11"/>
        <v>5.233317599467725E-7</v>
      </c>
      <c r="AC21" s="72">
        <f t="shared" si="12"/>
        <v>2.3933175994677255E-7</v>
      </c>
      <c r="AD21" s="72">
        <f t="shared" si="13"/>
        <v>3.6533175994677248E-7</v>
      </c>
      <c r="AE21" s="72">
        <f t="shared" si="14"/>
        <v>5.0068885576191174E-9</v>
      </c>
      <c r="AF21" s="72">
        <f t="shared" si="24"/>
        <v>2.4E-9</v>
      </c>
      <c r="AG21" s="72">
        <f t="shared" si="25"/>
        <v>9.0273638954651367E-9</v>
      </c>
      <c r="AH21" s="84">
        <f t="shared" si="26"/>
        <v>2.5101863321572746E-9</v>
      </c>
      <c r="AI21" s="84">
        <f>Control!$B$44*AH21*1000000*1000</f>
        <v>2.5101863321572746</v>
      </c>
      <c r="AJ21" s="77"/>
      <c r="AK21" s="72">
        <f t="shared" si="27"/>
        <v>8.6470441349496157E-10</v>
      </c>
      <c r="AL21" s="84">
        <f t="shared" si="28"/>
        <v>5.0000000000000001E-9</v>
      </c>
      <c r="AM21" s="84">
        <f t="shared" si="29"/>
        <v>7.8184529116756156E-10</v>
      </c>
      <c r="AN21" s="81"/>
      <c r="AO21" s="72">
        <f t="shared" si="30"/>
        <v>5.787788220000954E-9</v>
      </c>
      <c r="AP21" s="72">
        <f t="shared" si="31"/>
        <v>2.8863512530151942E-15</v>
      </c>
      <c r="AQ21" s="72">
        <f t="shared" si="32"/>
        <v>-5.0177906921831764E-9</v>
      </c>
      <c r="AR21" s="72">
        <f t="shared" si="33"/>
        <v>-6.6311498607554333E-14</v>
      </c>
      <c r="AS21" s="72">
        <f t="shared" si="34"/>
        <v>7.6993410267042286E-10</v>
      </c>
      <c r="AT21" s="77"/>
      <c r="AU21" s="71">
        <v>-9.5015980294578544</v>
      </c>
      <c r="AV21" s="71">
        <v>1.2552802097053974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E22" s="71">
        <v>85</v>
      </c>
      <c r="F22" s="71">
        <f t="shared" si="15"/>
        <v>358.15</v>
      </c>
      <c r="G22" s="71">
        <f t="shared" si="16"/>
        <v>968.62029913592266</v>
      </c>
      <c r="H22" s="83">
        <f t="shared" si="0"/>
        <v>0.98473701897816712</v>
      </c>
      <c r="I22" s="83">
        <f t="shared" si="17"/>
        <v>984.73701897816716</v>
      </c>
      <c r="J22" s="72">
        <f t="shared" si="1"/>
        <v>0.52327691717589875</v>
      </c>
      <c r="K22" s="82">
        <f t="shared" si="2"/>
        <v>53.351228159591308</v>
      </c>
      <c r="L22" s="72">
        <f t="shared" si="18"/>
        <v>1.7320043870320211E-4</v>
      </c>
      <c r="M22" s="72">
        <f t="shared" si="3"/>
        <v>10.424283872213421</v>
      </c>
      <c r="N22" s="83">
        <f t="shared" si="19"/>
        <v>12.510511201702162</v>
      </c>
      <c r="O22" s="71">
        <f t="shared" si="20"/>
        <v>3.0866600308287458E-13</v>
      </c>
      <c r="P22" s="83">
        <f t="shared" si="21"/>
        <v>7.2239068573478864</v>
      </c>
      <c r="Q22" s="72">
        <f t="shared" si="22"/>
        <v>5.971633458062978E-8</v>
      </c>
      <c r="R22" s="72">
        <f t="shared" si="4"/>
        <v>0.50000005971633454</v>
      </c>
      <c r="S22" s="71">
        <f t="shared" si="5"/>
        <v>3.8872301080409027E-10</v>
      </c>
      <c r="T22" s="77"/>
      <c r="U22" s="72">
        <f t="shared" si="6"/>
        <v>8.8611876520771876E-2</v>
      </c>
      <c r="V22" s="72">
        <f t="shared" si="7"/>
        <v>-4.9882244287137383E-2</v>
      </c>
      <c r="W22" s="84">
        <f t="shared" si="8"/>
        <v>-9.5001293531604344E-3</v>
      </c>
      <c r="X22" s="82">
        <f t="shared" si="23"/>
        <v>-9.5001293531604336</v>
      </c>
      <c r="Y22" s="77"/>
      <c r="Z22" s="72">
        <f t="shared" si="9"/>
        <v>1.5932022786368273E-9</v>
      </c>
      <c r="AA22" s="72">
        <f t="shared" si="10"/>
        <v>2.2033127867720458E-7</v>
      </c>
      <c r="AB22" s="72">
        <f t="shared" si="11"/>
        <v>5.313312786772046E-7</v>
      </c>
      <c r="AC22" s="72">
        <f t="shared" si="12"/>
        <v>2.4733127867720454E-7</v>
      </c>
      <c r="AD22" s="72">
        <f t="shared" si="13"/>
        <v>3.7333127867720459E-7</v>
      </c>
      <c r="AE22" s="72">
        <f t="shared" si="14"/>
        <v>5.1306125008800444E-9</v>
      </c>
      <c r="AF22" s="72">
        <f t="shared" si="24"/>
        <v>2.4E-9</v>
      </c>
      <c r="AG22" s="72">
        <f t="shared" si="25"/>
        <v>9.1238147795168706E-9</v>
      </c>
      <c r="AH22" s="84">
        <f t="shared" si="26"/>
        <v>2.4837151712037438E-9</v>
      </c>
      <c r="AI22" s="84">
        <f>Control!$B$44*AH22*1000000*1000</f>
        <v>2.4837151712037437</v>
      </c>
      <c r="AJ22" s="77"/>
      <c r="AK22" s="72">
        <f t="shared" si="27"/>
        <v>8.7451816182402317E-10</v>
      </c>
      <c r="AL22" s="84">
        <f t="shared" si="28"/>
        <v>5.0000000000000001E-9</v>
      </c>
      <c r="AM22" s="84">
        <f t="shared" si="29"/>
        <v>7.7744602160818055E-10</v>
      </c>
      <c r="AN22" s="81"/>
      <c r="AO22" s="72">
        <f t="shared" si="30"/>
        <v>5.9298317696445247E-9</v>
      </c>
      <c r="AP22" s="72">
        <f t="shared" si="31"/>
        <v>2.9581169526256602E-15</v>
      </c>
      <c r="AQ22" s="72">
        <f t="shared" si="32"/>
        <v>-5.140079542531769E-9</v>
      </c>
      <c r="AR22" s="72">
        <f t="shared" si="33"/>
        <v>-8.0206732845234005E-14</v>
      </c>
      <c r="AS22" s="72">
        <f t="shared" si="34"/>
        <v>7.8967497849686278E-10</v>
      </c>
      <c r="AT22" s="77"/>
      <c r="AU22" s="71">
        <v>-9.5015548687079736</v>
      </c>
      <c r="AV22" s="71">
        <v>1.2420352321676664</v>
      </c>
    </row>
    <row r="23" spans="1:48" x14ac:dyDescent="0.35">
      <c r="A23" t="s">
        <v>20</v>
      </c>
      <c r="B23" s="51">
        <v>0</v>
      </c>
      <c r="C23" s="4" t="s">
        <v>52</v>
      </c>
      <c r="E23" s="71">
        <v>90</v>
      </c>
      <c r="F23" s="71">
        <f t="shared" si="15"/>
        <v>363.15</v>
      </c>
      <c r="G23" s="71">
        <f t="shared" si="16"/>
        <v>965.3201473085868</v>
      </c>
      <c r="H23" s="83">
        <f t="shared" si="0"/>
        <v>0.98148151087138458</v>
      </c>
      <c r="I23" s="83">
        <f t="shared" si="17"/>
        <v>981.48151087138456</v>
      </c>
      <c r="J23" s="72">
        <f t="shared" si="1"/>
        <v>0.52506585039068288</v>
      </c>
      <c r="K23" s="82">
        <f t="shared" si="2"/>
        <v>52.010747961216303</v>
      </c>
      <c r="L23" s="72">
        <f t="shared" si="18"/>
        <v>1.636217966892236E-4</v>
      </c>
      <c r="M23" s="72">
        <f t="shared" si="3"/>
        <v>10.881651785600484</v>
      </c>
      <c r="N23" s="83">
        <f t="shared" si="19"/>
        <v>12.428937568837505</v>
      </c>
      <c r="O23" s="71">
        <f t="shared" si="20"/>
        <v>3.7244524255129788E-13</v>
      </c>
      <c r="P23" s="83">
        <f t="shared" si="21"/>
        <v>7.2148600519673787</v>
      </c>
      <c r="Q23" s="72">
        <f t="shared" si="22"/>
        <v>6.0973334743423024E-8</v>
      </c>
      <c r="R23" s="72">
        <f t="shared" si="4"/>
        <v>0.50000006097333471</v>
      </c>
      <c r="S23" s="71">
        <f t="shared" si="5"/>
        <v>3.8647831833021972E-10</v>
      </c>
      <c r="T23" s="77"/>
      <c r="U23" s="72">
        <f t="shared" si="6"/>
        <v>8.9566595498676668E-2</v>
      </c>
      <c r="V23" s="72">
        <f t="shared" si="7"/>
        <v>-5.0354975955866417E-2</v>
      </c>
      <c r="W23" s="84">
        <f t="shared" si="8"/>
        <v>-9.5001211793451779E-3</v>
      </c>
      <c r="X23" s="82">
        <f t="shared" si="23"/>
        <v>-9.5001211793451787</v>
      </c>
      <c r="Y23" s="77"/>
      <c r="Z23" s="72">
        <f t="shared" si="9"/>
        <v>1.5678496628221215E-9</v>
      </c>
      <c r="AA23" s="72">
        <f t="shared" si="10"/>
        <v>2.2813368601136665E-7</v>
      </c>
      <c r="AB23" s="72">
        <f t="shared" si="11"/>
        <v>5.3913368601136661E-7</v>
      </c>
      <c r="AC23" s="72">
        <f t="shared" si="12"/>
        <v>2.5513368601136667E-7</v>
      </c>
      <c r="AD23" s="72">
        <f t="shared" si="13"/>
        <v>3.8113368601136666E-7</v>
      </c>
      <c r="AE23" s="72">
        <f t="shared" si="14"/>
        <v>5.2485095390547647E-9</v>
      </c>
      <c r="AF23" s="72">
        <f t="shared" si="24"/>
        <v>2.4E-9</v>
      </c>
      <c r="AG23" s="72">
        <f t="shared" si="25"/>
        <v>9.216359201876886E-9</v>
      </c>
      <c r="AH23" s="84">
        <f t="shared" si="26"/>
        <v>2.4553555060672758E-9</v>
      </c>
      <c r="AI23" s="84">
        <f>Control!$B$44*AH23*1000000*1000</f>
        <v>2.455355506067276</v>
      </c>
      <c r="AJ23" s="77"/>
      <c r="AK23" s="72">
        <f t="shared" si="27"/>
        <v>8.8470618274350506E-10</v>
      </c>
      <c r="AL23" s="84">
        <f t="shared" si="28"/>
        <v>5.0000000000000001E-9</v>
      </c>
      <c r="AM23" s="84">
        <f t="shared" si="29"/>
        <v>7.7295663666043944E-10</v>
      </c>
      <c r="AN23" s="81"/>
      <c r="AO23" s="72">
        <f t="shared" si="30"/>
        <v>6.0650872323633767E-9</v>
      </c>
      <c r="AP23" s="72">
        <f t="shared" si="31"/>
        <v>3.0274337403121563E-15</v>
      </c>
      <c r="AQ23" s="72">
        <f t="shared" si="32"/>
        <v>-5.256436156872196E-9</v>
      </c>
      <c r="AR23" s="72">
        <f t="shared" si="33"/>
        <v>-9.5929770237003406E-14</v>
      </c>
      <c r="AS23" s="72">
        <f t="shared" si="34"/>
        <v>8.0855817315468411E-10</v>
      </c>
      <c r="AT23" s="77"/>
      <c r="AU23" s="71">
        <v>-9.5015103459888994</v>
      </c>
      <c r="AV23" s="71">
        <v>1.227845277830397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E24" s="71">
        <v>95</v>
      </c>
      <c r="F24" s="71">
        <f t="shared" si="15"/>
        <v>368.15</v>
      </c>
      <c r="G24" s="71">
        <f t="shared" si="16"/>
        <v>961.90040732662351</v>
      </c>
      <c r="H24" s="83">
        <f t="shared" si="0"/>
        <v>0.97810803237195498</v>
      </c>
      <c r="I24" s="83">
        <f t="shared" si="17"/>
        <v>978.10803237195501</v>
      </c>
      <c r="J24" s="72">
        <f t="shared" si="1"/>
        <v>0.52693255994612942</v>
      </c>
      <c r="K24" s="82">
        <f t="shared" si="2"/>
        <v>50.698161537841251</v>
      </c>
      <c r="L24" s="72">
        <f t="shared" si="18"/>
        <v>1.5503773753829751E-4</v>
      </c>
      <c r="M24" s="72">
        <f t="shared" si="3"/>
        <v>11.335269698987553</v>
      </c>
      <c r="N24" s="83">
        <f t="shared" si="19"/>
        <v>12.351917515046324</v>
      </c>
      <c r="O24" s="71">
        <f t="shared" si="20"/>
        <v>4.4471572369432338E-13</v>
      </c>
      <c r="P24" s="83">
        <f t="shared" si="21"/>
        <v>7.2063182546662699</v>
      </c>
      <c r="Q24" s="72">
        <f t="shared" si="22"/>
        <v>6.218444253109233E-8</v>
      </c>
      <c r="R24" s="72">
        <f t="shared" si="4"/>
        <v>0.50000006218444248</v>
      </c>
      <c r="S24" s="71">
        <f t="shared" si="5"/>
        <v>3.8418824101372412E-10</v>
      </c>
      <c r="T24" s="77"/>
      <c r="U24" s="72">
        <f t="shared" si="6"/>
        <v>9.0440399835030383E-2</v>
      </c>
      <c r="V24" s="72">
        <f t="shared" si="7"/>
        <v>-5.0842873536576315E-2</v>
      </c>
      <c r="W24" s="84">
        <f t="shared" si="8"/>
        <v>-9.5001132725677732E-3</v>
      </c>
      <c r="X24" s="82">
        <f t="shared" si="23"/>
        <v>-9.5001132725677735</v>
      </c>
      <c r="Y24" s="77"/>
      <c r="Z24" s="72">
        <f t="shared" si="9"/>
        <v>1.5442018458556937E-9</v>
      </c>
      <c r="AA24" s="72">
        <f t="shared" si="10"/>
        <v>2.3568937088254952E-7</v>
      </c>
      <c r="AB24" s="72">
        <f t="shared" si="11"/>
        <v>5.4668937088254954E-7</v>
      </c>
      <c r="AC24" s="72">
        <f t="shared" si="12"/>
        <v>2.6268937088254948E-7</v>
      </c>
      <c r="AD24" s="72">
        <f t="shared" si="13"/>
        <v>3.8868937088254953E-7</v>
      </c>
      <c r="AE24" s="72">
        <f t="shared" si="14"/>
        <v>5.35954520589373E-9</v>
      </c>
      <c r="AF24" s="72">
        <f t="shared" si="24"/>
        <v>2.4E-9</v>
      </c>
      <c r="AG24" s="72">
        <f t="shared" si="25"/>
        <v>9.3037470517494239E-9</v>
      </c>
      <c r="AH24" s="84">
        <f t="shared" si="26"/>
        <v>2.4248475569964351E-9</v>
      </c>
      <c r="AI24" s="84">
        <f>Control!$B$44*AH24*1000000*1000</f>
        <v>2.4248475569964349</v>
      </c>
      <c r="AJ24" s="77"/>
      <c r="AK24" s="72">
        <f t="shared" si="27"/>
        <v>8.9528476571286773E-10</v>
      </c>
      <c r="AL24" s="84">
        <f t="shared" si="28"/>
        <v>5.0000000000000001E-9</v>
      </c>
      <c r="AM24" s="84">
        <f t="shared" si="29"/>
        <v>7.6837648202744824E-10</v>
      </c>
      <c r="AN24" s="81"/>
      <c r="AO24" s="72">
        <f t="shared" si="30"/>
        <v>6.1924107573546129E-9</v>
      </c>
      <c r="AP24" s="72">
        <f t="shared" si="31"/>
        <v>3.0940884935335715E-15</v>
      </c>
      <c r="AQ24" s="72">
        <f t="shared" si="32"/>
        <v>-5.3659137118997927E-9</v>
      </c>
      <c r="AR24" s="72">
        <f t="shared" si="33"/>
        <v>-1.1356240569838597E-13</v>
      </c>
      <c r="AS24" s="72">
        <f t="shared" si="34"/>
        <v>8.2638657713761536E-10</v>
      </c>
      <c r="AT24" s="77"/>
      <c r="AU24" s="71">
        <v>-9.5014645746479225</v>
      </c>
      <c r="AV24" s="71">
        <v>1.2125804831211908</v>
      </c>
    </row>
    <row r="25" spans="1:48" x14ac:dyDescent="0.35">
      <c r="A25" t="s">
        <v>19</v>
      </c>
      <c r="B25" s="33">
        <f>Control!B18</f>
        <v>7.5</v>
      </c>
      <c r="C25" s="4"/>
      <c r="E25" s="71">
        <v>100</v>
      </c>
      <c r="F25" s="71">
        <f t="shared" si="15"/>
        <v>373.15</v>
      </c>
      <c r="G25" s="71">
        <f t="shared" si="16"/>
        <v>958.36365705165758</v>
      </c>
      <c r="H25" s="83">
        <f t="shared" si="0"/>
        <v>0.97461912646876425</v>
      </c>
      <c r="I25" s="83">
        <f t="shared" si="17"/>
        <v>974.61912646876431</v>
      </c>
      <c r="J25" s="72">
        <f t="shared" si="1"/>
        <v>0.52887715463371532</v>
      </c>
      <c r="K25" s="82">
        <f t="shared" si="2"/>
        <v>49.412411389466264</v>
      </c>
      <c r="L25" s="72">
        <f t="shared" si="18"/>
        <v>1.4733526355445155E-4</v>
      </c>
      <c r="M25" s="72">
        <f t="shared" si="3"/>
        <v>11.785137612374619</v>
      </c>
      <c r="N25" s="83">
        <f t="shared" si="19"/>
        <v>12.279000175809061</v>
      </c>
      <c r="O25" s="71">
        <f t="shared" si="20"/>
        <v>5.2601705345089748E-13</v>
      </c>
      <c r="P25" s="83">
        <f t="shared" si="21"/>
        <v>7.1982314629692707</v>
      </c>
      <c r="Q25" s="72">
        <f t="shared" si="22"/>
        <v>6.3353197204752187E-8</v>
      </c>
      <c r="R25" s="72">
        <f t="shared" si="4"/>
        <v>0.50000006335319724</v>
      </c>
      <c r="S25" s="71">
        <f t="shared" si="5"/>
        <v>3.8185220874723238E-10</v>
      </c>
      <c r="T25" s="77"/>
      <c r="U25" s="72">
        <f t="shared" si="6"/>
        <v>9.1237687090431563E-2</v>
      </c>
      <c r="V25" s="72">
        <f t="shared" si="7"/>
        <v>-5.1345170842332026E-2</v>
      </c>
      <c r="W25" s="84">
        <f t="shared" si="8"/>
        <v>-9.5001056371670535E-3</v>
      </c>
      <c r="X25" s="82">
        <f t="shared" si="23"/>
        <v>-9.5001056371670529</v>
      </c>
      <c r="Y25" s="77"/>
      <c r="Z25" s="72">
        <f t="shared" si="9"/>
        <v>1.5220739618831858E-9</v>
      </c>
      <c r="AA25" s="72">
        <f t="shared" si="10"/>
        <v>2.4294892748268497E-7</v>
      </c>
      <c r="AB25" s="72">
        <f t="shared" si="11"/>
        <v>5.5394892748268493E-7</v>
      </c>
      <c r="AC25" s="72">
        <f t="shared" si="12"/>
        <v>2.6994892748268498E-7</v>
      </c>
      <c r="AD25" s="72">
        <f t="shared" si="13"/>
        <v>3.9594892748268492E-7</v>
      </c>
      <c r="AE25" s="72">
        <f t="shared" si="14"/>
        <v>5.4627325325030172E-9</v>
      </c>
      <c r="AF25" s="72">
        <f t="shared" si="24"/>
        <v>2.4E-9</v>
      </c>
      <c r="AG25" s="72">
        <f t="shared" si="25"/>
        <v>9.3848064943862036E-9</v>
      </c>
      <c r="AH25" s="84">
        <f t="shared" si="26"/>
        <v>2.3919938919325448E-9</v>
      </c>
      <c r="AI25" s="84">
        <f>Control!$B$44*AH25*1000000*1000</f>
        <v>2.391993891932545</v>
      </c>
      <c r="AJ25" s="77"/>
      <c r="AK25" s="72">
        <f t="shared" si="27"/>
        <v>9.0627232006750932E-10</v>
      </c>
      <c r="AL25" s="84">
        <f t="shared" si="28"/>
        <v>5.0000000000000001E-9</v>
      </c>
      <c r="AM25" s="84">
        <f t="shared" si="29"/>
        <v>7.6370441749446476E-10</v>
      </c>
      <c r="AN25" s="81"/>
      <c r="AO25" s="72">
        <f t="shared" si="30"/>
        <v>6.3107036866460476E-9</v>
      </c>
      <c r="AP25" s="72">
        <f t="shared" si="31"/>
        <v>3.1578511931376035E-15</v>
      </c>
      <c r="AQ25" s="72">
        <f t="shared" si="32"/>
        <v>-5.4675961769292801E-9</v>
      </c>
      <c r="AR25" s="72">
        <f t="shared" si="33"/>
        <v>-1.3317272258825489E-13</v>
      </c>
      <c r="AS25" s="72">
        <f t="shared" si="34"/>
        <v>8.4297749484537236E-10</v>
      </c>
      <c r="AT25" s="77"/>
      <c r="AU25" s="71">
        <v>-9.5014176666913972</v>
      </c>
      <c r="AV25" s="71">
        <v>1.1961421803362184</v>
      </c>
    </row>
    <row r="26" spans="1:48" x14ac:dyDescent="0.35">
      <c r="A26" t="s">
        <v>15</v>
      </c>
      <c r="B26" s="6">
        <f>10^-B25</f>
        <v>3.1622776601683699E-8</v>
      </c>
      <c r="C26" s="4"/>
      <c r="E26" s="71">
        <v>105</v>
      </c>
      <c r="F26" s="71">
        <f t="shared" si="15"/>
        <v>378.15</v>
      </c>
      <c r="G26" s="71">
        <f t="shared" si="16"/>
        <v>954.71201059337352</v>
      </c>
      <c r="H26" s="83">
        <f t="shared" si="0"/>
        <v>0.97101687867229092</v>
      </c>
      <c r="I26" s="83">
        <f t="shared" si="17"/>
        <v>971.01687867229089</v>
      </c>
      <c r="J26" s="72">
        <f t="shared" si="1"/>
        <v>0.53090003940645969</v>
      </c>
      <c r="K26" s="82">
        <f t="shared" si="2"/>
        <v>48.152440016091241</v>
      </c>
      <c r="L26" s="72">
        <f t="shared" si="18"/>
        <v>1.4041688395995591E-4</v>
      </c>
      <c r="M26" s="72">
        <f t="shared" si="3"/>
        <v>12.231255525761684</v>
      </c>
      <c r="N26" s="83">
        <f t="shared" si="19"/>
        <v>12.209793087283666</v>
      </c>
      <c r="O26" s="71">
        <f t="shared" si="20"/>
        <v>6.1688883875997191E-13</v>
      </c>
      <c r="P26" s="83">
        <f t="shared" si="21"/>
        <v>7.1905561512434888</v>
      </c>
      <c r="Q26" s="72">
        <f t="shared" si="22"/>
        <v>6.4482794272852741E-8</v>
      </c>
      <c r="R26" s="72">
        <f t="shared" si="4"/>
        <v>0.50000006448279433</v>
      </c>
      <c r="S26" s="71">
        <f t="shared" si="5"/>
        <v>3.794694004452569E-10</v>
      </c>
      <c r="T26" s="77"/>
      <c r="U26" s="72">
        <f t="shared" si="6"/>
        <v>9.1962328458882275E-2</v>
      </c>
      <c r="V26" s="72">
        <f t="shared" si="7"/>
        <v>-5.1861244271565229E-2</v>
      </c>
      <c r="W26" s="84">
        <f t="shared" si="8"/>
        <v>-9.5000982769332873E-3</v>
      </c>
      <c r="X26" s="82">
        <f t="shared" si="23"/>
        <v>-9.5000982769332865</v>
      </c>
      <c r="Y26" s="77"/>
      <c r="Z26" s="72">
        <f t="shared" si="9"/>
        <v>1.501307115269282E-9</v>
      </c>
      <c r="AA26" s="72">
        <f t="shared" si="10"/>
        <v>2.498643285426251E-7</v>
      </c>
      <c r="AB26" s="72">
        <f t="shared" si="11"/>
        <v>5.6086432854262507E-7</v>
      </c>
      <c r="AC26" s="72">
        <f t="shared" si="12"/>
        <v>2.7686432854262512E-7</v>
      </c>
      <c r="AD26" s="72">
        <f t="shared" si="13"/>
        <v>4.0286432854262505E-7</v>
      </c>
      <c r="AE26" s="72">
        <f t="shared" si="14"/>
        <v>5.5571567504228349E-9</v>
      </c>
      <c r="AF26" s="72">
        <f t="shared" si="24"/>
        <v>2.4E-9</v>
      </c>
      <c r="AG26" s="72">
        <f t="shared" si="25"/>
        <v>9.4584638656921167E-9</v>
      </c>
      <c r="AH26" s="84">
        <f t="shared" si="26"/>
        <v>2.3566595617096654E-9</v>
      </c>
      <c r="AI26" s="84">
        <f>Control!$B$44*AH26*1000000*1000</f>
        <v>2.3566595617096655</v>
      </c>
      <c r="AJ26" s="77"/>
      <c r="AK26" s="72">
        <f t="shared" si="27"/>
        <v>9.1768959281520881E-10</v>
      </c>
      <c r="AL26" s="84">
        <f t="shared" si="28"/>
        <v>5.0000000000000001E-9</v>
      </c>
      <c r="AM26" s="84">
        <f t="shared" si="29"/>
        <v>7.589388008905138E-10</v>
      </c>
      <c r="AN26" s="81"/>
      <c r="AO26" s="72">
        <f t="shared" si="30"/>
        <v>6.4189400981963709E-9</v>
      </c>
      <c r="AP26" s="72">
        <f t="shared" si="31"/>
        <v>3.2184837947425157E-15</v>
      </c>
      <c r="AQ26" s="72">
        <f t="shared" si="32"/>
        <v>-5.5606213186908608E-9</v>
      </c>
      <c r="AR26" s="72">
        <f t="shared" si="33"/>
        <v>-1.5481327222329473E-13</v>
      </c>
      <c r="AS26" s="72">
        <f t="shared" si="34"/>
        <v>8.5816718471708119E-10</v>
      </c>
      <c r="AT26" s="77"/>
      <c r="AU26" s="71">
        <v>-9.5013697328855518</v>
      </c>
      <c r="AV26" s="71">
        <v>1.1784629645441889</v>
      </c>
    </row>
    <row r="27" spans="1:48" x14ac:dyDescent="0.35">
      <c r="A27" t="s">
        <v>18</v>
      </c>
      <c r="B27" s="31">
        <f>Control!B20</f>
        <v>7.7</v>
      </c>
      <c r="C27" s="4"/>
      <c r="E27" s="71">
        <v>110</v>
      </c>
      <c r="F27" s="71">
        <f t="shared" si="15"/>
        <v>383.15</v>
      </c>
      <c r="G27" s="71">
        <f t="shared" si="16"/>
        <v>950.94714998784377</v>
      </c>
      <c r="H27" s="83">
        <f t="shared" si="0"/>
        <v>0.96730294826439711</v>
      </c>
      <c r="I27" s="83">
        <f t="shared" si="17"/>
        <v>967.30294826439706</v>
      </c>
      <c r="J27" s="72">
        <f t="shared" si="1"/>
        <v>0.53300190662785174</v>
      </c>
      <c r="K27" s="82">
        <f t="shared" si="2"/>
        <v>46.917189917716264</v>
      </c>
      <c r="L27" s="72">
        <f t="shared" si="18"/>
        <v>1.341978409013255E-4</v>
      </c>
      <c r="M27" s="72">
        <f t="shared" si="3"/>
        <v>12.673623439148754</v>
      </c>
      <c r="N27" s="83">
        <f t="shared" si="19"/>
        <v>12.143953780229984</v>
      </c>
      <c r="O27" s="71">
        <f t="shared" si="20"/>
        <v>7.1787068656049998E-13</v>
      </c>
      <c r="P27" s="83">
        <f t="shared" si="21"/>
        <v>7.1832543384348035</v>
      </c>
      <c r="Q27" s="72">
        <f t="shared" si="22"/>
        <v>6.5576111658376247E-8</v>
      </c>
      <c r="R27" s="72">
        <f t="shared" si="4"/>
        <v>0.50000006557611165</v>
      </c>
      <c r="S27" s="71">
        <f t="shared" si="5"/>
        <v>3.7703873525676759E-10</v>
      </c>
      <c r="T27" s="77"/>
      <c r="U27" s="72">
        <f t="shared" si="6"/>
        <v>9.261770060566836E-2</v>
      </c>
      <c r="V27" s="72">
        <f t="shared" si="7"/>
        <v>-5.2390600913103838E-2</v>
      </c>
      <c r="W27" s="84">
        <f t="shared" si="8"/>
        <v>-9.5000911950693413E-3</v>
      </c>
      <c r="X27" s="82">
        <f t="shared" si="23"/>
        <v>-9.5000911950693414</v>
      </c>
      <c r="Y27" s="77"/>
      <c r="Z27" s="72">
        <f t="shared" si="9"/>
        <v>1.481764247043879E-9</v>
      </c>
      <c r="AA27" s="72">
        <f t="shared" si="10"/>
        <v>2.5639003917135081E-7</v>
      </c>
      <c r="AB27" s="72">
        <f t="shared" si="11"/>
        <v>5.6739003917135078E-7</v>
      </c>
      <c r="AC27" s="72">
        <f t="shared" si="12"/>
        <v>2.8339003917135083E-7</v>
      </c>
      <c r="AD27" s="72">
        <f t="shared" si="13"/>
        <v>4.0939003917135077E-7</v>
      </c>
      <c r="AE27" s="72">
        <f t="shared" si="14"/>
        <v>5.6419964169748395E-9</v>
      </c>
      <c r="AF27" s="72">
        <f t="shared" si="24"/>
        <v>2.4E-9</v>
      </c>
      <c r="AG27" s="72">
        <f t="shared" si="25"/>
        <v>9.5237606640187183E-9</v>
      </c>
      <c r="AH27" s="84">
        <f t="shared" si="26"/>
        <v>2.3187708798092749E-9</v>
      </c>
      <c r="AI27" s="84">
        <f>Control!$B$44*AH27*1000000*1000</f>
        <v>2.318770879809275</v>
      </c>
      <c r="AJ27" s="77"/>
      <c r="AK27" s="72">
        <f t="shared" si="27"/>
        <v>9.2955991580892347E-10</v>
      </c>
      <c r="AL27" s="84">
        <f t="shared" si="28"/>
        <v>5.0000000000000001E-9</v>
      </c>
      <c r="AM27" s="84">
        <f t="shared" si="29"/>
        <v>7.5407747051353517E-10</v>
      </c>
      <c r="AN27" s="81"/>
      <c r="AO27" s="72">
        <f t="shared" si="30"/>
        <v>6.5161909021462772E-9</v>
      </c>
      <c r="AP27" s="72">
        <f t="shared" si="31"/>
        <v>3.275748975246307E-15</v>
      </c>
      <c r="AQ27" s="72">
        <f t="shared" si="32"/>
        <v>-5.644201313461077E-9</v>
      </c>
      <c r="AR27" s="72">
        <f t="shared" si="33"/>
        <v>-1.7851953205936805E-13</v>
      </c>
      <c r="AS27" s="72">
        <f t="shared" si="34"/>
        <v>8.7181434490211623E-10</v>
      </c>
      <c r="AT27" s="77"/>
      <c r="AU27" s="71">
        <v>-9.5013208829344951</v>
      </c>
      <c r="AV27" s="71">
        <v>1.1595060821389969</v>
      </c>
    </row>
    <row r="28" spans="1:48" x14ac:dyDescent="0.35">
      <c r="A28" t="s">
        <v>17</v>
      </c>
      <c r="B28" s="2">
        <f>10^-B27</f>
        <v>1.9952623149688773E-8</v>
      </c>
      <c r="E28" s="71">
        <v>115</v>
      </c>
      <c r="F28" s="71">
        <f t="shared" si="15"/>
        <v>388.15</v>
      </c>
      <c r="G28" s="71">
        <f t="shared" si="16"/>
        <v>947.07035142167331</v>
      </c>
      <c r="H28" s="83">
        <f t="shared" si="0"/>
        <v>0.96347859416771897</v>
      </c>
      <c r="I28" s="83">
        <f t="shared" si="17"/>
        <v>963.47859416771894</v>
      </c>
      <c r="J28" s="72">
        <f t="shared" si="1"/>
        <v>0.53518373084426729</v>
      </c>
      <c r="K28" s="82">
        <f t="shared" si="2"/>
        <v>45.705603594341262</v>
      </c>
      <c r="L28" s="72">
        <f t="shared" si="18"/>
        <v>1.2860396222275268E-4</v>
      </c>
      <c r="M28" s="72">
        <f t="shared" si="3"/>
        <v>13.112241352535817</v>
      </c>
      <c r="N28" s="83">
        <f t="shared" si="19"/>
        <v>12.081182455820231</v>
      </c>
      <c r="O28" s="71">
        <f t="shared" si="20"/>
        <v>8.2950220379142061E-13</v>
      </c>
      <c r="P28" s="83">
        <f t="shared" si="21"/>
        <v>7.1762927757892623</v>
      </c>
      <c r="Q28" s="72">
        <f t="shared" si="22"/>
        <v>6.6635739880599309E-8</v>
      </c>
      <c r="R28" s="72">
        <f t="shared" si="4"/>
        <v>0.50000006663573993</v>
      </c>
      <c r="S28" s="71">
        <f t="shared" si="5"/>
        <v>3.7455886293336059E-10</v>
      </c>
      <c r="T28" s="77"/>
      <c r="U28" s="72">
        <f t="shared" si="6"/>
        <v>9.3206721493385394E-2</v>
      </c>
      <c r="V28" s="72">
        <f t="shared" si="7"/>
        <v>-5.293286745665738E-2</v>
      </c>
      <c r="W28" s="84">
        <f t="shared" si="8"/>
        <v>-9.5000843941711651E-3</v>
      </c>
      <c r="X28" s="82">
        <f t="shared" si="23"/>
        <v>-9.5000843941711643</v>
      </c>
      <c r="Y28" s="77"/>
      <c r="Z28" s="72">
        <f t="shared" si="9"/>
        <v>1.4633266575174297E-9</v>
      </c>
      <c r="AA28" s="72">
        <f t="shared" si="10"/>
        <v>2.6248401684780561E-7</v>
      </c>
      <c r="AB28" s="72">
        <f t="shared" si="11"/>
        <v>5.7348401684780558E-7</v>
      </c>
      <c r="AC28" s="72">
        <f t="shared" si="12"/>
        <v>2.8948401684780563E-7</v>
      </c>
      <c r="AD28" s="72">
        <f t="shared" si="13"/>
        <v>4.1548401684780562E-7</v>
      </c>
      <c r="AE28" s="72">
        <f t="shared" si="14"/>
        <v>5.7165404234862995E-9</v>
      </c>
      <c r="AF28" s="72">
        <f t="shared" si="24"/>
        <v>2.4E-9</v>
      </c>
      <c r="AG28" s="72">
        <f t="shared" si="25"/>
        <v>9.5798670810037288E-9</v>
      </c>
      <c r="AH28" s="84">
        <f t="shared" si="26"/>
        <v>2.2783127156900547E-9</v>
      </c>
      <c r="AI28" s="84">
        <f>Control!$B$44*AH28*1000000*1000</f>
        <v>2.2783127156900549</v>
      </c>
      <c r="AJ28" s="77"/>
      <c r="AK28" s="72">
        <f t="shared" si="27"/>
        <v>9.4190948669001663E-10</v>
      </c>
      <c r="AL28" s="84">
        <f t="shared" si="28"/>
        <v>5.0000000000000001E-9</v>
      </c>
      <c r="AM28" s="84">
        <f t="shared" si="29"/>
        <v>7.4911772586672118E-10</v>
      </c>
      <c r="AN28" s="81"/>
      <c r="AO28" s="72">
        <f t="shared" si="30"/>
        <v>6.6016436872150368E-9</v>
      </c>
      <c r="AP28" s="72">
        <f t="shared" si="31"/>
        <v>3.3294182332017485E-15</v>
      </c>
      <c r="AQ28" s="72">
        <f t="shared" si="32"/>
        <v>-5.7176401150149615E-9</v>
      </c>
      <c r="AR28" s="72">
        <f t="shared" si="33"/>
        <v>-2.0430870130964155E-13</v>
      </c>
      <c r="AS28" s="72">
        <f t="shared" si="34"/>
        <v>8.8380259291699851E-10</v>
      </c>
      <c r="AT28" s="77"/>
      <c r="AU28" s="71">
        <v>-9.5012712257347616</v>
      </c>
      <c r="AV28" s="71">
        <v>1.1392640756206223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E29" s="71">
        <v>120</v>
      </c>
      <c r="F29" s="71">
        <f t="shared" si="15"/>
        <v>393.15</v>
      </c>
      <c r="G29" s="71">
        <f t="shared" si="16"/>
        <v>943.08250706697231</v>
      </c>
      <c r="H29" s="83">
        <f t="shared" si="0"/>
        <v>0.95954469648526075</v>
      </c>
      <c r="I29" s="83">
        <f t="shared" si="17"/>
        <v>959.54469648526072</v>
      </c>
      <c r="J29" s="72">
        <f t="shared" si="1"/>
        <v>0.53744676658481205</v>
      </c>
      <c r="K29" s="82">
        <f t="shared" si="2"/>
        <v>44.51662354596629</v>
      </c>
      <c r="L29" s="72">
        <f t="shared" si="18"/>
        <v>1.2356997918592093E-4</v>
      </c>
      <c r="M29" s="72">
        <f t="shared" si="3"/>
        <v>13.547109265922888</v>
      </c>
      <c r="N29" s="83">
        <f t="shared" si="19"/>
        <v>12.021215727882712</v>
      </c>
      <c r="O29" s="71">
        <f t="shared" si="20"/>
        <v>9.523229973916958E-13</v>
      </c>
      <c r="P29" s="83">
        <f t="shared" si="21"/>
        <v>7.1696422528456951</v>
      </c>
      <c r="Q29" s="72">
        <f t="shared" si="22"/>
        <v>6.7664012363129649E-8</v>
      </c>
      <c r="R29" s="72">
        <f t="shared" si="4"/>
        <v>0.50000006766401239</v>
      </c>
      <c r="S29" s="71">
        <f t="shared" si="5"/>
        <v>3.7202815326231507E-10</v>
      </c>
      <c r="T29" s="77"/>
      <c r="U29" s="72">
        <f t="shared" si="6"/>
        <v>9.3731885470940135E-2</v>
      </c>
      <c r="V29" s="72">
        <f t="shared" si="7"/>
        <v>-5.3487780609641898E-2</v>
      </c>
      <c r="W29" s="84">
        <f t="shared" si="8"/>
        <v>-9.5000778762251419E-3</v>
      </c>
      <c r="X29" s="82">
        <f t="shared" si="23"/>
        <v>-9.5000778762251414</v>
      </c>
      <c r="Y29" s="77"/>
      <c r="Z29" s="72">
        <f t="shared" si="9"/>
        <v>1.4458911120346499E-9</v>
      </c>
      <c r="AA29" s="72">
        <f t="shared" si="10"/>
        <v>2.6810855359324994E-7</v>
      </c>
      <c r="AB29" s="72">
        <f t="shared" si="11"/>
        <v>5.7910855359324991E-7</v>
      </c>
      <c r="AC29" s="72">
        <f t="shared" si="12"/>
        <v>2.9510855359324996E-7</v>
      </c>
      <c r="AD29" s="72">
        <f t="shared" si="13"/>
        <v>4.2110855359324989E-7</v>
      </c>
      <c r="AE29" s="72">
        <f t="shared" si="14"/>
        <v>5.7802004410314023E-9</v>
      </c>
      <c r="AF29" s="72">
        <f t="shared" si="24"/>
        <v>2.4E-9</v>
      </c>
      <c r="AG29" s="72">
        <f t="shared" si="25"/>
        <v>9.6260915530660523E-9</v>
      </c>
      <c r="AH29" s="84">
        <f t="shared" si="26"/>
        <v>2.2353243459936552E-9</v>
      </c>
      <c r="AI29" s="84">
        <f>Control!$B$44*AH29*1000000*1000</f>
        <v>2.2353243459936549</v>
      </c>
      <c r="AJ29" s="77"/>
      <c r="AK29" s="72">
        <f t="shared" si="27"/>
        <v>9.5476768884922473E-10</v>
      </c>
      <c r="AL29" s="84">
        <f t="shared" si="28"/>
        <v>5.0000000000000001E-9</v>
      </c>
      <c r="AM29" s="84">
        <f t="shared" si="29"/>
        <v>7.4405630652463014E-10</v>
      </c>
      <c r="AN29" s="81"/>
      <c r="AO29" s="72">
        <f t="shared" si="30"/>
        <v>6.6746176855708723E-9</v>
      </c>
      <c r="AP29" s="72">
        <f t="shared" si="31"/>
        <v>3.3792789696968772E-15</v>
      </c>
      <c r="AQ29" s="72">
        <f t="shared" si="32"/>
        <v>-5.7803469296367457E-9</v>
      </c>
      <c r="AR29" s="72">
        <f t="shared" si="33"/>
        <v>-2.3217886888357087E-13</v>
      </c>
      <c r="AS29" s="72">
        <f t="shared" si="34"/>
        <v>8.9404195634421261E-10</v>
      </c>
      <c r="AT29" s="77"/>
      <c r="AU29" s="71">
        <v>-9.5012208697047225</v>
      </c>
      <c r="AV29" s="71">
        <v>1.1177567068576073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E30" s="71">
        <v>125</v>
      </c>
      <c r="F30" s="71">
        <f t="shared" si="15"/>
        <v>398.15</v>
      </c>
      <c r="G30" s="71">
        <f t="shared" si="16"/>
        <v>938.98414336096175</v>
      </c>
      <c r="H30" s="83">
        <f t="shared" si="0"/>
        <v>0.95550177453271756</v>
      </c>
      <c r="I30" s="83">
        <f t="shared" si="17"/>
        <v>955.5017745327176</v>
      </c>
      <c r="J30" s="72">
        <f t="shared" si="1"/>
        <v>0.53979254881942984</v>
      </c>
      <c r="K30" s="82">
        <f t="shared" si="2"/>
        <v>43.349192272591303</v>
      </c>
      <c r="L30" s="72">
        <f t="shared" si="18"/>
        <v>1.1903819157840067E-4</v>
      </c>
      <c r="M30" s="72">
        <f t="shared" si="3"/>
        <v>13.97822717930995</v>
      </c>
      <c r="N30" s="83">
        <f t="shared" si="19"/>
        <v>11.963821329959377</v>
      </c>
      <c r="O30" s="71">
        <f t="shared" si="20"/>
        <v>1.0868726743002748E-12</v>
      </c>
      <c r="P30" s="83">
        <f t="shared" si="21"/>
        <v>7.1632770104296153</v>
      </c>
      <c r="Q30" s="72">
        <f t="shared" si="22"/>
        <v>6.8663033995521964E-8</v>
      </c>
      <c r="R30" s="72">
        <f t="shared" si="4"/>
        <v>0.50000006866303404</v>
      </c>
      <c r="S30" s="71">
        <f t="shared" si="5"/>
        <v>3.6944468445691183E-10</v>
      </c>
      <c r="T30" s="77"/>
      <c r="U30" s="72">
        <f t="shared" si="6"/>
        <v>9.4195295375119448E-2</v>
      </c>
      <c r="V30" s="72">
        <f t="shared" si="7"/>
        <v>-5.4055179257127418E-2</v>
      </c>
      <c r="W30" s="84">
        <f t="shared" si="8"/>
        <v>-9.5000716426184607E-3</v>
      </c>
      <c r="X30" s="82">
        <f t="shared" si="23"/>
        <v>-9.5000716426184599</v>
      </c>
      <c r="Y30" s="77"/>
      <c r="Z30" s="72">
        <f t="shared" si="9"/>
        <v>1.429367443233205E-9</v>
      </c>
      <c r="AA30" s="72">
        <f t="shared" si="10"/>
        <v>2.732309286920184E-7</v>
      </c>
      <c r="AB30" s="72">
        <f t="shared" si="11"/>
        <v>5.8423092869201842E-7</v>
      </c>
      <c r="AC30" s="72">
        <f t="shared" si="12"/>
        <v>3.0023092869201841E-7</v>
      </c>
      <c r="AD30" s="72">
        <f t="shared" si="13"/>
        <v>4.262309286920184E-7</v>
      </c>
      <c r="AE30" s="72">
        <f t="shared" si="14"/>
        <v>5.8325185578099825E-9</v>
      </c>
      <c r="AF30" s="72">
        <f t="shared" si="24"/>
        <v>2.4E-9</v>
      </c>
      <c r="AG30" s="72">
        <f t="shared" si="25"/>
        <v>9.6618860010431881E-9</v>
      </c>
      <c r="AH30" s="84">
        <f t="shared" si="26"/>
        <v>2.1898940354960776E-9</v>
      </c>
      <c r="AI30" s="84">
        <f>Control!$B$44*AH30*1000000*1000</f>
        <v>2.1898940354960779</v>
      </c>
      <c r="AJ30" s="77"/>
      <c r="AK30" s="72">
        <f t="shared" si="27"/>
        <v>9.6816745668946585E-10</v>
      </c>
      <c r="AL30" s="84">
        <f t="shared" si="28"/>
        <v>5.0000000000000001E-9</v>
      </c>
      <c r="AM30" s="84">
        <f t="shared" si="29"/>
        <v>7.3888936891382366E-10</v>
      </c>
      <c r="AN30" s="81"/>
      <c r="AO30" s="72">
        <f t="shared" si="30"/>
        <v>6.7345734837065744E-9</v>
      </c>
      <c r="AP30" s="72">
        <f t="shared" si="31"/>
        <v>3.4251402944818586E-15</v>
      </c>
      <c r="AQ30" s="72">
        <f t="shared" si="32"/>
        <v>-5.8318453989250061E-9</v>
      </c>
      <c r="AR30" s="72">
        <f t="shared" si="33"/>
        <v>-2.6210856287351184E-13</v>
      </c>
      <c r="AS30" s="72">
        <f t="shared" si="34"/>
        <v>9.0246940135898951E-10</v>
      </c>
      <c r="AT30" s="77"/>
      <c r="AU30" s="71">
        <v>-9.5011699231862305</v>
      </c>
      <c r="AV30" s="71">
        <v>1.0950282448901256</v>
      </c>
    </row>
    <row r="31" spans="1:48" x14ac:dyDescent="0.35">
      <c r="A31" s="69" t="s">
        <v>141</v>
      </c>
      <c r="B31" s="4" t="str">
        <f>Control!B24</f>
        <v>on</v>
      </c>
      <c r="E31" s="71">
        <v>130</v>
      </c>
      <c r="F31" s="71">
        <f t="shared" si="15"/>
        <v>403.15</v>
      </c>
      <c r="G31" s="71">
        <f t="shared" si="16"/>
        <v>934.77543638776638</v>
      </c>
      <c r="H31" s="83">
        <f t="shared" si="0"/>
        <v>0.95135000201218745</v>
      </c>
      <c r="I31" s="83">
        <f t="shared" si="17"/>
        <v>951.35000201218747</v>
      </c>
      <c r="J31" s="72">
        <f t="shared" si="1"/>
        <v>0.54222289580530503</v>
      </c>
      <c r="K31" s="82">
        <f t="shared" si="2"/>
        <v>42.202252274216299</v>
      </c>
      <c r="L31" s="72">
        <f t="shared" si="18"/>
        <v>1.1495739454131703E-4</v>
      </c>
      <c r="M31" s="72">
        <f t="shared" si="3"/>
        <v>14.40559509269702</v>
      </c>
      <c r="N31" s="83">
        <f t="shared" si="19"/>
        <v>11.908793659323456</v>
      </c>
      <c r="O31" s="71">
        <f t="shared" si="20"/>
        <v>1.2336908414560967E-12</v>
      </c>
      <c r="P31" s="83">
        <f t="shared" si="21"/>
        <v>7.1571742464689647</v>
      </c>
      <c r="Q31" s="72">
        <f t="shared" si="22"/>
        <v>6.9634707154872613E-8</v>
      </c>
      <c r="R31" s="72">
        <f t="shared" si="4"/>
        <v>0.50000006963470711</v>
      </c>
      <c r="S31" s="71">
        <f t="shared" si="5"/>
        <v>3.6680623037665251E-10</v>
      </c>
      <c r="T31" s="77"/>
      <c r="U31" s="72">
        <f t="shared" si="6"/>
        <v>9.4598690705719038E-2</v>
      </c>
      <c r="V31" s="72">
        <f t="shared" si="7"/>
        <v>-5.4634998383120685E-2</v>
      </c>
      <c r="W31" s="84">
        <f t="shared" si="8"/>
        <v>-9.5000656941582537E-3</v>
      </c>
      <c r="X31" s="82">
        <f t="shared" si="23"/>
        <v>-9.5000656941582537</v>
      </c>
      <c r="Y31" s="77"/>
      <c r="Z31" s="72">
        <f t="shared" si="9"/>
        <v>1.4136765668095944E-9</v>
      </c>
      <c r="AA31" s="72">
        <f t="shared" si="10"/>
        <v>2.7782385372383765E-7</v>
      </c>
      <c r="AB31" s="72">
        <f t="shared" si="11"/>
        <v>5.8882385372383762E-7</v>
      </c>
      <c r="AC31" s="72">
        <f t="shared" si="12"/>
        <v>3.0482385372383767E-7</v>
      </c>
      <c r="AD31" s="72">
        <f t="shared" si="13"/>
        <v>4.3082385372383761E-7</v>
      </c>
      <c r="AE31" s="72">
        <f t="shared" si="14"/>
        <v>5.8731701071292351E-9</v>
      </c>
      <c r="AF31" s="72">
        <f t="shared" si="24"/>
        <v>2.4E-9</v>
      </c>
      <c r="AG31" s="72">
        <f t="shared" si="25"/>
        <v>9.6868466739388295E-9</v>
      </c>
      <c r="AH31" s="84">
        <f t="shared" si="26"/>
        <v>2.1421526074034047E-9</v>
      </c>
      <c r="AI31" s="84">
        <f>Control!$B$44*AH31*1000000*1000</f>
        <v>2.1421526074034043</v>
      </c>
      <c r="AJ31" s="77"/>
      <c r="AK31" s="72">
        <f t="shared" si="27"/>
        <v>9.8214569373982148E-10</v>
      </c>
      <c r="AL31" s="84">
        <f t="shared" si="28"/>
        <v>5.0000000000000001E-9</v>
      </c>
      <c r="AM31" s="84">
        <f t="shared" si="29"/>
        <v>7.3361246075330502E-10</v>
      </c>
      <c r="AN31" s="81"/>
      <c r="AO31" s="72">
        <f t="shared" si="30"/>
        <v>6.7811174024268559E-9</v>
      </c>
      <c r="AP31" s="72">
        <f t="shared" si="31"/>
        <v>3.4668374066888343E-15</v>
      </c>
      <c r="AQ31" s="72">
        <f t="shared" si="32"/>
        <v>-5.8717783582589493E-9</v>
      </c>
      <c r="AR31" s="72">
        <f t="shared" si="33"/>
        <v>-2.940566657718849E-13</v>
      </c>
      <c r="AS31" s="72">
        <f t="shared" si="34"/>
        <v>9.0904845433954118E-10</v>
      </c>
      <c r="AT31" s="77"/>
      <c r="AU31" s="71">
        <v>-9.501118494914488</v>
      </c>
      <c r="AV31" s="71">
        <v>1.0711442482060187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E32" s="71">
        <v>135</v>
      </c>
      <c r="F32" s="71">
        <f t="shared" si="15"/>
        <v>408.15</v>
      </c>
      <c r="G32" s="71">
        <f t="shared" si="16"/>
        <v>930.45622488454865</v>
      </c>
      <c r="H32" s="83">
        <f t="shared" si="0"/>
        <v>0.94708921984236039</v>
      </c>
      <c r="I32" s="83">
        <f t="shared" si="17"/>
        <v>947.08921984236042</v>
      </c>
      <c r="J32" s="72">
        <f t="shared" si="1"/>
        <v>0.54473991413054745</v>
      </c>
      <c r="K32" s="82">
        <f t="shared" si="2"/>
        <v>41.074746050841263</v>
      </c>
      <c r="L32" s="72">
        <f t="shared" si="18"/>
        <v>1.1128200444761927E-4</v>
      </c>
      <c r="M32" s="72">
        <f t="shared" si="3"/>
        <v>14.829213006084085</v>
      </c>
      <c r="N32" s="83">
        <f t="shared" si="19"/>
        <v>11.855950031009247</v>
      </c>
      <c r="O32" s="71">
        <f t="shared" si="20"/>
        <v>1.3933171057981192E-12</v>
      </c>
      <c r="P32" s="83">
        <f t="shared" si="21"/>
        <v>7.1513137005527163</v>
      </c>
      <c r="Q32" s="72">
        <f t="shared" si="22"/>
        <v>7.0580754961773654E-8</v>
      </c>
      <c r="R32" s="72">
        <f t="shared" si="4"/>
        <v>0.50000007058075491</v>
      </c>
      <c r="S32" s="71">
        <f t="shared" si="5"/>
        <v>3.6411024642684587E-10</v>
      </c>
      <c r="T32" s="77"/>
      <c r="U32" s="72">
        <f t="shared" si="6"/>
        <v>9.4943471613657307E-2</v>
      </c>
      <c r="V32" s="72">
        <f t="shared" si="7"/>
        <v>-5.5227264679693522E-2</v>
      </c>
      <c r="W32" s="84">
        <f t="shared" si="8"/>
        <v>-9.5000600310955318E-3</v>
      </c>
      <c r="X32" s="82">
        <f t="shared" si="23"/>
        <v>-9.500060031095531</v>
      </c>
      <c r="Y32" s="77"/>
      <c r="Z32" s="72">
        <f t="shared" si="9"/>
        <v>1.3987488377716856E-9</v>
      </c>
      <c r="AA32" s="72">
        <f t="shared" si="10"/>
        <v>2.8186570509326326E-7</v>
      </c>
      <c r="AB32" s="72">
        <f t="shared" si="11"/>
        <v>5.9286570509326328E-7</v>
      </c>
      <c r="AC32" s="72">
        <f t="shared" si="12"/>
        <v>3.0886570509326327E-7</v>
      </c>
      <c r="AD32" s="72">
        <f t="shared" si="13"/>
        <v>4.3486570509326326E-7</v>
      </c>
      <c r="AE32" s="72">
        <f t="shared" si="14"/>
        <v>5.9019619323641032E-9</v>
      </c>
      <c r="AF32" s="72">
        <f t="shared" si="24"/>
        <v>2.4E-9</v>
      </c>
      <c r="AG32" s="72">
        <f t="shared" si="25"/>
        <v>9.7007107701357879E-9</v>
      </c>
      <c r="AH32" s="84">
        <f t="shared" si="26"/>
        <v>2.0922663146899033E-9</v>
      </c>
      <c r="AI32" s="84">
        <f>Control!$B$44*AH32*1000000*1000</f>
        <v>2.0922663146899034</v>
      </c>
      <c r="AJ32" s="77"/>
      <c r="AK32" s="72">
        <f t="shared" si="27"/>
        <v>9.9674375272124986E-10</v>
      </c>
      <c r="AL32" s="84">
        <f t="shared" si="28"/>
        <v>5.0000000000000001E-9</v>
      </c>
      <c r="AM32" s="84">
        <f t="shared" si="29"/>
        <v>7.2822049285369174E-10</v>
      </c>
      <c r="AN32" s="81"/>
      <c r="AO32" s="72">
        <f t="shared" si="30"/>
        <v>6.8140007611309345E-9</v>
      </c>
      <c r="AP32" s="72">
        <f t="shared" si="31"/>
        <v>3.5042344951168146E-15</v>
      </c>
      <c r="AQ32" s="72">
        <f t="shared" si="32"/>
        <v>-5.8999082972970141E-9</v>
      </c>
      <c r="AR32" s="72">
        <f t="shared" si="33"/>
        <v>-3.2796265737573644E-13</v>
      </c>
      <c r="AS32" s="72">
        <f t="shared" si="34"/>
        <v>9.1376800541103964E-10</v>
      </c>
      <c r="AT32" s="77"/>
      <c r="AU32" s="71">
        <v>-9.5010666945507563</v>
      </c>
      <c r="AV32" s="71">
        <v>1.0461879974688573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E33" s="71">
        <v>140</v>
      </c>
      <c r="F33" s="71">
        <f t="shared" si="15"/>
        <v>413.15</v>
      </c>
      <c r="G33" s="71">
        <f t="shared" si="16"/>
        <v>926.0260212893005</v>
      </c>
      <c r="H33" s="83">
        <f t="shared" si="0"/>
        <v>0.9427189470568591</v>
      </c>
      <c r="I33" s="83">
        <f t="shared" si="17"/>
        <v>942.71894705685907</v>
      </c>
      <c r="J33" s="72">
        <f t="shared" si="1"/>
        <v>0.54734600582837722</v>
      </c>
      <c r="K33" s="82">
        <f t="shared" si="2"/>
        <v>39.965616102466292</v>
      </c>
      <c r="L33" s="72">
        <f t="shared" si="18"/>
        <v>1.0797133777671891E-4</v>
      </c>
      <c r="M33" s="72">
        <f t="shared" si="3"/>
        <v>15.249080919471155</v>
      </c>
      <c r="N33" s="83">
        <f t="shared" si="19"/>
        <v>11.805127526952067</v>
      </c>
      <c r="O33" s="71">
        <f t="shared" si="20"/>
        <v>1.566291074265293E-12</v>
      </c>
      <c r="P33" s="83">
        <f t="shared" si="21"/>
        <v>7.1456773044893191</v>
      </c>
      <c r="Q33" s="72">
        <f t="shared" si="22"/>
        <v>7.1502741833287457E-8</v>
      </c>
      <c r="R33" s="72">
        <f t="shared" si="4"/>
        <v>0.50000007150274184</v>
      </c>
      <c r="S33" s="71">
        <f t="shared" si="5"/>
        <v>3.6135385395972707E-10</v>
      </c>
      <c r="T33" s="77"/>
      <c r="U33" s="72">
        <f t="shared" si="6"/>
        <v>9.5230718774515707E-2</v>
      </c>
      <c r="V33" s="72">
        <f t="shared" si="7"/>
        <v>-5.5832093743849273E-2</v>
      </c>
      <c r="W33" s="84">
        <f t="shared" si="8"/>
        <v>-9.500054653150224E-3</v>
      </c>
      <c r="X33" s="82">
        <f t="shared" si="23"/>
        <v>-9.5000546531502241</v>
      </c>
      <c r="Y33" s="77"/>
      <c r="Z33" s="72">
        <f t="shared" si="9"/>
        <v>1.3845226855635546E-9</v>
      </c>
      <c r="AA33" s="72">
        <f t="shared" si="10"/>
        <v>2.8534055165901162E-7</v>
      </c>
      <c r="AB33" s="72">
        <f t="shared" si="11"/>
        <v>5.9634055165901169E-7</v>
      </c>
      <c r="AC33" s="72">
        <f t="shared" si="12"/>
        <v>3.1234055165901163E-7</v>
      </c>
      <c r="AD33" s="72">
        <f t="shared" si="13"/>
        <v>4.3834055165901162E-7</v>
      </c>
      <c r="AE33" s="72">
        <f t="shared" si="14"/>
        <v>5.9188265544309105E-9</v>
      </c>
      <c r="AF33" s="72">
        <f t="shared" si="24"/>
        <v>2.4E-9</v>
      </c>
      <c r="AG33" s="72">
        <f t="shared" si="25"/>
        <v>9.7033492399944653E-9</v>
      </c>
      <c r="AH33" s="84">
        <f t="shared" si="26"/>
        <v>2.040429344121267E-9</v>
      </c>
      <c r="AI33" s="84">
        <f>Control!$B$44*AH33*1000000*1000</f>
        <v>2.0404293441212671</v>
      </c>
      <c r="AJ33" s="77"/>
      <c r="AK33" s="72">
        <f t="shared" si="27"/>
        <v>1.012007988575346E-9</v>
      </c>
      <c r="AL33" s="84">
        <f t="shared" si="28"/>
        <v>5.0000000000000001E-9</v>
      </c>
      <c r="AM33" s="84">
        <f t="shared" si="29"/>
        <v>7.2270770791945414E-10</v>
      </c>
      <c r="AN33" s="81"/>
      <c r="AO33" s="72">
        <f t="shared" si="30"/>
        <v>6.8331144995505655E-9</v>
      </c>
      <c r="AP33" s="72">
        <f t="shared" si="31"/>
        <v>3.5372261886015606E-15</v>
      </c>
      <c r="AQ33" s="72">
        <f t="shared" si="32"/>
        <v>-5.9161138765663543E-9</v>
      </c>
      <c r="AR33" s="72">
        <f t="shared" si="33"/>
        <v>-3.6374712966874344E-13</v>
      </c>
      <c r="AS33" s="72">
        <f t="shared" si="34"/>
        <v>9.1664041308073081E-10</v>
      </c>
      <c r="AT33" s="77"/>
      <c r="AU33" s="71">
        <v>-9.5010146332707794</v>
      </c>
      <c r="AV33" s="71">
        <v>1.0202567446365003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E34" s="71">
        <v>145</v>
      </c>
      <c r="F34" s="71">
        <f t="shared" si="15"/>
        <v>418.15</v>
      </c>
      <c r="G34" s="71">
        <f t="shared" si="16"/>
        <v>921.4840211658875</v>
      </c>
      <c r="H34" s="83">
        <f t="shared" si="0"/>
        <v>0.93823839010178223</v>
      </c>
      <c r="I34" s="83">
        <f t="shared" si="17"/>
        <v>938.23839010178222</v>
      </c>
      <c r="J34" s="72">
        <f t="shared" si="1"/>
        <v>0.55004387748856798</v>
      </c>
      <c r="K34" s="82">
        <f t="shared" si="2"/>
        <v>38.873804929091328</v>
      </c>
      <c r="L34" s="72">
        <f t="shared" si="18"/>
        <v>1.0498900895455611E-4</v>
      </c>
      <c r="M34" s="72">
        <f t="shared" si="3"/>
        <v>15.66519883285822</v>
      </c>
      <c r="N34" s="83">
        <f t="shared" si="19"/>
        <v>11.756180340872524</v>
      </c>
      <c r="O34" s="71">
        <f t="shared" si="20"/>
        <v>1.753152353796568E-12</v>
      </c>
      <c r="P34" s="83">
        <f t="shared" si="21"/>
        <v>7.1402488878449386</v>
      </c>
      <c r="Q34" s="72">
        <f t="shared" si="22"/>
        <v>7.2402091531232675E-8</v>
      </c>
      <c r="R34" s="72">
        <f t="shared" si="4"/>
        <v>0.50000007240209154</v>
      </c>
      <c r="S34" s="71">
        <f t="shared" si="5"/>
        <v>3.5853382296692652E-10</v>
      </c>
      <c r="T34" s="77"/>
      <c r="U34" s="72">
        <f t="shared" si="6"/>
        <v>9.546120936472352E-2</v>
      </c>
      <c r="V34" s="72">
        <f t="shared" si="7"/>
        <v>-5.6449688768360852E-2</v>
      </c>
      <c r="W34" s="84">
        <f t="shared" si="8"/>
        <v>-9.5000495595341603E-3</v>
      </c>
      <c r="X34" s="82">
        <f t="shared" si="23"/>
        <v>-9.5000495595341601</v>
      </c>
      <c r="Y34" s="77"/>
      <c r="Z34" s="72">
        <f t="shared" si="9"/>
        <v>1.3709434772128919E-9</v>
      </c>
      <c r="AA34" s="72">
        <f t="shared" si="10"/>
        <v>2.8823799559628528E-7</v>
      </c>
      <c r="AB34" s="72">
        <f t="shared" si="11"/>
        <v>5.9923799559628525E-7</v>
      </c>
      <c r="AC34" s="72">
        <f t="shared" si="12"/>
        <v>3.152379955962853E-7</v>
      </c>
      <c r="AD34" s="72">
        <f t="shared" si="13"/>
        <v>4.4123799559628523E-7</v>
      </c>
      <c r="AE34" s="72">
        <f t="shared" si="14"/>
        <v>5.9238128776455719E-9</v>
      </c>
      <c r="AF34" s="72">
        <f t="shared" si="24"/>
        <v>2.4E-9</v>
      </c>
      <c r="AG34" s="72">
        <f t="shared" si="25"/>
        <v>9.6947563548584646E-9</v>
      </c>
      <c r="AH34" s="84">
        <f t="shared" si="26"/>
        <v>1.9868562765895698E-9</v>
      </c>
      <c r="AI34" s="84">
        <f>Control!$B$44*AH34*1000000*1000</f>
        <v>1.9868562765895699</v>
      </c>
      <c r="AJ34" s="77"/>
      <c r="AK34" s="72">
        <f t="shared" si="27"/>
        <v>1.0279903978327969E-9</v>
      </c>
      <c r="AL34" s="84">
        <f t="shared" si="28"/>
        <v>5.0000000000000001E-9</v>
      </c>
      <c r="AM34" s="84">
        <f t="shared" si="29"/>
        <v>7.1706764593385304E-10</v>
      </c>
      <c r="AN34" s="81"/>
      <c r="AO34" s="72">
        <f t="shared" si="30"/>
        <v>6.8384798325873349E-9</v>
      </c>
      <c r="AP34" s="72">
        <f t="shared" si="31"/>
        <v>3.565737659353989E-15</v>
      </c>
      <c r="AQ34" s="72">
        <f t="shared" si="32"/>
        <v>-5.9203830345891834E-9</v>
      </c>
      <c r="AR34" s="72">
        <f t="shared" si="33"/>
        <v>-4.013125059572735E-13</v>
      </c>
      <c r="AS34" s="72">
        <f t="shared" si="34"/>
        <v>9.1769905122985333E-10</v>
      </c>
      <c r="AT34" s="77"/>
      <c r="AU34" s="71">
        <v>-9.5009624243996686</v>
      </c>
      <c r="AV34" s="71">
        <v>0.99345794037997304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E35" s="71">
        <v>150</v>
      </c>
      <c r="F35" s="71">
        <f t="shared" si="15"/>
        <v>423.15</v>
      </c>
      <c r="G35" s="71">
        <f t="shared" si="16"/>
        <v>916.82911127778289</v>
      </c>
      <c r="H35" s="83">
        <f t="shared" si="0"/>
        <v>0.93364645080021957</v>
      </c>
      <c r="I35" s="83">
        <f t="shared" si="17"/>
        <v>933.64645080021955</v>
      </c>
      <c r="J35" s="72">
        <f t="shared" si="1"/>
        <v>0.55283655133881737</v>
      </c>
      <c r="K35" s="82">
        <f t="shared" si="2"/>
        <v>37.798255030716255</v>
      </c>
      <c r="L35" s="72">
        <f t="shared" si="18"/>
        <v>1.0230242184859238E-4</v>
      </c>
      <c r="M35" s="72">
        <f t="shared" si="3"/>
        <v>16.077566746245282</v>
      </c>
      <c r="N35" s="83">
        <f t="shared" si="19"/>
        <v>11.708977535066271</v>
      </c>
      <c r="O35" s="71">
        <f t="shared" si="20"/>
        <v>1.9544405513308934E-12</v>
      </c>
      <c r="P35" s="83">
        <f t="shared" si="21"/>
        <v>7.1350139291634793</v>
      </c>
      <c r="Q35" s="72">
        <f t="shared" si="22"/>
        <v>7.3280102957287578E-8</v>
      </c>
      <c r="R35" s="72">
        <f t="shared" si="4"/>
        <v>0.50000007328010299</v>
      </c>
      <c r="S35" s="71">
        <f t="shared" si="5"/>
        <v>3.55646552814612E-10</v>
      </c>
      <c r="T35" s="77"/>
      <c r="U35" s="72">
        <f t="shared" si="6"/>
        <v>9.5635429400468333E-2</v>
      </c>
      <c r="V35" s="72">
        <f t="shared" si="7"/>
        <v>-5.7080340655615312E-2</v>
      </c>
      <c r="W35" s="84">
        <f t="shared" si="8"/>
        <v>-9.5000447489692261E-3</v>
      </c>
      <c r="X35" s="82">
        <f t="shared" si="23"/>
        <v>-9.5000447489692252</v>
      </c>
      <c r="Y35" s="77"/>
      <c r="Z35" s="72">
        <f t="shared" si="9"/>
        <v>1.3579625670320472E-9</v>
      </c>
      <c r="AA35" s="72">
        <f t="shared" si="10"/>
        <v>2.9055285264817247E-7</v>
      </c>
      <c r="AB35" s="72">
        <f t="shared" si="11"/>
        <v>6.0155285264817243E-7</v>
      </c>
      <c r="AC35" s="72">
        <f t="shared" si="12"/>
        <v>3.1755285264817248E-7</v>
      </c>
      <c r="AD35" s="72">
        <f t="shared" si="13"/>
        <v>4.4355285264817248E-7</v>
      </c>
      <c r="AE35" s="72">
        <f t="shared" si="14"/>
        <v>5.9170741802887871E-9</v>
      </c>
      <c r="AF35" s="72">
        <f t="shared" si="24"/>
        <v>2.4E-9</v>
      </c>
      <c r="AG35" s="72">
        <f t="shared" si="25"/>
        <v>9.6750367473208347E-9</v>
      </c>
      <c r="AH35" s="84">
        <f t="shared" si="26"/>
        <v>1.931774796744156E-9</v>
      </c>
      <c r="AI35" s="84">
        <f>Control!$B$44*AH35*1000000*1000</f>
        <v>1.9317747967441559</v>
      </c>
      <c r="AJ35" s="77"/>
      <c r="AK35" s="72">
        <f t="shared" si="27"/>
        <v>1.044749360641298E-9</v>
      </c>
      <c r="AL35" s="84">
        <f t="shared" si="28"/>
        <v>5.0000000000000001E-9</v>
      </c>
      <c r="AM35" s="84">
        <f t="shared" si="29"/>
        <v>7.11293105629224E-10</v>
      </c>
      <c r="AN35" s="81"/>
      <c r="AO35" s="72">
        <f t="shared" si="30"/>
        <v>6.8302357489248741E-9</v>
      </c>
      <c r="AP35" s="72">
        <f t="shared" si="31"/>
        <v>3.5897235383175203E-15</v>
      </c>
      <c r="AQ35" s="72">
        <f t="shared" si="32"/>
        <v>-5.9128033434287059E-9</v>
      </c>
      <c r="AR35" s="72">
        <f t="shared" si="33"/>
        <v>-4.4054389055742452E-13</v>
      </c>
      <c r="AS35" s="72">
        <f t="shared" si="34"/>
        <v>9.1699545132914931E-10</v>
      </c>
      <c r="AT35" s="77"/>
      <c r="AU35" s="71">
        <v>-9.5009101840816346</v>
      </c>
      <c r="AV35" s="71">
        <v>0.96590558636609924</v>
      </c>
    </row>
    <row r="36" spans="1:48" x14ac:dyDescent="0.35">
      <c r="A36" t="s">
        <v>32</v>
      </c>
      <c r="B36" s="38">
        <f>Control!B29</f>
        <v>0.19</v>
      </c>
      <c r="C36" s="2" t="s">
        <v>1</v>
      </c>
      <c r="Y36" s="86"/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71">
        <f>100*(G35-G5)/G5</f>
        <v>-8.3023732370787968</v>
      </c>
      <c r="H37" s="71">
        <f t="shared" ref="H37:AS37" si="35">100*(H35-H5)/H5</f>
        <v>-8.0634887027036122</v>
      </c>
      <c r="I37" s="71">
        <f t="shared" si="35"/>
        <v>-8.0634887027036157</v>
      </c>
      <c r="J37" s="71">
        <f t="shared" si="35"/>
        <v>9.054076457773645</v>
      </c>
      <c r="K37" s="71">
        <f t="shared" si="35"/>
        <v>-53.582962975840182</v>
      </c>
      <c r="L37" s="71">
        <f t="shared" si="35"/>
        <v>-88.954655289483568</v>
      </c>
      <c r="M37" s="71">
        <f t="shared" si="35"/>
        <v>674.71819819448319</v>
      </c>
      <c r="N37" s="71">
        <f t="shared" si="35"/>
        <v>-22.738700343636562</v>
      </c>
      <c r="O37" s="71">
        <f t="shared" si="35"/>
        <v>279191.77864706103</v>
      </c>
      <c r="P37" s="71">
        <f t="shared" si="35"/>
        <v>-5.0840789570556657</v>
      </c>
      <c r="Q37" s="71">
        <f t="shared" si="35"/>
        <v>141.09048948957113</v>
      </c>
      <c r="R37" s="71">
        <f t="shared" si="35"/>
        <v>8.5769662598501347E-6</v>
      </c>
      <c r="S37" s="71">
        <f t="shared" si="35"/>
        <v>-15.202068459575026</v>
      </c>
      <c r="T37" s="71">
        <f>Control!D32</f>
        <v>0.5</v>
      </c>
      <c r="U37" s="71">
        <f t="shared" si="35"/>
        <v>63.508418316200199</v>
      </c>
      <c r="V37" s="71">
        <f t="shared" si="35"/>
        <v>28.083857161786185</v>
      </c>
      <c r="W37" s="71">
        <f t="shared" si="35"/>
        <v>-2.6460297628430151E-3</v>
      </c>
      <c r="X37" s="71">
        <f t="shared" si="35"/>
        <v>-2.6460297628551396E-3</v>
      </c>
      <c r="Z37" s="71">
        <f t="shared" si="35"/>
        <v>-47.232566344641747</v>
      </c>
      <c r="AA37" s="71">
        <f t="shared" si="35"/>
        <v>227.77795592915123</v>
      </c>
      <c r="AB37" s="71">
        <f t="shared" si="35"/>
        <v>50.522481095921727</v>
      </c>
      <c r="AC37" s="71">
        <f t="shared" si="35"/>
        <v>174.5970937956254</v>
      </c>
      <c r="AD37" s="71">
        <f t="shared" si="35"/>
        <v>83.556939248514382</v>
      </c>
      <c r="AE37" s="71">
        <f t="shared" si="35"/>
        <v>112.05827638733463</v>
      </c>
      <c r="AF37" s="71">
        <f t="shared" si="35"/>
        <v>0</v>
      </c>
      <c r="AG37" s="71">
        <f t="shared" si="35"/>
        <v>24.617416341759551</v>
      </c>
      <c r="AH37" s="71">
        <f t="shared" si="35"/>
        <v>-45.691425272715641</v>
      </c>
      <c r="AI37" s="71">
        <f t="shared" si="35"/>
        <v>-45.691425272715641</v>
      </c>
      <c r="AK37" s="71">
        <f t="shared" si="35"/>
        <v>39.068716129391234</v>
      </c>
      <c r="AL37" s="71">
        <f t="shared" si="35"/>
        <v>0</v>
      </c>
      <c r="AM37" s="71">
        <f t="shared" si="35"/>
        <v>-15.202068459575026</v>
      </c>
      <c r="AO37" s="71">
        <f t="shared" si="35"/>
        <v>109.27264718379801</v>
      </c>
      <c r="AP37" s="71">
        <f t="shared" si="35"/>
        <v>131.69366196210808</v>
      </c>
      <c r="AQ37" s="71">
        <f t="shared" si="35"/>
        <v>106.54214473844539</v>
      </c>
      <c r="AR37" s="71">
        <f t="shared" si="35"/>
        <v>159841.67000945972</v>
      </c>
      <c r="AS37" s="71">
        <f t="shared" si="35"/>
        <v>128.65426635889858</v>
      </c>
      <c r="AU37" s="71">
        <v>-1.1554422161268998E-2</v>
      </c>
      <c r="AV37" s="71">
        <v>-45.700253182055484</v>
      </c>
    </row>
    <row r="38" spans="1:48" x14ac:dyDescent="0.35">
      <c r="B38" s="37">
        <f>Control!B31</f>
        <v>-9.4999999999999998E-3</v>
      </c>
      <c r="C38" s="6"/>
      <c r="G38" s="71" t="str">
        <f>G1</f>
        <v>Density water</v>
      </c>
      <c r="H38" s="71" t="str">
        <f t="shared" ref="H38:AS38" si="36">H1</f>
        <v>Density Soln</v>
      </c>
      <c r="I38" s="71" t="str">
        <f t="shared" si="36"/>
        <v>Density Soln</v>
      </c>
      <c r="J38" s="71" t="str">
        <f t="shared" si="36"/>
        <v>Molality</v>
      </c>
      <c r="K38" s="71" t="str">
        <f t="shared" si="36"/>
        <v>RelPerm Soln</v>
      </c>
      <c r="L38" s="71" t="str">
        <f t="shared" si="36"/>
        <v>Visc Soln</v>
      </c>
      <c r="M38" s="71" t="str">
        <f t="shared" si="36"/>
        <v>Condy Soln</v>
      </c>
      <c r="N38" s="71" t="str">
        <f t="shared" si="36"/>
        <v>pKw</v>
      </c>
      <c r="O38" s="71" t="str">
        <f t="shared" si="36"/>
        <v>Kw</v>
      </c>
      <c r="P38" s="71" t="str">
        <f t="shared" si="36"/>
        <v>pH</v>
      </c>
      <c r="Q38" s="71" t="str">
        <f t="shared" si="36"/>
        <v>[H+]</v>
      </c>
      <c r="R38" s="71" t="str">
        <f t="shared" si="36"/>
        <v>Ionic Conc</v>
      </c>
      <c r="S38" s="71" t="str">
        <f t="shared" si="36"/>
        <v>Debye Length</v>
      </c>
      <c r="U38" s="71" t="str">
        <f t="shared" si="36"/>
        <v>Theta2</v>
      </c>
      <c r="V38" s="71" t="str">
        <f t="shared" si="36"/>
        <v>SternPot</v>
      </c>
      <c r="W38" s="71" t="str">
        <f t="shared" si="36"/>
        <v>Zeta Pot</v>
      </c>
      <c r="X38" s="71" t="str">
        <f t="shared" si="36"/>
        <v>Zeta Pot</v>
      </c>
      <c r="Z38" s="71" t="str">
        <f t="shared" si="36"/>
        <v>SurfConStern</v>
      </c>
      <c r="AA38" s="71" t="str">
        <f t="shared" si="36"/>
        <v>EffMobNa</v>
      </c>
      <c r="AB38" s="71" t="str">
        <f t="shared" si="36"/>
        <v>EffMobHyd</v>
      </c>
      <c r="AC38" s="71" t="str">
        <f t="shared" si="36"/>
        <v>EffMobCl</v>
      </c>
      <c r="AD38" s="71" t="str">
        <f t="shared" si="36"/>
        <v>EffMobOH</v>
      </c>
      <c r="AE38" s="71" t="str">
        <f t="shared" si="36"/>
        <v>SurfConEDL</v>
      </c>
      <c r="AF38" s="71" t="str">
        <f t="shared" si="36"/>
        <v>SurfConProt</v>
      </c>
      <c r="AG38" s="71" t="str">
        <f t="shared" si="36"/>
        <v>TotSurfCon</v>
      </c>
      <c r="AH38" s="71" t="str">
        <f t="shared" si="36"/>
        <v>Cs</v>
      </c>
      <c r="AI38" s="71" t="str">
        <f t="shared" si="36"/>
        <v>Cs</v>
      </c>
      <c r="AK38" s="71" t="str">
        <f t="shared" si="36"/>
        <v>Bjerrum</v>
      </c>
      <c r="AL38" s="71" t="str">
        <f t="shared" si="36"/>
        <v>Shear Plane</v>
      </c>
      <c r="AM38" s="71" t="str">
        <f t="shared" si="36"/>
        <v>Twice Debye</v>
      </c>
      <c r="AO38" s="71" t="str">
        <f t="shared" si="36"/>
        <v>SurfConEDLNa</v>
      </c>
      <c r="AP38" s="71" t="str">
        <f t="shared" si="36"/>
        <v>SurfConEDLH</v>
      </c>
      <c r="AQ38" s="71" t="str">
        <f t="shared" si="36"/>
        <v>SurfConEDLCl</v>
      </c>
      <c r="AR38" s="71" t="str">
        <f t="shared" si="36"/>
        <v>SurfConEDLOH</v>
      </c>
      <c r="AS38" s="71" t="str">
        <f t="shared" si="36"/>
        <v>SurfConEDL</v>
      </c>
      <c r="AU38" s="71" t="s">
        <v>110</v>
      </c>
      <c r="AV38" s="71" t="s">
        <v>10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Y39" s="86"/>
    </row>
    <row r="40" spans="1:48" x14ac:dyDescent="0.35">
      <c r="B40" s="6"/>
      <c r="C40" s="6"/>
      <c r="O40" s="71" t="s">
        <v>145</v>
      </c>
      <c r="P40" s="71">
        <v>0.5</v>
      </c>
    </row>
    <row r="41" spans="1:48" x14ac:dyDescent="0.35">
      <c r="C41" s="6"/>
      <c r="O41" s="71" t="s">
        <v>146</v>
      </c>
      <c r="P41" s="90">
        <f>Control!B41</f>
        <v>7.5</v>
      </c>
    </row>
    <row r="42" spans="1:48" x14ac:dyDescent="0.35">
      <c r="C42" s="6"/>
      <c r="O42" s="71" t="s">
        <v>147</v>
      </c>
      <c r="P42" s="90">
        <f>Control!B42</f>
        <v>1</v>
      </c>
    </row>
    <row r="43" spans="1:48" x14ac:dyDescent="0.35">
      <c r="C43" s="6"/>
      <c r="O43" s="71" t="s">
        <v>148</v>
      </c>
      <c r="P43" s="90">
        <f>Control!B43</f>
        <v>0.32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V43"/>
  <sheetViews>
    <sheetView zoomScale="85" zoomScaleNormal="85" workbookViewId="0">
      <selection activeCell="H4" sqref="H4"/>
    </sheetView>
  </sheetViews>
  <sheetFormatPr defaultRowHeight="14.5" x14ac:dyDescent="0.35"/>
  <cols>
    <col min="1" max="1" width="15" customWidth="1"/>
    <col min="2" max="2" width="16.1796875" customWidth="1"/>
    <col min="3" max="3" width="11.26953125" style="2" customWidth="1"/>
    <col min="4" max="4" width="2.453125" customWidth="1"/>
    <col min="5" max="10" width="14.81640625" style="71" customWidth="1"/>
    <col min="11" max="11" width="14.81640625" style="82" customWidth="1"/>
    <col min="12" max="12" width="14.81640625" style="71" customWidth="1"/>
    <col min="13" max="13" width="14.81640625" style="72" customWidth="1"/>
    <col min="14" max="48" width="14.81640625" style="71" customWidth="1"/>
  </cols>
  <sheetData>
    <row r="1" spans="1:48" ht="18.5" x14ac:dyDescent="0.45">
      <c r="A1" s="7" t="s">
        <v>33</v>
      </c>
      <c r="B1" s="8"/>
      <c r="C1" s="52">
        <v>1</v>
      </c>
      <c r="E1" s="70" t="s">
        <v>102</v>
      </c>
      <c r="F1" s="70" t="s">
        <v>102</v>
      </c>
      <c r="G1" s="70" t="s">
        <v>97</v>
      </c>
      <c r="H1" s="70" t="s">
        <v>101</v>
      </c>
      <c r="I1" s="70" t="s">
        <v>101</v>
      </c>
      <c r="J1" s="70" t="s">
        <v>103</v>
      </c>
      <c r="K1" s="73" t="s">
        <v>104</v>
      </c>
      <c r="L1" s="70" t="s">
        <v>105</v>
      </c>
      <c r="M1" s="74" t="s">
        <v>106</v>
      </c>
      <c r="N1" s="70" t="s">
        <v>43</v>
      </c>
      <c r="O1" s="70" t="s">
        <v>58</v>
      </c>
      <c r="P1" s="70" t="s">
        <v>16</v>
      </c>
      <c r="Q1" s="70" t="s">
        <v>108</v>
      </c>
      <c r="R1" s="70" t="s">
        <v>107</v>
      </c>
      <c r="S1" s="70" t="s">
        <v>28</v>
      </c>
      <c r="T1" s="75"/>
      <c r="U1" s="70" t="s">
        <v>46</v>
      </c>
      <c r="V1" s="70" t="s">
        <v>109</v>
      </c>
      <c r="W1" s="70" t="s">
        <v>110</v>
      </c>
      <c r="X1" s="70" t="s">
        <v>110</v>
      </c>
      <c r="Y1" s="77"/>
      <c r="Z1" s="70" t="s">
        <v>25</v>
      </c>
      <c r="AA1" s="70" t="s">
        <v>38</v>
      </c>
      <c r="AB1" s="70" t="s">
        <v>40</v>
      </c>
      <c r="AC1" s="70" t="s">
        <v>41</v>
      </c>
      <c r="AD1" s="70" t="s">
        <v>42</v>
      </c>
      <c r="AE1" s="70" t="s">
        <v>27</v>
      </c>
      <c r="AF1" s="70" t="s">
        <v>26</v>
      </c>
      <c r="AG1" s="70" t="s">
        <v>29</v>
      </c>
      <c r="AH1" s="70" t="s">
        <v>10</v>
      </c>
      <c r="AI1" s="70" t="s">
        <v>10</v>
      </c>
      <c r="AJ1" s="77"/>
      <c r="AK1" s="78" t="s">
        <v>90</v>
      </c>
      <c r="AL1" s="70" t="s">
        <v>91</v>
      </c>
      <c r="AM1" s="70" t="s">
        <v>131</v>
      </c>
      <c r="AN1" s="79"/>
      <c r="AO1" s="70" t="s">
        <v>47</v>
      </c>
      <c r="AP1" s="70" t="s">
        <v>48</v>
      </c>
      <c r="AQ1" s="70" t="s">
        <v>49</v>
      </c>
      <c r="AR1" s="70" t="s">
        <v>50</v>
      </c>
      <c r="AS1" s="70" t="s">
        <v>27</v>
      </c>
      <c r="AT1" s="77"/>
      <c r="AU1" s="70" t="s">
        <v>110</v>
      </c>
      <c r="AV1" s="70" t="s">
        <v>10</v>
      </c>
    </row>
    <row r="2" spans="1:48" x14ac:dyDescent="0.35">
      <c r="B2" s="4"/>
      <c r="E2" s="70" t="s">
        <v>96</v>
      </c>
      <c r="F2" s="70" t="s">
        <v>11</v>
      </c>
      <c r="G2" s="70" t="s">
        <v>98</v>
      </c>
      <c r="H2" s="70" t="s">
        <v>93</v>
      </c>
      <c r="I2" s="70" t="s">
        <v>98</v>
      </c>
      <c r="J2" s="70" t="s">
        <v>94</v>
      </c>
      <c r="K2" s="73" t="s">
        <v>1</v>
      </c>
      <c r="L2" s="70" t="s">
        <v>6</v>
      </c>
      <c r="M2" s="74" t="s">
        <v>7</v>
      </c>
      <c r="N2" s="70" t="s">
        <v>1</v>
      </c>
      <c r="O2" s="70" t="s">
        <v>1</v>
      </c>
      <c r="P2" s="70" t="s">
        <v>1</v>
      </c>
      <c r="Q2" s="70" t="s">
        <v>1</v>
      </c>
      <c r="R2" s="70" t="s">
        <v>100</v>
      </c>
      <c r="S2" s="70" t="s">
        <v>9</v>
      </c>
      <c r="T2" s="75"/>
      <c r="U2" s="70" t="s">
        <v>1</v>
      </c>
      <c r="V2" s="70" t="s">
        <v>5</v>
      </c>
      <c r="W2" s="70" t="s">
        <v>5</v>
      </c>
      <c r="X2" s="70" t="s">
        <v>111</v>
      </c>
      <c r="Y2" s="77"/>
      <c r="Z2" s="70" t="s">
        <v>8</v>
      </c>
      <c r="AA2" s="70" t="s">
        <v>39</v>
      </c>
      <c r="AB2" s="70" t="s">
        <v>39</v>
      </c>
      <c r="AC2" s="70" t="s">
        <v>39</v>
      </c>
      <c r="AD2" s="70" t="s">
        <v>39</v>
      </c>
      <c r="AE2" s="70" t="s">
        <v>8</v>
      </c>
      <c r="AF2" s="70" t="s">
        <v>8</v>
      </c>
      <c r="AG2" s="70" t="s">
        <v>8</v>
      </c>
      <c r="AH2" s="70" t="s">
        <v>30</v>
      </c>
      <c r="AI2" s="70" t="s">
        <v>130</v>
      </c>
      <c r="AJ2" s="77"/>
      <c r="AK2" s="80" t="s">
        <v>9</v>
      </c>
      <c r="AL2" s="80" t="s">
        <v>9</v>
      </c>
      <c r="AM2" s="80" t="s">
        <v>9</v>
      </c>
      <c r="AN2" s="79"/>
      <c r="AO2" s="70" t="s">
        <v>8</v>
      </c>
      <c r="AP2" s="70" t="s">
        <v>8</v>
      </c>
      <c r="AQ2" s="70" t="s">
        <v>8</v>
      </c>
      <c r="AR2" s="70" t="s">
        <v>8</v>
      </c>
      <c r="AS2" s="70" t="s">
        <v>8</v>
      </c>
      <c r="AT2" s="77"/>
      <c r="AU2" s="70" t="s">
        <v>111</v>
      </c>
      <c r="AV2" s="70" t="s">
        <v>130</v>
      </c>
    </row>
    <row r="3" spans="1:48" x14ac:dyDescent="0.35">
      <c r="B3" s="4"/>
      <c r="E3" s="70"/>
      <c r="F3" s="70"/>
      <c r="G3" s="70"/>
      <c r="H3" s="70"/>
      <c r="I3" s="70"/>
      <c r="J3" s="70"/>
      <c r="K3" s="73"/>
      <c r="L3" s="70"/>
      <c r="M3" s="74"/>
      <c r="N3" s="70"/>
      <c r="O3" s="70"/>
      <c r="P3" s="70"/>
      <c r="Q3" s="70"/>
      <c r="R3" s="70"/>
      <c r="S3" s="70"/>
      <c r="T3" s="75"/>
      <c r="U3" s="70"/>
      <c r="V3" s="70"/>
      <c r="W3" s="70"/>
      <c r="X3" s="70"/>
      <c r="Y3" s="77"/>
      <c r="Z3" s="70"/>
      <c r="AA3" s="70"/>
      <c r="AB3" s="70"/>
      <c r="AC3" s="70"/>
      <c r="AD3" s="70"/>
      <c r="AE3" s="71" t="s">
        <v>128</v>
      </c>
      <c r="AJ3" s="77"/>
      <c r="AL3" s="80"/>
      <c r="AM3" s="80"/>
      <c r="AN3" s="81"/>
      <c r="AT3" s="77"/>
    </row>
    <row r="4" spans="1:48" x14ac:dyDescent="0.35">
      <c r="B4" s="4"/>
      <c r="P4" s="83">
        <f>IF($B$31="on",N4/2+Control!$D$1,7)</f>
        <v>0</v>
      </c>
      <c r="T4" s="77"/>
      <c r="Y4" s="77"/>
      <c r="AJ4" s="77"/>
      <c r="AK4" s="72"/>
      <c r="AN4" s="81"/>
      <c r="AO4" s="72"/>
      <c r="AT4" s="77"/>
    </row>
    <row r="5" spans="1:48" x14ac:dyDescent="0.35">
      <c r="A5" t="s">
        <v>99</v>
      </c>
      <c r="B5" s="4">
        <v>1</v>
      </c>
      <c r="C5" s="2" t="s">
        <v>100</v>
      </c>
      <c r="E5" s="71">
        <v>0</v>
      </c>
      <c r="F5" s="71">
        <f>E5+273.15</f>
        <v>273.14999999999998</v>
      </c>
      <c r="G5" s="71">
        <f>(((((-0.00000000028054253*E5+0.00000010556302)*E5-0.000046170461)*E5-0.0079870401)*E5+16.945176)*E5+999.83952)/(1+0.01687985*E5)</f>
        <v>999.83951999999999</v>
      </c>
      <c r="H5" s="83">
        <f>(($B$5*58.44)+(($G5/1000)*(1000-($B$5*58.44/2.16))))/1000</f>
        <v>1.0312283063200001</v>
      </c>
      <c r="I5" s="83">
        <f>H5*1000</f>
        <v>1031.22830632</v>
      </c>
      <c r="J5" s="72">
        <f t="shared" ref="J5:J35" si="0">$B$5/($H5-($B$5*58.44/1000))</f>
        <v>1.0279728832092361</v>
      </c>
      <c r="K5" s="82">
        <f t="shared" ref="K5:K35" si="1">(295.68-1.2283*$F5+0.002094*$F5^2-0.00000141*$F5^3)-13*$B$5+1.065*$B$5^2-0.03006*$B$5^3</f>
        <v>75.704304106966248</v>
      </c>
      <c r="L5" s="72">
        <f>(0.0495166+0.6034658*EXP(-0.06653081*$E5)+0.09703832*EXP(0.1447269*$J5)+1.025107*EXP(-0.02062455*$E5+0.1301095*$J5))*0.001</f>
        <v>1.9373927224481894E-3</v>
      </c>
      <c r="M5" s="72">
        <f t="shared" ref="M5:M35" si="2">((5.6+0.27*$E5-0.00015*$E5^2)*$B$5)-((2.36+0.099*$E5)*($B$5^(3/2))/(1+0.214*SQRT($B$5)))</f>
        <v>3.6560131795716639</v>
      </c>
      <c r="N5" s="83">
        <f>-LOG10(6.997844909E-16 + 5.017799566E-16*$E5 - 2.443366453E-17*$E5^2 + 7.194759186E-19*$E5^3)</f>
        <v>15.155035686876243</v>
      </c>
      <c r="O5" s="71">
        <f>10^(-1*$N5)</f>
        <v>6.9978449090000084E-16</v>
      </c>
      <c r="P5" s="83">
        <f>IF($B$31="on",$P$41+($P$41-$N5/2)*LN(P$40/$P$42)*$P$43,7)</f>
        <v>7.5</v>
      </c>
      <c r="Q5" s="72">
        <f>10^(-1*P5)</f>
        <v>3.1622776601683699E-8</v>
      </c>
      <c r="R5" s="72">
        <f t="shared" ref="R5:R35" si="3">(2*$B$5+2*$Q5)/2</f>
        <v>1.0000000316227766</v>
      </c>
      <c r="S5" s="71">
        <f t="shared" ref="S5:S35" si="4">(($K5*$B$17*$F5*$B$18)/(2*$B$19*$B$20^2*$R5*1000))^0.5</f>
        <v>2.8594431784052017E-10</v>
      </c>
      <c r="T5" s="77"/>
      <c r="U5" s="72">
        <f t="shared" ref="U5:U35" si="5">((10^-$P5+$B$5*$B$26)*SQRT(8000*$B$19*$B$17*$K5*$B$18*$F5)/(2*$B$20*$B$22*$B$28))*(($B$23+$B$24+$B$5+(10^-$P5)+10^($P5-$N5))/SQRT($R5))</f>
        <v>0.10916470279065697</v>
      </c>
      <c r="V5" s="72">
        <f t="shared" ref="V5:V35" si="6">(2*$B$18*$F5*LN($U5))/(3*$B$20)</f>
        <v>-3.4769203832929342E-2</v>
      </c>
      <c r="W5" s="84">
        <f t="shared" ref="W5:W35" si="7">$V5*EXP(-$B$29/$S5)+$B$37</f>
        <v>-9.5000008854323158E-3</v>
      </c>
      <c r="X5" s="85">
        <f>W5*1000</f>
        <v>-9.5000008854323159</v>
      </c>
      <c r="Y5" s="77"/>
      <c r="Z5" s="72">
        <f t="shared" ref="Z5:Z35" si="8">($B$20*$B$32*$B$22*$B$26*$B$5)/(10^-$P5+$B$28*$U5^(2/3)+$B$26*$B$5)</f>
        <v>3.7357999666442953E-9</v>
      </c>
      <c r="AA5" s="72">
        <f t="shared" ref="AA5:AA35" si="9">$B$6+((2*$B$17*$K5*$B$18*$F5)/($L5*$B$20*1))</f>
        <v>6.8285779322589559E-8</v>
      </c>
      <c r="AB5" s="72">
        <f t="shared" ref="AB5:AB35" si="10">$B$7+((2*$B$17*$K5*$B$18*$F5)/($L5*$B$20*1))</f>
        <v>3.7928577932258958E-7</v>
      </c>
      <c r="AC5" s="72">
        <f t="shared" ref="AC5:AC35" si="11">$B$8+((2*$B$17*$K5*$B$18*$F5)/($L5*$B$20*1))</f>
        <v>9.5285779322589563E-8</v>
      </c>
      <c r="AD5" s="72">
        <f t="shared" ref="AD5:AD35" si="12">$B$9+((2*$B$17*$K5*$B$18*$F5)/($L5*$B$20*1))</f>
        <v>2.2128577932258957E-7</v>
      </c>
      <c r="AE5" s="72">
        <f t="shared" ref="AE5:AE35" si="13">(SQRT((2000*$B$19*$B$17*$K5*$B$18*$F5)/($B$5+10^-$P5))*((($AA5*$B$5+$AB5*10^(-1*$P5))*($U5^(-1/3)-1)+($AC5*$B$5+$AD5*10^($P5-$N5))*($U5^(1/3)-1))))</f>
        <v>1.3708671317698115E-9</v>
      </c>
      <c r="AF5" s="72">
        <f>$B$30</f>
        <v>2.4E-9</v>
      </c>
      <c r="AG5" s="72">
        <f>$Z5+$AE5+$AF5</f>
        <v>7.5066670984141066E-9</v>
      </c>
      <c r="AH5" s="84">
        <f t="shared" ref="AH5:AH35" si="14">-1*($B$33*$K5*$B$17*$W5)/($L5*($B$33*$M5+4*$AF5*$B$34*$B$35))</f>
        <v>8.9788233336652277E-10</v>
      </c>
      <c r="AI5" s="84">
        <f>AH5*1000000*1000</f>
        <v>0.89788233336652279</v>
      </c>
      <c r="AJ5" s="77"/>
      <c r="AK5" s="72">
        <f>$B$20^2/(4*PI()*$K5*$B$17*$B$18*$F5)</f>
        <v>8.0808386199254181E-10</v>
      </c>
      <c r="AL5" s="84">
        <f>$B$29</f>
        <v>5.0000000000000001E-9</v>
      </c>
      <c r="AM5" s="84">
        <f>2*S5</f>
        <v>5.7188863568104034E-10</v>
      </c>
      <c r="AN5" s="81"/>
      <c r="AO5" s="72">
        <f>(SQRT((2000*$B$19*$B$17*$K5*$B$18*$F5)/($B$5+10^-$B$13))*((($AA5*$B$5)*($U5^(-1/3)-1))))</f>
        <v>2.9100553391758536E-9</v>
      </c>
      <c r="AP5" s="72">
        <f>(SQRT((2000*$B$19*$B$17*$K5*$B$18*$F5)/($B$5+10^-$P5))*((($AB5*10^(-1*$P5))*($U5^(-1/3)-1))))</f>
        <v>7.2285722878252827E-16</v>
      </c>
      <c r="AQ5" s="72">
        <f>(SQRT((2000*$B$19*$B$17*$K5*$B$18*$F5)/($B$5+10^-$P5))*((($AC5*$B$5)*($U5^(1/3)-1))))</f>
        <v>-2.744573112888112E-9</v>
      </c>
      <c r="AR5" s="72">
        <f>(SQRT((2000*$B$19*$B$17*$K5*$B$18*$F5)/($B$5+10^-$P5))*((($AD5*10^($P5-$N5))*($U5^(1/3)-1))))</f>
        <v>-1.4104722061697768E-16</v>
      </c>
      <c r="AS5" s="72">
        <f>SUM(AO5:AR5)</f>
        <v>1.6548280809774992E-10</v>
      </c>
      <c r="AT5" s="77"/>
      <c r="AU5" s="71">
        <v>-9.5000076187177616</v>
      </c>
      <c r="AV5" s="71">
        <v>0.89788522599753884</v>
      </c>
    </row>
    <row r="6" spans="1:48" x14ac:dyDescent="0.35">
      <c r="A6" t="s">
        <v>34</v>
      </c>
      <c r="B6" s="30">
        <f>Control!B6</f>
        <v>5.2000000000000002E-8</v>
      </c>
      <c r="C6" s="2" t="s">
        <v>39</v>
      </c>
      <c r="E6" s="71">
        <v>5</v>
      </c>
      <c r="F6" s="71">
        <f t="shared" ref="F6:F35" si="15">E6+273.15</f>
        <v>278.14999999999998</v>
      </c>
      <c r="G6" s="71">
        <f t="shared" ref="G6:G35" si="16">(((((-0.00000000028054253*E6+0.00000010556302)*E6-0.000046170461)*E6-0.0079870401)*E6+16.945176)*E6+999.83952)/(1+0.01687985*E6)</f>
        <v>999.96382124947729</v>
      </c>
      <c r="H6" s="83">
        <f t="shared" ref="H6:H35" si="17">(($B$5*58.44)+(($G6/1000)*(1000-($B$5*58.44/2.16))))/1000</f>
        <v>1.0313492445301164</v>
      </c>
      <c r="I6" s="83">
        <f t="shared" ref="I6:I35" si="18">H6*1000</f>
        <v>1031.3492445301165</v>
      </c>
      <c r="J6" s="72">
        <f t="shared" si="0"/>
        <v>1.0278451002723976</v>
      </c>
      <c r="K6" s="82">
        <f t="shared" si="1"/>
        <v>73.727832233591258</v>
      </c>
      <c r="L6" s="72">
        <f t="shared" ref="L6:L35" si="19">(0.0495166+0.6034658*EXP(-0.06653081*$E6)+0.09703832*EXP(0.1447269*$J6)+1.025107*EXP(-0.02062455*$E6+0.1301095*$J6))*0.001</f>
        <v>1.6517852908570782E-3</v>
      </c>
      <c r="M6" s="72">
        <f t="shared" si="2"/>
        <v>4.5945201812191101</v>
      </c>
      <c r="N6" s="83">
        <f t="shared" ref="N6:N35" si="20">-LOG10(6.997844909E-16 + 5.017799566E-16*$E6 - 2.443366453E-17*$E6^2 + 7.194759186E-19*$E6^3)</f>
        <v>14.570606742437821</v>
      </c>
      <c r="O6" s="71">
        <f t="shared" ref="O6:O35" si="21">10^(-1*$N6)</f>
        <v>2.6877771504749887E-15</v>
      </c>
      <c r="P6" s="83">
        <f t="shared" ref="P6:P35" si="22">IF($B$31="on",$P$41+($P$41-$N6/2)*LN(P$40/$P$42)*$P$43,7)</f>
        <v>7.5</v>
      </c>
      <c r="Q6" s="72">
        <f t="shared" ref="Q6:Q35" si="23">10^(-1*P6)</f>
        <v>3.1622776601683699E-8</v>
      </c>
      <c r="R6" s="72">
        <f t="shared" si="3"/>
        <v>1.0000000316227766</v>
      </c>
      <c r="S6" s="71">
        <f t="shared" si="4"/>
        <v>2.8475794305917838E-10</v>
      </c>
      <c r="T6" s="77"/>
      <c r="U6" s="72">
        <f t="shared" si="5"/>
        <v>0.1087117884010152</v>
      </c>
      <c r="V6" s="72">
        <f t="shared" si="6"/>
        <v>-3.5472111976006686E-2</v>
      </c>
      <c r="W6" s="84">
        <f t="shared" si="7"/>
        <v>-9.5000008398639663E-3</v>
      </c>
      <c r="X6" s="85">
        <f t="shared" ref="X6:X35" si="24">W6*1000</f>
        <v>-9.5000008398639668</v>
      </c>
      <c r="Y6" s="77"/>
      <c r="Z6" s="72">
        <f t="shared" si="8"/>
        <v>3.7364951196268669E-9</v>
      </c>
      <c r="AA6" s="72">
        <f t="shared" si="9"/>
        <v>7.0943549970171972E-8</v>
      </c>
      <c r="AB6" s="72">
        <f t="shared" si="10"/>
        <v>3.8194354997017195E-7</v>
      </c>
      <c r="AC6" s="72">
        <f t="shared" si="11"/>
        <v>9.7943549970171975E-8</v>
      </c>
      <c r="AD6" s="72">
        <f t="shared" si="12"/>
        <v>2.2394354997017197E-7</v>
      </c>
      <c r="AE6" s="72">
        <f t="shared" si="13"/>
        <v>1.4562056196905418E-9</v>
      </c>
      <c r="AF6" s="72">
        <f t="shared" ref="AF6:AF35" si="25">$B$30</f>
        <v>2.4E-9</v>
      </c>
      <c r="AG6" s="72">
        <f t="shared" ref="AG6:AG35" si="26">$Z6+$AE6+$AF6</f>
        <v>7.5927007393174094E-9</v>
      </c>
      <c r="AH6" s="84">
        <f t="shared" si="14"/>
        <v>8.1626644767828768E-10</v>
      </c>
      <c r="AI6" s="84">
        <f t="shared" ref="AI6:AI35" si="27">AH6*1000000*1000</f>
        <v>0.8162664476782876</v>
      </c>
      <c r="AJ6" s="77"/>
      <c r="AK6" s="72">
        <f t="shared" ref="AK6:AK35" si="28">$B$20^2/(4*PI()*$K6*$B$17*$B$18*$F6)</f>
        <v>8.1483125860517093E-10</v>
      </c>
      <c r="AL6" s="84">
        <f t="shared" ref="AL6:AL35" si="29">$B$29</f>
        <v>5.0000000000000001E-9</v>
      </c>
      <c r="AM6" s="84">
        <f t="shared" ref="AM6:AM35" si="30">2*S6</f>
        <v>5.6951588611835675E-10</v>
      </c>
      <c r="AN6" s="81"/>
      <c r="AO6" s="72">
        <f t="shared" ref="AO6:AO35" si="31">(SQRT((2000*$B$19*$B$17*$K6*$B$18*$F6)/($B$5+10^-$B$13))*((($AA6*$B$5)*($U6^(-1/3)-1))))</f>
        <v>3.0187724359988815E-9</v>
      </c>
      <c r="AP6" s="72">
        <f t="shared" ref="AP6:AP35" si="32">(SQRT((2000*$B$19*$B$17*$K6*$B$18*$F6)/($B$5+10^-$P6))*((($AB6*10^(-1*$P6))*($U6^(-1/3)-1))))</f>
        <v>7.268279683988853E-16</v>
      </c>
      <c r="AQ6" s="72">
        <f t="shared" ref="AQ6:AQ35" si="33">(SQRT((2000*$B$19*$B$17*$K6*$B$18*$F6)/($B$5+10^-$P6))*((($AC6*$B$5)*($U6^(1/3)-1))))</f>
        <v>-2.812983413675946E-9</v>
      </c>
      <c r="AR6" s="72">
        <f t="shared" ref="AR6:AR35" si="34">(SQRT((2000*$B$19*$B$17*$K6*$B$18*$F6)/($B$5+10^-$P6))*((($AD6*10^($P6-$N6))*($U6^(1/3)-1))))</f>
        <v>-5.4666736282195075E-16</v>
      </c>
      <c r="AS6" s="72">
        <f t="shared" ref="AS6:AS35" si="35">SUM(AO6:AR6)</f>
        <v>2.0578920248354113E-10</v>
      </c>
      <c r="AT6" s="77"/>
      <c r="AU6" s="71">
        <v>-9.5000076776639677</v>
      </c>
      <c r="AV6" s="71">
        <v>0.81626922776737187</v>
      </c>
    </row>
    <row r="7" spans="1:48" x14ac:dyDescent="0.35">
      <c r="A7" t="s">
        <v>35</v>
      </c>
      <c r="B7" s="30">
        <f>Control!B7</f>
        <v>3.6300000000000001E-7</v>
      </c>
      <c r="C7" s="2" t="s">
        <v>39</v>
      </c>
      <c r="E7" s="71">
        <v>10</v>
      </c>
      <c r="F7" s="71">
        <f t="shared" si="15"/>
        <v>283.14999999999998</v>
      </c>
      <c r="G7" s="71">
        <f t="shared" si="16"/>
        <v>999.69963437234651</v>
      </c>
      <c r="H7" s="83">
        <f t="shared" si="17"/>
        <v>1.031092205375717</v>
      </c>
      <c r="I7" s="83">
        <f t="shared" si="18"/>
        <v>1031.092205375717</v>
      </c>
      <c r="J7" s="72">
        <f t="shared" si="0"/>
        <v>1.0281167250463583</v>
      </c>
      <c r="K7" s="82">
        <f t="shared" si="1"/>
        <v>71.797231635216221</v>
      </c>
      <c r="L7" s="72">
        <f t="shared" si="19"/>
        <v>1.4258124061192669E-3</v>
      </c>
      <c r="M7" s="72">
        <f t="shared" si="2"/>
        <v>5.5255271828665578</v>
      </c>
      <c r="N7" s="83">
        <f t="shared" si="20"/>
        <v>14.398625266103792</v>
      </c>
      <c r="O7" s="71">
        <f t="shared" si="21"/>
        <v>3.9936935224999789E-15</v>
      </c>
      <c r="P7" s="83">
        <f t="shared" si="22"/>
        <v>7.5</v>
      </c>
      <c r="Q7" s="72">
        <f t="shared" si="23"/>
        <v>3.1622776601683699E-8</v>
      </c>
      <c r="R7" s="72">
        <f t="shared" si="3"/>
        <v>1.0000000316227766</v>
      </c>
      <c r="S7" s="71">
        <f t="shared" si="4"/>
        <v>2.8351935688254442E-10</v>
      </c>
      <c r="T7" s="77"/>
      <c r="U7" s="72">
        <f t="shared" si="5"/>
        <v>0.10823893892028917</v>
      </c>
      <c r="V7" s="72">
        <f t="shared" si="6"/>
        <v>-3.6180688652909583E-2</v>
      </c>
      <c r="W7" s="84">
        <f t="shared" si="7"/>
        <v>-9.5000007933870347E-3</v>
      </c>
      <c r="X7" s="85">
        <f t="shared" si="24"/>
        <v>-9.5000007933870343</v>
      </c>
      <c r="Y7" s="77"/>
      <c r="Z7" s="72">
        <f t="shared" si="8"/>
        <v>3.7372221774066488E-9</v>
      </c>
      <c r="AA7" s="72">
        <f t="shared" si="9"/>
        <v>7.3755361737375308E-8</v>
      </c>
      <c r="AB7" s="72">
        <f t="shared" si="10"/>
        <v>3.8475536173737529E-7</v>
      </c>
      <c r="AC7" s="72">
        <f t="shared" si="11"/>
        <v>1.0075536173737531E-7</v>
      </c>
      <c r="AD7" s="72">
        <f t="shared" si="12"/>
        <v>2.267553617373753E-7</v>
      </c>
      <c r="AE7" s="72">
        <f t="shared" si="13"/>
        <v>1.5464103164571811E-9</v>
      </c>
      <c r="AF7" s="72">
        <f t="shared" si="25"/>
        <v>2.4E-9</v>
      </c>
      <c r="AG7" s="72">
        <f t="shared" si="26"/>
        <v>7.6836324938638301E-9</v>
      </c>
      <c r="AH7" s="84">
        <f t="shared" si="14"/>
        <v>7.6579364500557851E-10</v>
      </c>
      <c r="AI7" s="84">
        <f t="shared" si="27"/>
        <v>0.76579364500557856</v>
      </c>
      <c r="AJ7" s="77"/>
      <c r="AK7" s="72">
        <f t="shared" si="28"/>
        <v>8.2196617334777282E-10</v>
      </c>
      <c r="AL7" s="84">
        <f t="shared" si="29"/>
        <v>5.0000000000000001E-9</v>
      </c>
      <c r="AM7" s="84">
        <f t="shared" si="30"/>
        <v>5.6703871376508883E-10</v>
      </c>
      <c r="AN7" s="81"/>
      <c r="AO7" s="72">
        <f t="shared" si="31"/>
        <v>3.1334611073333507E-9</v>
      </c>
      <c r="AP7" s="72">
        <f t="shared" si="32"/>
        <v>7.3102189164547673E-16</v>
      </c>
      <c r="AQ7" s="72">
        <f t="shared" si="33"/>
        <v>-2.8849727196729551E-9</v>
      </c>
      <c r="AR7" s="72">
        <f t="shared" si="34"/>
        <v>-8.1998487761729324E-16</v>
      </c>
      <c r="AS7" s="72">
        <f t="shared" si="35"/>
        <v>2.4848829869740965E-10</v>
      </c>
      <c r="AT7" s="77"/>
      <c r="AU7" s="71">
        <v>-9.500007715795153</v>
      </c>
      <c r="AV7" s="71">
        <v>0.76579641031967549</v>
      </c>
    </row>
    <row r="8" spans="1:48" x14ac:dyDescent="0.35">
      <c r="A8" t="s">
        <v>36</v>
      </c>
      <c r="B8" s="30">
        <f>Control!B8</f>
        <v>7.9000000000000006E-8</v>
      </c>
      <c r="C8" s="2" t="s">
        <v>39</v>
      </c>
      <c r="E8" s="71">
        <v>15</v>
      </c>
      <c r="F8" s="71">
        <f t="shared" si="15"/>
        <v>288.14999999999998</v>
      </c>
      <c r="G8" s="71">
        <f t="shared" si="16"/>
        <v>999.09960879081439</v>
      </c>
      <c r="H8" s="83">
        <f t="shared" si="17"/>
        <v>1.0305084138196408</v>
      </c>
      <c r="I8" s="83">
        <f t="shared" si="18"/>
        <v>1030.5084138196407</v>
      </c>
      <c r="J8" s="72">
        <f t="shared" si="0"/>
        <v>1.0287341773307961</v>
      </c>
      <c r="K8" s="82">
        <f t="shared" si="1"/>
        <v>69.911444811841292</v>
      </c>
      <c r="L8" s="72">
        <f t="shared" si="19"/>
        <v>1.2446747623203408E-3</v>
      </c>
      <c r="M8" s="72">
        <f t="shared" si="2"/>
        <v>6.4490341845140042</v>
      </c>
      <c r="N8" s="83">
        <f t="shared" si="20"/>
        <v>14.287591032741444</v>
      </c>
      <c r="O8" s="71">
        <f t="shared" si="21"/>
        <v>5.1571405459249914E-15</v>
      </c>
      <c r="P8" s="83">
        <f t="shared" si="22"/>
        <v>7.5</v>
      </c>
      <c r="Q8" s="72">
        <f t="shared" si="23"/>
        <v>3.1622776601683699E-8</v>
      </c>
      <c r="R8" s="72">
        <f t="shared" si="3"/>
        <v>1.0000000316227766</v>
      </c>
      <c r="S8" s="71">
        <f t="shared" si="4"/>
        <v>2.8223055728297078E-10</v>
      </c>
      <c r="T8" s="77"/>
      <c r="U8" s="72">
        <f t="shared" si="5"/>
        <v>0.10774691897937246</v>
      </c>
      <c r="V8" s="72">
        <f t="shared" si="6"/>
        <v>-3.6895032612293613E-2</v>
      </c>
      <c r="W8" s="84">
        <f t="shared" si="7"/>
        <v>-9.5000007464514265E-3</v>
      </c>
      <c r="X8" s="85">
        <f t="shared" si="24"/>
        <v>-9.5000007464514269</v>
      </c>
      <c r="Y8" s="77"/>
      <c r="Z8" s="72">
        <f t="shared" si="8"/>
        <v>3.7379801378881795E-9</v>
      </c>
      <c r="AA8" s="72">
        <f t="shared" si="9"/>
        <v>7.669536508421727E-8</v>
      </c>
      <c r="AB8" s="72">
        <f t="shared" si="10"/>
        <v>3.8769536508421729E-7</v>
      </c>
      <c r="AC8" s="72">
        <f t="shared" si="11"/>
        <v>1.0369536508421727E-7</v>
      </c>
      <c r="AD8" s="72">
        <f t="shared" si="12"/>
        <v>2.2969536508421728E-7</v>
      </c>
      <c r="AE8" s="72">
        <f t="shared" si="13"/>
        <v>1.6406549727543095E-9</v>
      </c>
      <c r="AF8" s="72">
        <f t="shared" si="25"/>
        <v>2.4E-9</v>
      </c>
      <c r="AG8" s="72">
        <f t="shared" si="26"/>
        <v>7.7786351106424901E-9</v>
      </c>
      <c r="AH8" s="84">
        <f t="shared" si="14"/>
        <v>7.3193134016882772E-10</v>
      </c>
      <c r="AI8" s="84">
        <f t="shared" si="27"/>
        <v>0.73193134016882766</v>
      </c>
      <c r="AJ8" s="77"/>
      <c r="AK8" s="72">
        <f t="shared" si="28"/>
        <v>8.294902942915114E-10</v>
      </c>
      <c r="AL8" s="84">
        <f t="shared" si="29"/>
        <v>5.0000000000000001E-9</v>
      </c>
      <c r="AM8" s="84">
        <f t="shared" si="30"/>
        <v>5.6446111456594156E-10</v>
      </c>
      <c r="AN8" s="81"/>
      <c r="AO8" s="72">
        <f t="shared" si="31"/>
        <v>3.2529721533465764E-9</v>
      </c>
      <c r="AP8" s="72">
        <f t="shared" si="32"/>
        <v>7.3538848707434957E-16</v>
      </c>
      <c r="AQ8" s="72">
        <f t="shared" si="33"/>
        <v>-2.9597419579882434E-9</v>
      </c>
      <c r="AR8" s="72">
        <f t="shared" si="34"/>
        <v>-1.0691920067832106E-15</v>
      </c>
      <c r="AS8" s="72">
        <f t="shared" si="35"/>
        <v>2.9322986155481327E-10</v>
      </c>
      <c r="AT8" s="77"/>
      <c r="AU8" s="71">
        <v>-9.5000077320155594</v>
      </c>
      <c r="AV8" s="71">
        <v>0.73193412481885534</v>
      </c>
    </row>
    <row r="9" spans="1:48" x14ac:dyDescent="0.35">
      <c r="A9" t="s">
        <v>37</v>
      </c>
      <c r="B9" s="30">
        <f>Control!B9</f>
        <v>2.05E-7</v>
      </c>
      <c r="C9" s="2" t="s">
        <v>39</v>
      </c>
      <c r="E9" s="71">
        <v>20</v>
      </c>
      <c r="F9" s="71">
        <f t="shared" si="15"/>
        <v>293.14999999999998</v>
      </c>
      <c r="G9" s="71">
        <f t="shared" si="16"/>
        <v>998.20413220058367</v>
      </c>
      <c r="H9" s="83">
        <f t="shared" si="17"/>
        <v>1.0296371648460456</v>
      </c>
      <c r="I9" s="83">
        <f t="shared" si="18"/>
        <v>1029.6371648460456</v>
      </c>
      <c r="J9" s="72">
        <f t="shared" si="0"/>
        <v>1.0296570420471935</v>
      </c>
      <c r="K9" s="82">
        <f t="shared" si="1"/>
        <v>68.069414263466271</v>
      </c>
      <c r="L9" s="72">
        <f t="shared" si="19"/>
        <v>1.0975576651163297E-3</v>
      </c>
      <c r="M9" s="72">
        <f t="shared" si="2"/>
        <v>7.3650411861614486</v>
      </c>
      <c r="N9" s="83">
        <f t="shared" si="20"/>
        <v>14.172777768292415</v>
      </c>
      <c r="O9" s="71">
        <f t="shared" si="21"/>
        <v>6.7177251596999975E-15</v>
      </c>
      <c r="P9" s="83">
        <f t="shared" si="22"/>
        <v>7.5</v>
      </c>
      <c r="Q9" s="72">
        <f t="shared" si="23"/>
        <v>3.1622776601683699E-8</v>
      </c>
      <c r="R9" s="72">
        <f t="shared" si="3"/>
        <v>1.0000000316227766</v>
      </c>
      <c r="S9" s="71">
        <f t="shared" si="4"/>
        <v>2.8089340238319099E-10</v>
      </c>
      <c r="T9" s="77"/>
      <c r="U9" s="72">
        <f t="shared" si="5"/>
        <v>0.10723643978662048</v>
      </c>
      <c r="V9" s="72">
        <f t="shared" si="6"/>
        <v>-3.7615246007265721E-2</v>
      </c>
      <c r="W9" s="84">
        <f t="shared" si="7"/>
        <v>-9.5000006994738432E-3</v>
      </c>
      <c r="X9" s="85">
        <f t="shared" si="24"/>
        <v>-9.5000006994738424</v>
      </c>
      <c r="Y9" s="77"/>
      <c r="Z9" s="72">
        <f t="shared" si="8"/>
        <v>3.7387680812797407E-9</v>
      </c>
      <c r="AA9" s="72">
        <f t="shared" si="9"/>
        <v>7.974080107569926E-8</v>
      </c>
      <c r="AB9" s="72">
        <f t="shared" si="10"/>
        <v>3.9074080107569924E-7</v>
      </c>
      <c r="AC9" s="72">
        <f t="shared" si="11"/>
        <v>1.0674080107569926E-7</v>
      </c>
      <c r="AD9" s="72">
        <f t="shared" si="12"/>
        <v>2.3274080107569925E-7</v>
      </c>
      <c r="AE9" s="72">
        <f t="shared" si="13"/>
        <v>1.7382107868186372E-9</v>
      </c>
      <c r="AF9" s="72">
        <f t="shared" si="25"/>
        <v>2.4E-9</v>
      </c>
      <c r="AG9" s="72">
        <f t="shared" si="26"/>
        <v>7.8769788680983783E-9</v>
      </c>
      <c r="AH9" s="84">
        <f t="shared" si="14"/>
        <v>7.0769523508358765E-10</v>
      </c>
      <c r="AI9" s="84">
        <f t="shared" si="27"/>
        <v>0.70769523508358767</v>
      </c>
      <c r="AJ9" s="77"/>
      <c r="AK9" s="72">
        <f t="shared" si="28"/>
        <v>8.3740644324744519E-10</v>
      </c>
      <c r="AL9" s="84">
        <f t="shared" si="29"/>
        <v>5.0000000000000001E-9</v>
      </c>
      <c r="AM9" s="84">
        <f t="shared" si="30"/>
        <v>5.6178680476638198E-10</v>
      </c>
      <c r="AN9" s="81"/>
      <c r="AO9" s="72">
        <f t="shared" si="31"/>
        <v>3.3762920837314981E-9</v>
      </c>
      <c r="AP9" s="72">
        <f t="shared" si="32"/>
        <v>7.39883205959048E-16</v>
      </c>
      <c r="AQ9" s="72">
        <f t="shared" si="33"/>
        <v>-3.0365865263812782E-9</v>
      </c>
      <c r="AR9" s="72">
        <f t="shared" si="34"/>
        <v>-1.4065331080940336E-15</v>
      </c>
      <c r="AS9" s="72">
        <f t="shared" si="35"/>
        <v>3.3970489070031762E-10</v>
      </c>
      <c r="AT9" s="77"/>
      <c r="AU9" s="71">
        <v>-9.5000077255062507</v>
      </c>
      <c r="AV9" s="71">
        <v>0.70769805931852015</v>
      </c>
    </row>
    <row r="10" spans="1:48" x14ac:dyDescent="0.35">
      <c r="B10" s="4"/>
      <c r="E10" s="71">
        <v>25</v>
      </c>
      <c r="F10" s="71">
        <f t="shared" si="15"/>
        <v>298.14999999999998</v>
      </c>
      <c r="G10" s="71">
        <f t="shared" si="16"/>
        <v>997.04489541791554</v>
      </c>
      <c r="H10" s="83">
        <f t="shared" si="17"/>
        <v>1.028509291858553</v>
      </c>
      <c r="I10" s="83">
        <f t="shared" si="18"/>
        <v>1028.5092918585531</v>
      </c>
      <c r="J10" s="72">
        <f t="shared" si="0"/>
        <v>1.0308541960792337</v>
      </c>
      <c r="K10" s="82">
        <f t="shared" si="1"/>
        <v>66.270082490091269</v>
      </c>
      <c r="L10" s="72">
        <f t="shared" si="19"/>
        <v>9.7652325059235381E-4</v>
      </c>
      <c r="M10" s="72">
        <f t="shared" si="2"/>
        <v>8.2735481878088954</v>
      </c>
      <c r="N10" s="83">
        <f t="shared" si="20"/>
        <v>14.035502101212563</v>
      </c>
      <c r="O10" s="71">
        <f t="shared" si="21"/>
        <v>9.215054302775012E-15</v>
      </c>
      <c r="P10" s="83">
        <f t="shared" si="22"/>
        <v>7.5</v>
      </c>
      <c r="Q10" s="72">
        <f t="shared" si="23"/>
        <v>3.1622776601683699E-8</v>
      </c>
      <c r="R10" s="72">
        <f t="shared" si="3"/>
        <v>1.0000000316227766</v>
      </c>
      <c r="S10" s="71">
        <f t="shared" si="4"/>
        <v>2.7950961051310775E-10</v>
      </c>
      <c r="T10" s="77"/>
      <c r="U10" s="72">
        <f t="shared" si="5"/>
        <v>0.10670815914633423</v>
      </c>
      <c r="V10" s="72">
        <f t="shared" si="6"/>
        <v>-3.8341435164852694E-2</v>
      </c>
      <c r="W10" s="84">
        <f t="shared" si="7"/>
        <v>-9.5000006528350132E-3</v>
      </c>
      <c r="X10" s="85">
        <f t="shared" si="24"/>
        <v>-9.5000006528350127</v>
      </c>
      <c r="Y10" s="77"/>
      <c r="Z10" s="72">
        <f t="shared" si="8"/>
        <v>3.7395851701494199E-9</v>
      </c>
      <c r="AA10" s="72">
        <f t="shared" si="9"/>
        <v>8.2872668521685597E-8</v>
      </c>
      <c r="AB10" s="72">
        <f t="shared" si="10"/>
        <v>3.9387266852168559E-7</v>
      </c>
      <c r="AC10" s="72">
        <f t="shared" si="11"/>
        <v>1.0987266852168559E-7</v>
      </c>
      <c r="AD10" s="72">
        <f t="shared" si="12"/>
        <v>2.3587266852168558E-7</v>
      </c>
      <c r="AE10" s="72">
        <f t="shared" si="13"/>
        <v>1.8384673267966956E-9</v>
      </c>
      <c r="AF10" s="72">
        <f t="shared" si="25"/>
        <v>2.4E-9</v>
      </c>
      <c r="AG10" s="72">
        <f t="shared" si="26"/>
        <v>7.9780524969461159E-9</v>
      </c>
      <c r="AH10" s="84">
        <f t="shared" si="14"/>
        <v>6.8937984631178033E-10</v>
      </c>
      <c r="AI10" s="84">
        <f t="shared" si="27"/>
        <v>0.6893798463117804</v>
      </c>
      <c r="AJ10" s="77"/>
      <c r="AK10" s="72">
        <f t="shared" si="28"/>
        <v>8.4571860611896996E-10</v>
      </c>
      <c r="AL10" s="84">
        <f t="shared" si="29"/>
        <v>5.0000000000000001E-9</v>
      </c>
      <c r="AM10" s="84">
        <f t="shared" si="30"/>
        <v>5.5901922102621551E-10</v>
      </c>
      <c r="AN10" s="81"/>
      <c r="AO10" s="72">
        <f t="shared" si="31"/>
        <v>3.5025708772721275E-9</v>
      </c>
      <c r="AP10" s="72">
        <f t="shared" si="32"/>
        <v>7.4446870346879927E-16</v>
      </c>
      <c r="AQ10" s="72">
        <f t="shared" si="33"/>
        <v>-3.1149146285217026E-9</v>
      </c>
      <c r="AR10" s="72">
        <f t="shared" si="34"/>
        <v>-1.948641713368325E-15</v>
      </c>
      <c r="AS10" s="72">
        <f t="shared" si="35"/>
        <v>3.8765504457741497E-10</v>
      </c>
      <c r="AT10" s="77"/>
      <c r="AU10" s="71">
        <v>-9.5000076957305506</v>
      </c>
      <c r="AV10" s="71">
        <v>0.68938272598596351</v>
      </c>
    </row>
    <row r="11" spans="1:48" x14ac:dyDescent="0.35">
      <c r="B11" s="4"/>
      <c r="E11" s="71">
        <v>30</v>
      </c>
      <c r="F11" s="71">
        <f t="shared" si="15"/>
        <v>303.14999999999998</v>
      </c>
      <c r="G11" s="71">
        <f t="shared" si="16"/>
        <v>995.64725885447808</v>
      </c>
      <c r="H11" s="83">
        <f t="shared" si="17"/>
        <v>1.0271494691288041</v>
      </c>
      <c r="I11" s="83">
        <f t="shared" si="18"/>
        <v>1027.1494691288042</v>
      </c>
      <c r="J11" s="72">
        <f t="shared" si="0"/>
        <v>1.0323012542649517</v>
      </c>
      <c r="K11" s="82">
        <f t="shared" si="1"/>
        <v>64.512391991716257</v>
      </c>
      <c r="L11" s="72">
        <f t="shared" si="19"/>
        <v>8.7571434086571617E-4</v>
      </c>
      <c r="M11" s="72">
        <f t="shared" si="2"/>
        <v>9.1745551894563437</v>
      </c>
      <c r="N11" s="83">
        <f t="shared" si="20"/>
        <v>13.879796860721664</v>
      </c>
      <c r="O11" s="71">
        <f t="shared" si="21"/>
        <v>1.3188734914099951E-14</v>
      </c>
      <c r="P11" s="83">
        <f t="shared" si="22"/>
        <v>7.5</v>
      </c>
      <c r="Q11" s="72">
        <f t="shared" si="23"/>
        <v>3.1622776601683699E-8</v>
      </c>
      <c r="R11" s="72">
        <f t="shared" si="3"/>
        <v>1.0000000316227766</v>
      </c>
      <c r="S11" s="71">
        <f t="shared" si="4"/>
        <v>2.780807597880373E-10</v>
      </c>
      <c r="T11" s="77"/>
      <c r="U11" s="72">
        <f t="shared" si="5"/>
        <v>0.10616268129477335</v>
      </c>
      <c r="V11" s="72">
        <f t="shared" si="6"/>
        <v>-3.9073711417988502E-2</v>
      </c>
      <c r="W11" s="84">
        <f t="shared" si="7"/>
        <v>-9.5000006068778758E-3</v>
      </c>
      <c r="X11" s="85">
        <f t="shared" si="24"/>
        <v>-9.500000606877876</v>
      </c>
      <c r="Y11" s="77"/>
      <c r="Z11" s="72">
        <f t="shared" si="8"/>
        <v>3.7404306498798246E-9</v>
      </c>
      <c r="AA11" s="72">
        <f t="shared" si="9"/>
        <v>8.6075535448500468E-8</v>
      </c>
      <c r="AB11" s="72">
        <f t="shared" si="10"/>
        <v>3.9707553544850046E-7</v>
      </c>
      <c r="AC11" s="72">
        <f t="shared" si="11"/>
        <v>1.1307553544850046E-7</v>
      </c>
      <c r="AD11" s="72">
        <f t="shared" si="12"/>
        <v>2.3907553544850045E-7</v>
      </c>
      <c r="AE11" s="72">
        <f t="shared" si="13"/>
        <v>1.9409265117449547E-9</v>
      </c>
      <c r="AF11" s="72">
        <f t="shared" si="25"/>
        <v>2.4E-9</v>
      </c>
      <c r="AG11" s="72">
        <f t="shared" si="26"/>
        <v>8.0813571616247797E-9</v>
      </c>
      <c r="AH11" s="84">
        <f t="shared" si="14"/>
        <v>6.7487912454725425E-10</v>
      </c>
      <c r="AI11" s="84">
        <f t="shared" si="27"/>
        <v>0.67487912454725418</v>
      </c>
      <c r="AJ11" s="77"/>
      <c r="AK11" s="72">
        <f t="shared" si="28"/>
        <v>8.5443197553398388E-10</v>
      </c>
      <c r="AL11" s="84">
        <f t="shared" si="29"/>
        <v>5.0000000000000001E-9</v>
      </c>
      <c r="AM11" s="84">
        <f t="shared" si="30"/>
        <v>5.5616151957607461E-10</v>
      </c>
      <c r="AN11" s="81"/>
      <c r="AO11" s="72">
        <f t="shared" si="31"/>
        <v>3.6311131470512071E-9</v>
      </c>
      <c r="AP11" s="72">
        <f t="shared" si="32"/>
        <v>7.4911444251113788E-16</v>
      </c>
      <c r="AQ11" s="72">
        <f t="shared" si="33"/>
        <v>-3.1942407985679185E-9</v>
      </c>
      <c r="AR11" s="72">
        <f t="shared" si="34"/>
        <v>-2.8166784812149339E-15</v>
      </c>
      <c r="AS11" s="72">
        <f t="shared" si="35"/>
        <v>4.3687028091924992E-10</v>
      </c>
      <c r="AT11" s="77"/>
      <c r="AU11" s="71">
        <v>-9.5000076424337188</v>
      </c>
      <c r="AV11" s="71">
        <v>0.67488206436206588</v>
      </c>
    </row>
    <row r="12" spans="1:48" x14ac:dyDescent="0.35">
      <c r="B12" s="4"/>
      <c r="E12" s="71">
        <v>35</v>
      </c>
      <c r="F12" s="71">
        <f t="shared" si="15"/>
        <v>308.14999999999998</v>
      </c>
      <c r="G12" s="71">
        <f t="shared" si="16"/>
        <v>994.03186567551825</v>
      </c>
      <c r="H12" s="83">
        <f t="shared" si="17"/>
        <v>1.0255777813097418</v>
      </c>
      <c r="I12" s="83">
        <f t="shared" si="18"/>
        <v>1025.5777813097418</v>
      </c>
      <c r="J12" s="72">
        <f t="shared" si="0"/>
        <v>1.0339788387190858</v>
      </c>
      <c r="K12" s="82">
        <f t="shared" si="1"/>
        <v>62.795285268341253</v>
      </c>
      <c r="L12" s="72">
        <f t="shared" si="19"/>
        <v>7.907818786533229E-4</v>
      </c>
      <c r="M12" s="72">
        <f t="shared" si="2"/>
        <v>10.06806219110379</v>
      </c>
      <c r="N12" s="83">
        <f t="shared" si="20"/>
        <v>13.717188217917446</v>
      </c>
      <c r="O12" s="71">
        <f t="shared" si="21"/>
        <v>1.9178373932624932E-14</v>
      </c>
      <c r="P12" s="83">
        <f t="shared" si="22"/>
        <v>7.5</v>
      </c>
      <c r="Q12" s="72">
        <f t="shared" si="23"/>
        <v>3.1622776601683699E-8</v>
      </c>
      <c r="R12" s="72">
        <f t="shared" si="3"/>
        <v>1.0000000316227766</v>
      </c>
      <c r="S12" s="71">
        <f t="shared" si="4"/>
        <v>2.7660828722117402E-10</v>
      </c>
      <c r="T12" s="77"/>
      <c r="U12" s="72">
        <f t="shared" si="5"/>
        <v>0.10560055655853973</v>
      </c>
      <c r="V12" s="72">
        <f t="shared" si="6"/>
        <v>-3.9812192006565772E-2</v>
      </c>
      <c r="W12" s="84">
        <f t="shared" si="7"/>
        <v>-9.5000005619065957E-3</v>
      </c>
      <c r="X12" s="85">
        <f t="shared" si="24"/>
        <v>-9.5000005619065959</v>
      </c>
      <c r="Y12" s="77"/>
      <c r="Z12" s="72">
        <f t="shared" si="8"/>
        <v>3.7413038495141483E-9</v>
      </c>
      <c r="AA12" s="72">
        <f t="shared" si="9"/>
        <v>8.9336786327318749E-8</v>
      </c>
      <c r="AB12" s="72">
        <f t="shared" si="10"/>
        <v>4.0033678632731877E-7</v>
      </c>
      <c r="AC12" s="72">
        <f t="shared" si="11"/>
        <v>1.1633678632731874E-7</v>
      </c>
      <c r="AD12" s="72">
        <f t="shared" si="12"/>
        <v>2.4233678632731876E-7</v>
      </c>
      <c r="AE12" s="72">
        <f t="shared" si="13"/>
        <v>2.0451788571165068E-9</v>
      </c>
      <c r="AF12" s="72">
        <f t="shared" si="25"/>
        <v>2.4E-9</v>
      </c>
      <c r="AG12" s="72">
        <f t="shared" si="26"/>
        <v>8.1864827066306546E-9</v>
      </c>
      <c r="AH12" s="84">
        <f t="shared" si="14"/>
        <v>6.6292879798203979E-10</v>
      </c>
      <c r="AI12" s="84">
        <f t="shared" si="27"/>
        <v>0.66292879798203974</v>
      </c>
      <c r="AJ12" s="77"/>
      <c r="AK12" s="72">
        <f t="shared" si="28"/>
        <v>8.6355300629334014E-10</v>
      </c>
      <c r="AL12" s="84">
        <f t="shared" si="29"/>
        <v>5.0000000000000001E-9</v>
      </c>
      <c r="AM12" s="84">
        <f t="shared" si="30"/>
        <v>5.5321657444234804E-10</v>
      </c>
      <c r="AN12" s="81"/>
      <c r="AO12" s="72">
        <f t="shared" si="31"/>
        <v>3.7613454419624E-9</v>
      </c>
      <c r="AP12" s="72">
        <f t="shared" si="32"/>
        <v>7.5379522958423659E-16</v>
      </c>
      <c r="AQ12" s="72">
        <f t="shared" si="33"/>
        <v>-3.2741634130432197E-9</v>
      </c>
      <c r="AR12" s="72">
        <f t="shared" si="34"/>
        <v>-4.1363227141304477E-15</v>
      </c>
      <c r="AS12" s="72">
        <f t="shared" si="35"/>
        <v>4.8717864639169595E-10</v>
      </c>
      <c r="AT12" s="77"/>
      <c r="AU12" s="71">
        <v>-9.5000075656374481</v>
      </c>
      <c r="AV12" s="71">
        <v>0.66293177905239487</v>
      </c>
    </row>
    <row r="13" spans="1:48" x14ac:dyDescent="0.35">
      <c r="B13" s="2"/>
      <c r="E13" s="71">
        <v>40</v>
      </c>
      <c r="F13" s="71">
        <f t="shared" si="15"/>
        <v>313.14999999999998</v>
      </c>
      <c r="G13" s="71">
        <f t="shared" si="16"/>
        <v>992.21576731538448</v>
      </c>
      <c r="H13" s="83">
        <f t="shared" si="17"/>
        <v>1.023810818499685</v>
      </c>
      <c r="I13" s="83">
        <f t="shared" si="18"/>
        <v>1023.8108184996851</v>
      </c>
      <c r="J13" s="72">
        <f t="shared" si="0"/>
        <v>1.0358713779582993</v>
      </c>
      <c r="K13" s="82">
        <f t="shared" si="1"/>
        <v>61.117704819966271</v>
      </c>
      <c r="L13" s="72">
        <f t="shared" si="19"/>
        <v>7.1847281496049151E-4</v>
      </c>
      <c r="M13" s="72">
        <f t="shared" si="2"/>
        <v>10.954069192751234</v>
      </c>
      <c r="N13" s="83">
        <f t="shared" si="20"/>
        <v>13.557150715817892</v>
      </c>
      <c r="O13" s="71">
        <f t="shared" si="21"/>
        <v>2.7723578297299922E-14</v>
      </c>
      <c r="P13" s="83">
        <f t="shared" si="22"/>
        <v>7.5</v>
      </c>
      <c r="Q13" s="72">
        <f t="shared" si="23"/>
        <v>3.1622776601683699E-8</v>
      </c>
      <c r="R13" s="72">
        <f t="shared" si="3"/>
        <v>1.0000000316227766</v>
      </c>
      <c r="S13" s="71">
        <f t="shared" si="4"/>
        <v>2.7509348737903316E-10</v>
      </c>
      <c r="T13" s="77"/>
      <c r="U13" s="72">
        <f t="shared" si="5"/>
        <v>0.10502228083864275</v>
      </c>
      <c r="V13" s="72">
        <f t="shared" si="6"/>
        <v>-4.0557001054704535E-2</v>
      </c>
      <c r="W13" s="84">
        <f t="shared" si="7"/>
        <v>-9.5000005181863651E-3</v>
      </c>
      <c r="X13" s="85">
        <f t="shared" si="24"/>
        <v>-9.5000005181863649</v>
      </c>
      <c r="Y13" s="77"/>
      <c r="Z13" s="72">
        <f t="shared" si="8"/>
        <v>3.7422041829899342E-9</v>
      </c>
      <c r="AA13" s="72">
        <f t="shared" si="9"/>
        <v>9.2645600627149957E-8</v>
      </c>
      <c r="AB13" s="72">
        <f t="shared" si="10"/>
        <v>4.0364560062714994E-7</v>
      </c>
      <c r="AC13" s="72">
        <f t="shared" si="11"/>
        <v>1.1964560062714996E-7</v>
      </c>
      <c r="AD13" s="72">
        <f t="shared" si="12"/>
        <v>2.4564560062714992E-7</v>
      </c>
      <c r="AE13" s="72">
        <f t="shared" si="13"/>
        <v>2.1508713087696767E-9</v>
      </c>
      <c r="AF13" s="72">
        <f t="shared" si="25"/>
        <v>2.4E-9</v>
      </c>
      <c r="AG13" s="72">
        <f t="shared" si="26"/>
        <v>8.2930754917596113E-9</v>
      </c>
      <c r="AH13" s="84">
        <f t="shared" si="14"/>
        <v>6.5273022810712401E-10</v>
      </c>
      <c r="AI13" s="84">
        <f t="shared" si="27"/>
        <v>0.652730228107124</v>
      </c>
      <c r="AJ13" s="77"/>
      <c r="AK13" s="72">
        <f t="shared" si="28"/>
        <v>8.7308948436874488E-10</v>
      </c>
      <c r="AL13" s="84">
        <f t="shared" si="29"/>
        <v>5.0000000000000001E-9</v>
      </c>
      <c r="AM13" s="84">
        <f t="shared" si="30"/>
        <v>5.5018697475806632E-10</v>
      </c>
      <c r="AN13" s="81"/>
      <c r="AO13" s="72">
        <f t="shared" si="31"/>
        <v>3.8927724592599428E-9</v>
      </c>
      <c r="AP13" s="72">
        <f t="shared" si="32"/>
        <v>7.5848925394343073E-16</v>
      </c>
      <c r="AQ13" s="72">
        <f t="shared" si="33"/>
        <v>-3.3543349321419765E-9</v>
      </c>
      <c r="AR13" s="72">
        <f t="shared" si="34"/>
        <v>-6.0376504442764881E-15</v>
      </c>
      <c r="AS13" s="72">
        <f t="shared" si="35"/>
        <v>5.3843224795677596E-10</v>
      </c>
      <c r="AT13" s="77"/>
      <c r="AU13" s="71">
        <v>-9.5000074656298636</v>
      </c>
      <c r="AV13" s="71">
        <v>0.65273319518113615</v>
      </c>
    </row>
    <row r="14" spans="1:48" x14ac:dyDescent="0.35">
      <c r="B14" s="3"/>
      <c r="E14" s="71">
        <v>45</v>
      </c>
      <c r="F14" s="71">
        <f t="shared" si="15"/>
        <v>318.14999999999998</v>
      </c>
      <c r="G14" s="71">
        <f t="shared" si="16"/>
        <v>990.21322507955676</v>
      </c>
      <c r="H14" s="83">
        <f t="shared" si="17"/>
        <v>1.021862456156571</v>
      </c>
      <c r="I14" s="83">
        <f t="shared" si="18"/>
        <v>1021.8624561565711</v>
      </c>
      <c r="J14" s="72">
        <f t="shared" si="0"/>
        <v>1.0379662562458318</v>
      </c>
      <c r="K14" s="82">
        <f t="shared" si="1"/>
        <v>59.47859314659123</v>
      </c>
      <c r="L14" s="72">
        <f t="shared" si="19"/>
        <v>6.5633318632413444E-4</v>
      </c>
      <c r="M14" s="72">
        <f t="shared" si="2"/>
        <v>11.832576194398682</v>
      </c>
      <c r="N14" s="83">
        <f t="shared" si="20"/>
        <v>13.404901273924571</v>
      </c>
      <c r="O14" s="71">
        <f t="shared" si="21"/>
        <v>3.9363954947074921E-14</v>
      </c>
      <c r="P14" s="83">
        <f t="shared" si="22"/>
        <v>7.5</v>
      </c>
      <c r="Q14" s="72">
        <f t="shared" si="23"/>
        <v>3.1622776601683699E-8</v>
      </c>
      <c r="R14" s="72">
        <f t="shared" si="3"/>
        <v>1.0000000316227766</v>
      </c>
      <c r="S14" s="71">
        <f t="shared" si="4"/>
        <v>2.7353751058466671E-10</v>
      </c>
      <c r="T14" s="77"/>
      <c r="U14" s="72">
        <f t="shared" si="5"/>
        <v>0.10442829492204332</v>
      </c>
      <c r="V14" s="72">
        <f t="shared" si="6"/>
        <v>-4.1308270632102982E-2</v>
      </c>
      <c r="W14" s="84">
        <f t="shared" si="7"/>
        <v>-9.5000004759438553E-3</v>
      </c>
      <c r="X14" s="85">
        <f t="shared" si="24"/>
        <v>-9.500000475943855</v>
      </c>
      <c r="Y14" s="77"/>
      <c r="Z14" s="72">
        <f t="shared" si="8"/>
        <v>3.7431311507604979E-9</v>
      </c>
      <c r="AA14" s="72">
        <f t="shared" si="9"/>
        <v>9.5991896426293468E-8</v>
      </c>
      <c r="AB14" s="72">
        <f t="shared" si="10"/>
        <v>4.0699189642629349E-7</v>
      </c>
      <c r="AC14" s="72">
        <f t="shared" si="11"/>
        <v>1.2299189642629348E-7</v>
      </c>
      <c r="AD14" s="72">
        <f t="shared" si="12"/>
        <v>2.4899189642629347E-7</v>
      </c>
      <c r="AE14" s="72">
        <f t="shared" si="13"/>
        <v>2.2576740312777361E-9</v>
      </c>
      <c r="AF14" s="72">
        <f t="shared" si="25"/>
        <v>2.4E-9</v>
      </c>
      <c r="AG14" s="72">
        <f t="shared" si="26"/>
        <v>8.4008051820382339E-9</v>
      </c>
      <c r="AH14" s="84">
        <f t="shared" si="14"/>
        <v>6.4375114218603258E-10</v>
      </c>
      <c r="AI14" s="84">
        <f t="shared" si="27"/>
        <v>0.64375114218603258</v>
      </c>
      <c r="AJ14" s="77"/>
      <c r="AK14" s="72">
        <f t="shared" si="28"/>
        <v>8.8305061039491877E-10</v>
      </c>
      <c r="AL14" s="84">
        <f t="shared" si="29"/>
        <v>5.0000000000000001E-9</v>
      </c>
      <c r="AM14" s="84">
        <f t="shared" si="30"/>
        <v>5.4707502116933341E-10</v>
      </c>
      <c r="AN14" s="81"/>
      <c r="AO14" s="72">
        <f t="shared" si="31"/>
        <v>4.0249321852789913E-9</v>
      </c>
      <c r="AP14" s="72">
        <f t="shared" si="32"/>
        <v>7.6317607805509955E-16</v>
      </c>
      <c r="AQ14" s="72">
        <f t="shared" si="33"/>
        <v>-3.4344316710463288E-9</v>
      </c>
      <c r="AR14" s="72">
        <f t="shared" si="34"/>
        <v>-8.6549053231832653E-15</v>
      </c>
      <c r="AS14" s="72">
        <f t="shared" si="35"/>
        <v>5.9049262250341764E-10</v>
      </c>
      <c r="AT14" s="77"/>
      <c r="AU14" s="71">
        <v>-9.5000073429516512</v>
      </c>
      <c r="AV14" s="71">
        <v>0.64375399318562188</v>
      </c>
    </row>
    <row r="15" spans="1:48" x14ac:dyDescent="0.35">
      <c r="B15" s="6"/>
      <c r="E15" s="71">
        <v>50</v>
      </c>
      <c r="F15" s="71">
        <f t="shared" si="15"/>
        <v>323.14999999999998</v>
      </c>
      <c r="G15" s="71">
        <f t="shared" si="16"/>
        <v>988.03629161147626</v>
      </c>
      <c r="H15" s="83">
        <f t="shared" si="17"/>
        <v>1.0197444208328768</v>
      </c>
      <c r="I15" s="83">
        <f t="shared" si="18"/>
        <v>1019.7444208328767</v>
      </c>
      <c r="J15" s="72">
        <f t="shared" si="0"/>
        <v>1.0402532000566453</v>
      </c>
      <c r="K15" s="82">
        <f t="shared" si="1"/>
        <v>57.876892748216299</v>
      </c>
      <c r="L15" s="72">
        <f t="shared" si="19"/>
        <v>6.0249391938343143E-4</v>
      </c>
      <c r="M15" s="72">
        <f t="shared" si="2"/>
        <v>12.703583196046129</v>
      </c>
      <c r="N15" s="83">
        <f t="shared" si="20"/>
        <v>13.262496376836017</v>
      </c>
      <c r="O15" s="71">
        <f t="shared" si="21"/>
        <v>5.4639110820899895E-14</v>
      </c>
      <c r="P15" s="83">
        <f t="shared" si="22"/>
        <v>7.5</v>
      </c>
      <c r="Q15" s="72">
        <f t="shared" si="23"/>
        <v>3.1622776601683699E-8</v>
      </c>
      <c r="R15" s="72">
        <f t="shared" si="3"/>
        <v>1.0000000316227766</v>
      </c>
      <c r="S15" s="71">
        <f t="shared" si="4"/>
        <v>2.719413606694367E-10</v>
      </c>
      <c r="T15" s="77"/>
      <c r="U15" s="72">
        <f t="shared" si="5"/>
        <v>0.10381898362094205</v>
      </c>
      <c r="V15" s="72">
        <f t="shared" si="6"/>
        <v>-4.2066141908166793E-2</v>
      </c>
      <c r="W15" s="84">
        <f t="shared" si="7"/>
        <v>-9.500000435368262E-3</v>
      </c>
      <c r="X15" s="85">
        <f t="shared" si="24"/>
        <v>-9.5000004353682623</v>
      </c>
      <c r="Y15" s="77"/>
      <c r="Z15" s="72">
        <f t="shared" si="8"/>
        <v>3.7440843418077355E-9</v>
      </c>
      <c r="AA15" s="72">
        <f t="shared" si="9"/>
        <v>9.9365391600679429E-8</v>
      </c>
      <c r="AB15" s="72">
        <f t="shared" si="10"/>
        <v>4.1036539160067945E-7</v>
      </c>
      <c r="AC15" s="72">
        <f t="shared" si="11"/>
        <v>1.2636539160067945E-7</v>
      </c>
      <c r="AD15" s="72">
        <f t="shared" si="12"/>
        <v>2.5236539160067944E-7</v>
      </c>
      <c r="AE15" s="72">
        <f t="shared" si="13"/>
        <v>2.3652509508470435E-9</v>
      </c>
      <c r="AF15" s="72">
        <f t="shared" si="25"/>
        <v>2.4E-9</v>
      </c>
      <c r="AG15" s="72">
        <f t="shared" si="26"/>
        <v>8.5093352926547781E-9</v>
      </c>
      <c r="AH15" s="84">
        <f t="shared" si="14"/>
        <v>6.3561561775166277E-10</v>
      </c>
      <c r="AI15" s="84">
        <f t="shared" si="27"/>
        <v>0.63561561775166275</v>
      </c>
      <c r="AJ15" s="77"/>
      <c r="AK15" s="72">
        <f t="shared" si="28"/>
        <v>8.9344709883354305E-10</v>
      </c>
      <c r="AL15" s="84">
        <f t="shared" si="29"/>
        <v>5.0000000000000001E-9</v>
      </c>
      <c r="AM15" s="84">
        <f t="shared" si="30"/>
        <v>5.4388272133887341E-10</v>
      </c>
      <c r="AN15" s="81"/>
      <c r="AO15" s="72">
        <f t="shared" si="31"/>
        <v>4.1573564328032334E-9</v>
      </c>
      <c r="AP15" s="72">
        <f t="shared" si="32"/>
        <v>7.6783486860237534E-16</v>
      </c>
      <c r="AQ15" s="72">
        <f t="shared" si="33"/>
        <v>-3.5141274487702051E-9</v>
      </c>
      <c r="AR15" s="72">
        <f t="shared" si="34"/>
        <v>-1.2126145669848453E-14</v>
      </c>
      <c r="AS15" s="72">
        <f t="shared" si="35"/>
        <v>6.4321762572222716E-10</v>
      </c>
      <c r="AT15" s="77"/>
      <c r="AU15" s="71">
        <v>-9.5000071983790022</v>
      </c>
      <c r="AV15" s="71">
        <v>0.63561819678217446</v>
      </c>
    </row>
    <row r="16" spans="1:48" x14ac:dyDescent="0.35">
      <c r="A16" s="43"/>
      <c r="B16" s="36"/>
      <c r="C16" s="6"/>
      <c r="E16" s="71">
        <v>55</v>
      </c>
      <c r="F16" s="71">
        <f t="shared" si="15"/>
        <v>328.15</v>
      </c>
      <c r="G16" s="71">
        <f t="shared" si="16"/>
        <v>985.69523966623524</v>
      </c>
      <c r="H16" s="83">
        <f t="shared" si="17"/>
        <v>1.017466707348599</v>
      </c>
      <c r="I16" s="83">
        <f t="shared" si="18"/>
        <v>1017.466707348599</v>
      </c>
      <c r="J16" s="72">
        <f t="shared" si="0"/>
        <v>1.0427238285831257</v>
      </c>
      <c r="K16" s="82">
        <f t="shared" si="1"/>
        <v>56.311546124841293</v>
      </c>
      <c r="L16" s="72">
        <f t="shared" si="19"/>
        <v>5.5551607689813991E-4</v>
      </c>
      <c r="M16" s="72">
        <f t="shared" si="2"/>
        <v>13.567090197693577</v>
      </c>
      <c r="N16" s="83">
        <f t="shared" si="20"/>
        <v>13.130248301853779</v>
      </c>
      <c r="O16" s="71">
        <f t="shared" si="21"/>
        <v>7.4088652857724808E-14</v>
      </c>
      <c r="P16" s="83">
        <f t="shared" si="22"/>
        <v>7.5</v>
      </c>
      <c r="Q16" s="72">
        <f t="shared" si="23"/>
        <v>3.1622776601683699E-8</v>
      </c>
      <c r="R16" s="72">
        <f t="shared" si="3"/>
        <v>1.0000000316227766</v>
      </c>
      <c r="S16" s="71">
        <f t="shared" si="4"/>
        <v>2.7030589226998591E-10</v>
      </c>
      <c r="T16" s="77"/>
      <c r="U16" s="72">
        <f t="shared" si="5"/>
        <v>0.10319467473849457</v>
      </c>
      <c r="V16" s="72">
        <f t="shared" si="6"/>
        <v>-4.2830766408588808E-2</v>
      </c>
      <c r="W16" s="84">
        <f t="shared" si="7"/>
        <v>-9.5000003966128153E-3</v>
      </c>
      <c r="X16" s="85">
        <f t="shared" si="24"/>
        <v>-9.5000003966128155</v>
      </c>
      <c r="Y16" s="77"/>
      <c r="Z16" s="72">
        <f t="shared" si="8"/>
        <v>3.745063436053874E-9</v>
      </c>
      <c r="AA16" s="72">
        <f t="shared" si="9"/>
        <v>1.0275486318216132E-7</v>
      </c>
      <c r="AB16" s="72">
        <f t="shared" si="10"/>
        <v>4.1375486318216134E-7</v>
      </c>
      <c r="AC16" s="72">
        <f t="shared" si="11"/>
        <v>1.2975486318216134E-7</v>
      </c>
      <c r="AD16" s="72">
        <f t="shared" si="12"/>
        <v>2.5575486318216133E-7</v>
      </c>
      <c r="AE16" s="72">
        <f t="shared" si="13"/>
        <v>2.4732365833369005E-9</v>
      </c>
      <c r="AF16" s="72">
        <f t="shared" si="25"/>
        <v>2.4E-9</v>
      </c>
      <c r="AG16" s="72">
        <f t="shared" si="26"/>
        <v>8.618300019390774E-9</v>
      </c>
      <c r="AH16" s="84">
        <f t="shared" si="14"/>
        <v>6.2804193070491965E-10</v>
      </c>
      <c r="AI16" s="84">
        <f t="shared" si="27"/>
        <v>0.62804193070491965</v>
      </c>
      <c r="AJ16" s="77"/>
      <c r="AK16" s="72">
        <f t="shared" si="28"/>
        <v>9.0429129424700029E-10</v>
      </c>
      <c r="AL16" s="84">
        <f t="shared" si="29"/>
        <v>5.0000000000000001E-9</v>
      </c>
      <c r="AM16" s="84">
        <f t="shared" si="30"/>
        <v>5.4061178453997182E-10</v>
      </c>
      <c r="AN16" s="81"/>
      <c r="AO16" s="72">
        <f t="shared" si="31"/>
        <v>4.289540127873676E-9</v>
      </c>
      <c r="AP16" s="72">
        <f t="shared" si="32"/>
        <v>7.7244301796121989E-16</v>
      </c>
      <c r="AQ16" s="72">
        <f t="shared" si="33"/>
        <v>-3.5930733256344584E-9</v>
      </c>
      <c r="AR16" s="72">
        <f t="shared" si="34"/>
        <v>-1.6592737200930923E-14</v>
      </c>
      <c r="AS16" s="72">
        <f t="shared" si="35"/>
        <v>6.9645098194503501E-10</v>
      </c>
      <c r="AT16" s="77"/>
      <c r="AU16" s="71">
        <v>-9.5000070329040724</v>
      </c>
      <c r="AV16" s="71">
        <v>0.6280440248308039</v>
      </c>
    </row>
    <row r="17" spans="1:48" x14ac:dyDescent="0.35">
      <c r="A17" t="s">
        <v>3</v>
      </c>
      <c r="B17" s="47">
        <f>Control!B10</f>
        <v>8.8500000000000005E-12</v>
      </c>
      <c r="C17" s="2" t="s">
        <v>4</v>
      </c>
      <c r="E17" s="71">
        <v>60</v>
      </c>
      <c r="F17" s="71">
        <f t="shared" si="15"/>
        <v>333.15</v>
      </c>
      <c r="G17" s="71">
        <f t="shared" si="16"/>
        <v>983.19888300964794</v>
      </c>
      <c r="H17" s="83">
        <f t="shared" si="17"/>
        <v>1.0150378910082203</v>
      </c>
      <c r="I17" s="83">
        <f t="shared" si="18"/>
        <v>1015.0378910082203</v>
      </c>
      <c r="J17" s="72">
        <f t="shared" si="0"/>
        <v>1.045371319966047</v>
      </c>
      <c r="K17" s="82">
        <f t="shared" si="1"/>
        <v>54.781495776466279</v>
      </c>
      <c r="L17" s="72">
        <f t="shared" si="19"/>
        <v>5.1427883828844599E-4</v>
      </c>
      <c r="M17" s="72">
        <f t="shared" si="2"/>
        <v>14.423097199341026</v>
      </c>
      <c r="N17" s="83">
        <f t="shared" si="20"/>
        <v>13.007657769459144</v>
      </c>
      <c r="O17" s="71">
        <f t="shared" si="21"/>
        <v>9.8252187996499737E-14</v>
      </c>
      <c r="P17" s="83">
        <f t="shared" si="22"/>
        <v>7.5</v>
      </c>
      <c r="Q17" s="72">
        <f t="shared" si="23"/>
        <v>3.1622776601683699E-8</v>
      </c>
      <c r="R17" s="72">
        <f t="shared" si="3"/>
        <v>1.0000000316227766</v>
      </c>
      <c r="S17" s="71">
        <f t="shared" si="4"/>
        <v>2.6863180766269492E-10</v>
      </c>
      <c r="T17" s="77"/>
      <c r="U17" s="72">
        <f t="shared" si="5"/>
        <v>0.10255563785797223</v>
      </c>
      <c r="V17" s="72">
        <f t="shared" si="6"/>
        <v>-4.3602307385193308E-2</v>
      </c>
      <c r="W17" s="84">
        <f t="shared" si="7"/>
        <v>-9.5000003597966783E-3</v>
      </c>
      <c r="X17" s="85">
        <f t="shared" si="24"/>
        <v>-9.5000003597966778</v>
      </c>
      <c r="Y17" s="77"/>
      <c r="Z17" s="72">
        <f t="shared" si="8"/>
        <v>3.7460682071839208E-9</v>
      </c>
      <c r="AA17" s="72">
        <f t="shared" si="9"/>
        <v>1.0614763376395442E-7</v>
      </c>
      <c r="AB17" s="72">
        <f t="shared" si="10"/>
        <v>4.1714763376395441E-7</v>
      </c>
      <c r="AC17" s="72">
        <f t="shared" si="11"/>
        <v>1.3314763376395441E-7</v>
      </c>
      <c r="AD17" s="72">
        <f t="shared" si="12"/>
        <v>2.591476337639544E-7</v>
      </c>
      <c r="AE17" s="72">
        <f t="shared" si="13"/>
        <v>2.5812200467116207E-9</v>
      </c>
      <c r="AF17" s="72">
        <f t="shared" si="25"/>
        <v>2.4E-9</v>
      </c>
      <c r="AG17" s="72">
        <f t="shared" si="26"/>
        <v>8.727288253895542E-9</v>
      </c>
      <c r="AH17" s="84">
        <f t="shared" si="14"/>
        <v>6.2080715527339373E-10</v>
      </c>
      <c r="AI17" s="84">
        <f t="shared" si="27"/>
        <v>0.62080715527339381</v>
      </c>
      <c r="AJ17" s="77"/>
      <c r="AK17" s="72">
        <f t="shared" si="28"/>
        <v>9.155973064158647E-10</v>
      </c>
      <c r="AL17" s="84">
        <f t="shared" si="29"/>
        <v>5.0000000000000001E-9</v>
      </c>
      <c r="AM17" s="84">
        <f t="shared" si="30"/>
        <v>5.3726361532538983E-10</v>
      </c>
      <c r="AN17" s="81"/>
      <c r="AO17" s="72">
        <f t="shared" si="31"/>
        <v>4.4209204727086007E-9</v>
      </c>
      <c r="AP17" s="72">
        <f t="shared" si="32"/>
        <v>7.769752065011623E-16</v>
      </c>
      <c r="AQ17" s="72">
        <f t="shared" si="33"/>
        <v>-3.6708841234291614E-9</v>
      </c>
      <c r="AR17" s="72">
        <f t="shared" si="34"/>
        <v>-2.2198657015566739E-14</v>
      </c>
      <c r="AS17" s="72">
        <f t="shared" si="35"/>
        <v>7.5001492759763002E-10</v>
      </c>
      <c r="AT17" s="77"/>
      <c r="AU17" s="71">
        <v>-9.5000068477135695</v>
      </c>
      <c r="AV17" s="71">
        <v>0.6208084949241387</v>
      </c>
    </row>
    <row r="18" spans="1:48" x14ac:dyDescent="0.35">
      <c r="A18" t="s">
        <v>22</v>
      </c>
      <c r="B18" s="47">
        <f>Control!B11</f>
        <v>1.3809999999999999E-23</v>
      </c>
      <c r="C18" s="2" t="s">
        <v>24</v>
      </c>
      <c r="E18" s="71">
        <v>65</v>
      </c>
      <c r="F18" s="71">
        <f t="shared" si="15"/>
        <v>338.15</v>
      </c>
      <c r="G18" s="71">
        <f t="shared" si="16"/>
        <v>980.55481983181551</v>
      </c>
      <c r="H18" s="83">
        <f t="shared" si="17"/>
        <v>1.0124653644285879</v>
      </c>
      <c r="I18" s="83">
        <f t="shared" si="18"/>
        <v>1012.4653644285879</v>
      </c>
      <c r="J18" s="72">
        <f t="shared" si="0"/>
        <v>1.0481901606452031</v>
      </c>
      <c r="K18" s="82">
        <f t="shared" si="1"/>
        <v>53.285684203091272</v>
      </c>
      <c r="L18" s="72">
        <f t="shared" si="19"/>
        <v>4.7789822519039881E-4</v>
      </c>
      <c r="M18" s="72">
        <f t="shared" si="2"/>
        <v>15.271604200988467</v>
      </c>
      <c r="N18" s="83">
        <f t="shared" si="20"/>
        <v>12.893913443972313</v>
      </c>
      <c r="O18" s="71">
        <f t="shared" si="21"/>
        <v>1.2766932317617458E-13</v>
      </c>
      <c r="P18" s="83">
        <f t="shared" si="22"/>
        <v>7.5</v>
      </c>
      <c r="Q18" s="72">
        <f t="shared" si="23"/>
        <v>3.1622776601683699E-8</v>
      </c>
      <c r="R18" s="72">
        <f t="shared" si="3"/>
        <v>1.0000000316227766</v>
      </c>
      <c r="S18" s="71">
        <f t="shared" si="4"/>
        <v>2.6691965312322817E-10</v>
      </c>
      <c r="T18" s="77"/>
      <c r="U18" s="72">
        <f t="shared" si="5"/>
        <v>0.10190208295059813</v>
      </c>
      <c r="V18" s="72">
        <f t="shared" si="6"/>
        <v>-4.4380941311202723E-2</v>
      </c>
      <c r="W18" s="84">
        <f t="shared" si="7"/>
        <v>-9.5000003250071598E-3</v>
      </c>
      <c r="X18" s="85">
        <f t="shared" si="24"/>
        <v>-9.500000325007159</v>
      </c>
      <c r="Y18" s="77"/>
      <c r="Z18" s="72">
        <f t="shared" si="8"/>
        <v>3.7470985258949788E-9</v>
      </c>
      <c r="AA18" s="72">
        <f t="shared" si="9"/>
        <v>1.0952928201501254E-7</v>
      </c>
      <c r="AB18" s="72">
        <f t="shared" si="10"/>
        <v>4.2052928201501256E-7</v>
      </c>
      <c r="AC18" s="72">
        <f t="shared" si="11"/>
        <v>1.3652928201501256E-7</v>
      </c>
      <c r="AD18" s="72">
        <f t="shared" si="12"/>
        <v>2.6252928201501255E-7</v>
      </c>
      <c r="AE18" s="72">
        <f t="shared" si="13"/>
        <v>2.6887361540848478E-9</v>
      </c>
      <c r="AF18" s="72">
        <f t="shared" si="25"/>
        <v>2.4E-9</v>
      </c>
      <c r="AG18" s="72">
        <f t="shared" si="26"/>
        <v>8.8358346799798261E-9</v>
      </c>
      <c r="AH18" s="84">
        <f t="shared" si="14"/>
        <v>6.1372710820950476E-10</v>
      </c>
      <c r="AI18" s="84">
        <f t="shared" si="27"/>
        <v>0.61372710820950471</v>
      </c>
      <c r="AJ18" s="77"/>
      <c r="AK18" s="72">
        <f t="shared" si="28"/>
        <v>9.2738116637495851E-10</v>
      </c>
      <c r="AL18" s="84">
        <f t="shared" si="29"/>
        <v>5.0000000000000001E-9</v>
      </c>
      <c r="AM18" s="84">
        <f t="shared" si="30"/>
        <v>5.3383930624645633E-10</v>
      </c>
      <c r="AN18" s="81"/>
      <c r="AO18" s="72">
        <f t="shared" si="31"/>
        <v>4.5508657510588184E-9</v>
      </c>
      <c r="AP18" s="72">
        <f t="shared" si="32"/>
        <v>7.8140289521865598E-16</v>
      </c>
      <c r="AQ18" s="72">
        <f t="shared" si="33"/>
        <v>-3.7471315016652669E-9</v>
      </c>
      <c r="AR18" s="72">
        <f t="shared" si="34"/>
        <v>-2.9089578934530047E-14</v>
      </c>
      <c r="AS18" s="72">
        <f t="shared" si="35"/>
        <v>8.0370594121751258E-10</v>
      </c>
      <c r="AT18" s="77"/>
      <c r="AU18" s="71">
        <v>-9.500006644166076</v>
      </c>
      <c r="AV18" s="71">
        <v>0.61372737089129736</v>
      </c>
    </row>
    <row r="19" spans="1:48" x14ac:dyDescent="0.35">
      <c r="A19" t="s">
        <v>21</v>
      </c>
      <c r="B19" s="47">
        <f>Control!B12</f>
        <v>6.0220000000000003E+23</v>
      </c>
      <c r="C19" s="2" t="s">
        <v>12</v>
      </c>
      <c r="E19" s="71">
        <v>70</v>
      </c>
      <c r="F19" s="71">
        <f t="shared" si="15"/>
        <v>343.15</v>
      </c>
      <c r="G19" s="71">
        <f t="shared" si="16"/>
        <v>977.76961965898226</v>
      </c>
      <c r="H19" s="83">
        <f t="shared" si="17"/>
        <v>1.0097555193937642</v>
      </c>
      <c r="I19" s="83">
        <f t="shared" si="18"/>
        <v>1009.7555193937642</v>
      </c>
      <c r="J19" s="72">
        <f t="shared" si="0"/>
        <v>1.0511759554151503</v>
      </c>
      <c r="K19" s="82">
        <f t="shared" si="1"/>
        <v>51.823053904716254</v>
      </c>
      <c r="L19" s="72">
        <f t="shared" si="19"/>
        <v>4.4566796557042582E-4</v>
      </c>
      <c r="M19" s="72">
        <f t="shared" si="2"/>
        <v>16.112611202635915</v>
      </c>
      <c r="N19" s="83">
        <f t="shared" si="20"/>
        <v>12.788133131675163</v>
      </c>
      <c r="O19" s="71">
        <f t="shared" si="21"/>
        <v>1.6287966533569951E-13</v>
      </c>
      <c r="P19" s="83">
        <f t="shared" si="22"/>
        <v>7.5</v>
      </c>
      <c r="Q19" s="72">
        <f t="shared" si="23"/>
        <v>3.1622776601683699E-8</v>
      </c>
      <c r="R19" s="72">
        <f t="shared" si="3"/>
        <v>1.0000000316227766</v>
      </c>
      <c r="S19" s="71">
        <f t="shared" si="4"/>
        <v>2.6516981479368402E-10</v>
      </c>
      <c r="T19" s="77"/>
      <c r="U19" s="72">
        <f t="shared" si="5"/>
        <v>0.10123415879534324</v>
      </c>
      <c r="V19" s="72">
        <f t="shared" si="6"/>
        <v>-4.5166859515664563E-2</v>
      </c>
      <c r="W19" s="84">
        <f t="shared" si="7"/>
        <v>-9.5000002923021284E-3</v>
      </c>
      <c r="X19" s="85">
        <f t="shared" si="24"/>
        <v>-9.5000002923021292</v>
      </c>
      <c r="Y19" s="77"/>
      <c r="Z19" s="72">
        <f t="shared" si="8"/>
        <v>3.7481543635936052E-9</v>
      </c>
      <c r="AA19" s="72">
        <f t="shared" si="9"/>
        <v>1.1288355741686499E-7</v>
      </c>
      <c r="AB19" s="72">
        <f t="shared" si="10"/>
        <v>4.2388355741686498E-7</v>
      </c>
      <c r="AC19" s="72">
        <f t="shared" si="11"/>
        <v>1.3988355741686498E-7</v>
      </c>
      <c r="AD19" s="72">
        <f t="shared" si="12"/>
        <v>2.6588355741686497E-7</v>
      </c>
      <c r="AE19" s="72">
        <f t="shared" si="13"/>
        <v>2.7952629491991786E-9</v>
      </c>
      <c r="AF19" s="72">
        <f t="shared" si="25"/>
        <v>2.4E-9</v>
      </c>
      <c r="AG19" s="72">
        <f t="shared" si="26"/>
        <v>8.9434173127927834E-9</v>
      </c>
      <c r="AH19" s="84">
        <f t="shared" si="14"/>
        <v>6.0664521213801552E-10</v>
      </c>
      <c r="AI19" s="84">
        <f t="shared" si="27"/>
        <v>0.60664521213801559</v>
      </c>
      <c r="AJ19" s="77"/>
      <c r="AK19" s="72">
        <f t="shared" si="28"/>
        <v>9.3966100583934541E-10</v>
      </c>
      <c r="AL19" s="84">
        <f t="shared" si="29"/>
        <v>5.0000000000000001E-9</v>
      </c>
      <c r="AM19" s="84">
        <f t="shared" si="30"/>
        <v>5.3033962958736804E-10</v>
      </c>
      <c r="AN19" s="81"/>
      <c r="AO19" s="72">
        <f t="shared" si="31"/>
        <v>4.6786728251395847E-9</v>
      </c>
      <c r="AP19" s="72">
        <f t="shared" si="32"/>
        <v>7.8569420612674461E-16</v>
      </c>
      <c r="AQ19" s="72">
        <f t="shared" si="33"/>
        <v>-3.8213428833744109E-9</v>
      </c>
      <c r="AR19" s="72">
        <f t="shared" si="34"/>
        <v>-3.7411721158117703E-14</v>
      </c>
      <c r="AS19" s="72">
        <f t="shared" si="35"/>
        <v>8.5729331573822171E-10</v>
      </c>
      <c r="AT19" s="77"/>
      <c r="AU19" s="71">
        <v>-9.5000064237686921</v>
      </c>
      <c r="AV19" s="71">
        <v>0.60664402906099335</v>
      </c>
    </row>
    <row r="20" spans="1:48" x14ac:dyDescent="0.35">
      <c r="A20" t="s">
        <v>13</v>
      </c>
      <c r="B20" s="47">
        <f>Control!B13</f>
        <v>1.602E-19</v>
      </c>
      <c r="C20" s="2" t="s">
        <v>96</v>
      </c>
      <c r="E20" s="71">
        <v>75</v>
      </c>
      <c r="F20" s="71">
        <f t="shared" si="15"/>
        <v>348.15</v>
      </c>
      <c r="G20" s="71">
        <f t="shared" si="16"/>
        <v>974.84896849496351</v>
      </c>
      <c r="H20" s="83">
        <f t="shared" si="17"/>
        <v>1.006913888069572</v>
      </c>
      <c r="I20" s="83">
        <f t="shared" si="18"/>
        <v>1006.9138880695721</v>
      </c>
      <c r="J20" s="72">
        <f t="shared" si="0"/>
        <v>1.0543252825181082</v>
      </c>
      <c r="K20" s="82">
        <f t="shared" si="1"/>
        <v>50.392547381341245</v>
      </c>
      <c r="L20" s="72">
        <f t="shared" si="19"/>
        <v>4.1701631637795365E-4</v>
      </c>
      <c r="M20" s="72">
        <f t="shared" si="2"/>
        <v>16.946118204283362</v>
      </c>
      <c r="N20" s="83">
        <f t="shared" si="20"/>
        <v>12.689470621937891</v>
      </c>
      <c r="O20" s="71">
        <f t="shared" si="21"/>
        <v>2.0442282141402446E-13</v>
      </c>
      <c r="P20" s="83">
        <f t="shared" si="22"/>
        <v>7.5</v>
      </c>
      <c r="Q20" s="72">
        <f t="shared" si="23"/>
        <v>3.1622776601683699E-8</v>
      </c>
      <c r="R20" s="72">
        <f t="shared" si="3"/>
        <v>1.0000000316227766</v>
      </c>
      <c r="S20" s="71">
        <f t="shared" si="4"/>
        <v>2.6338251403422529E-10</v>
      </c>
      <c r="T20" s="77"/>
      <c r="U20" s="72">
        <f t="shared" si="5"/>
        <v>0.10055195120181123</v>
      </c>
      <c r="V20" s="72">
        <f t="shared" si="6"/>
        <v>-4.5960269972641181E-2</v>
      </c>
      <c r="W20" s="84">
        <f t="shared" si="7"/>
        <v>-9.5000002617125715E-3</v>
      </c>
      <c r="X20" s="85">
        <f t="shared" si="24"/>
        <v>-9.5000002617125716</v>
      </c>
      <c r="Y20" s="77"/>
      <c r="Z20" s="72">
        <f t="shared" si="8"/>
        <v>3.7492357965678772E-9</v>
      </c>
      <c r="AA20" s="72">
        <f t="shared" si="9"/>
        <v>1.1619247162700267E-7</v>
      </c>
      <c r="AB20" s="72">
        <f t="shared" si="10"/>
        <v>4.2719247162700266E-7</v>
      </c>
      <c r="AC20" s="72">
        <f t="shared" si="11"/>
        <v>1.4319247162700266E-7</v>
      </c>
      <c r="AD20" s="72">
        <f t="shared" si="12"/>
        <v>2.6919247162700265E-7</v>
      </c>
      <c r="AE20" s="72">
        <f t="shared" si="13"/>
        <v>2.9002248031870107E-9</v>
      </c>
      <c r="AF20" s="72">
        <f t="shared" si="25"/>
        <v>2.4E-9</v>
      </c>
      <c r="AG20" s="72">
        <f t="shared" si="26"/>
        <v>9.0494605997548883E-9</v>
      </c>
      <c r="AH20" s="84">
        <f t="shared" si="14"/>
        <v>5.994265506008762E-10</v>
      </c>
      <c r="AI20" s="84">
        <f t="shared" si="27"/>
        <v>0.59942655060087624</v>
      </c>
      <c r="AJ20" s="77"/>
      <c r="AK20" s="72">
        <f t="shared" si="28"/>
        <v>9.5245726295752021E-10</v>
      </c>
      <c r="AL20" s="84">
        <f t="shared" si="29"/>
        <v>5.0000000000000001E-9</v>
      </c>
      <c r="AM20" s="84">
        <f t="shared" si="30"/>
        <v>5.2676502806845057E-10</v>
      </c>
      <c r="AN20" s="81"/>
      <c r="AO20" s="72">
        <f t="shared" si="31"/>
        <v>4.803572054695784E-9</v>
      </c>
      <c r="AP20" s="72">
        <f t="shared" si="32"/>
        <v>7.898141335649179E-16</v>
      </c>
      <c r="AQ20" s="72">
        <f t="shared" si="33"/>
        <v>-3.8930053163509269E-9</v>
      </c>
      <c r="AR20" s="72">
        <f t="shared" si="34"/>
        <v>-4.7310452234175546E-14</v>
      </c>
      <c r="AS20" s="72">
        <f t="shared" si="35"/>
        <v>9.1052021770675675E-10</v>
      </c>
      <c r="AT20" s="77"/>
      <c r="AU20" s="71">
        <v>-9.5000061881534492</v>
      </c>
      <c r="AV20" s="71">
        <v>0.59942351581412778</v>
      </c>
    </row>
    <row r="21" spans="1:48" x14ac:dyDescent="0.35">
      <c r="A21" t="s">
        <v>14</v>
      </c>
      <c r="B21" s="32">
        <f>Control!B14</f>
        <v>10</v>
      </c>
      <c r="C21" s="2" t="s">
        <v>112</v>
      </c>
      <c r="E21" s="71">
        <v>80</v>
      </c>
      <c r="F21" s="71">
        <f t="shared" si="15"/>
        <v>353.15</v>
      </c>
      <c r="G21" s="71">
        <f t="shared" si="16"/>
        <v>971.79778269157964</v>
      </c>
      <c r="H21" s="83">
        <f t="shared" si="17"/>
        <v>1.0039452537932021</v>
      </c>
      <c r="I21" s="83">
        <f t="shared" si="18"/>
        <v>1003.9452537932021</v>
      </c>
      <c r="J21" s="72">
        <f t="shared" si="0"/>
        <v>1.0576355826561243</v>
      </c>
      <c r="K21" s="82">
        <f t="shared" si="1"/>
        <v>48.993107132966244</v>
      </c>
      <c r="L21" s="72">
        <f t="shared" si="19"/>
        <v>3.9147440528141325E-4</v>
      </c>
      <c r="M21" s="72">
        <f t="shared" si="2"/>
        <v>17.772125205930809</v>
      </c>
      <c r="N21" s="83">
        <f t="shared" si="20"/>
        <v>12.597156969451365</v>
      </c>
      <c r="O21" s="71">
        <f t="shared" si="21"/>
        <v>2.5283839835009936E-13</v>
      </c>
      <c r="P21" s="83">
        <f t="shared" si="22"/>
        <v>7.5</v>
      </c>
      <c r="Q21" s="72">
        <f t="shared" si="23"/>
        <v>3.1622776601683699E-8</v>
      </c>
      <c r="R21" s="72">
        <f t="shared" si="3"/>
        <v>1.0000000316227766</v>
      </c>
      <c r="S21" s="71">
        <f t="shared" si="4"/>
        <v>2.6155780222975452E-10</v>
      </c>
      <c r="T21" s="77"/>
      <c r="U21" s="72">
        <f t="shared" si="5"/>
        <v>9.9855481024930706E-2</v>
      </c>
      <c r="V21" s="72">
        <f t="shared" si="6"/>
        <v>-4.6761399262969496E-2</v>
      </c>
      <c r="W21" s="84">
        <f t="shared" si="7"/>
        <v>-9.500000233245251E-3</v>
      </c>
      <c r="X21" s="85">
        <f t="shared" si="24"/>
        <v>-9.5000002332452507</v>
      </c>
      <c r="Y21" s="77"/>
      <c r="Z21" s="72">
        <f t="shared" si="8"/>
        <v>3.7503430106670894E-9</v>
      </c>
      <c r="AA21" s="72">
        <f t="shared" si="9"/>
        <v>1.1943653601524664E-7</v>
      </c>
      <c r="AB21" s="72">
        <f t="shared" si="10"/>
        <v>4.3043653601524661E-7</v>
      </c>
      <c r="AC21" s="72">
        <f t="shared" si="11"/>
        <v>1.4643653601524663E-7</v>
      </c>
      <c r="AD21" s="72">
        <f t="shared" si="12"/>
        <v>2.724365360152466E-7</v>
      </c>
      <c r="AE21" s="72">
        <f t="shared" si="13"/>
        <v>3.0030001015896919E-9</v>
      </c>
      <c r="AF21" s="72">
        <f t="shared" si="25"/>
        <v>2.4E-9</v>
      </c>
      <c r="AG21" s="72">
        <f t="shared" si="26"/>
        <v>9.1533431122567813E-9</v>
      </c>
      <c r="AH21" s="84">
        <f t="shared" si="14"/>
        <v>5.9195490419956383E-10</v>
      </c>
      <c r="AI21" s="84">
        <f t="shared" si="27"/>
        <v>0.59195490419956387</v>
      </c>
      <c r="AJ21" s="77"/>
      <c r="AK21" s="72">
        <f t="shared" si="28"/>
        <v>9.6579291788054263E-10</v>
      </c>
      <c r="AL21" s="84">
        <f t="shared" si="29"/>
        <v>5.0000000000000001E-9</v>
      </c>
      <c r="AM21" s="84">
        <f t="shared" si="30"/>
        <v>5.2311560445950904E-10</v>
      </c>
      <c r="AN21" s="81"/>
      <c r="AO21" s="72">
        <f t="shared" si="31"/>
        <v>4.9247382597625034E-9</v>
      </c>
      <c r="AP21" s="72">
        <f t="shared" si="32"/>
        <v>7.9372502470470914E-16</v>
      </c>
      <c r="AQ21" s="72">
        <f t="shared" si="33"/>
        <v>-3.961573291440152E-9</v>
      </c>
      <c r="AR21" s="72">
        <f t="shared" si="34"/>
        <v>-5.8928668496017645E-14</v>
      </c>
      <c r="AS21" s="72">
        <f t="shared" si="35"/>
        <v>9.6310683337888012E-10</v>
      </c>
      <c r="AT21" s="77"/>
      <c r="AU21" s="71">
        <v>-9.5000059390539597</v>
      </c>
      <c r="AV21" s="71">
        <v>0.59194958581689583</v>
      </c>
    </row>
    <row r="22" spans="1:48" x14ac:dyDescent="0.35">
      <c r="A22" t="s">
        <v>14</v>
      </c>
      <c r="B22" s="4">
        <f>B21*1000000000000000000</f>
        <v>1E+19</v>
      </c>
      <c r="C22" s="2" t="s">
        <v>113</v>
      </c>
      <c r="E22" s="71">
        <v>85</v>
      </c>
      <c r="F22" s="71">
        <f t="shared" si="15"/>
        <v>358.15</v>
      </c>
      <c r="G22" s="71">
        <f t="shared" si="16"/>
        <v>968.62029913592266</v>
      </c>
      <c r="H22" s="83">
        <f t="shared" si="17"/>
        <v>1.0008537388204117</v>
      </c>
      <c r="I22" s="83">
        <f t="shared" si="18"/>
        <v>1000.8537388204118</v>
      </c>
      <c r="J22" s="72">
        <f t="shared" si="0"/>
        <v>1.0611050739260945</v>
      </c>
      <c r="K22" s="82">
        <f t="shared" si="1"/>
        <v>47.623675659591306</v>
      </c>
      <c r="L22" s="72">
        <f t="shared" si="19"/>
        <v>3.6865290080278698E-4</v>
      </c>
      <c r="M22" s="72">
        <f t="shared" si="2"/>
        <v>18.59063220757826</v>
      </c>
      <c r="N22" s="83">
        <f t="shared" si="20"/>
        <v>12.510511201702162</v>
      </c>
      <c r="O22" s="71">
        <f t="shared" si="21"/>
        <v>3.0866600308287458E-13</v>
      </c>
      <c r="P22" s="83">
        <f t="shared" si="22"/>
        <v>7.5</v>
      </c>
      <c r="Q22" s="72">
        <f t="shared" si="23"/>
        <v>3.1622776601683699E-8</v>
      </c>
      <c r="R22" s="72">
        <f t="shared" si="3"/>
        <v>1.0000000316227766</v>
      </c>
      <c r="S22" s="71">
        <f t="shared" si="4"/>
        <v>2.5969555501506021E-10</v>
      </c>
      <c r="T22" s="77"/>
      <c r="U22" s="72">
        <f t="shared" si="5"/>
        <v>9.9144701957443376E-2</v>
      </c>
      <c r="V22" s="72">
        <f t="shared" si="6"/>
        <v>-4.7570494729009906E-2</v>
      </c>
      <c r="W22" s="84">
        <f t="shared" si="7"/>
        <v>-9.5000002068853541E-3</v>
      </c>
      <c r="X22" s="85">
        <f t="shared" si="24"/>
        <v>-9.5000002068853533</v>
      </c>
      <c r="Y22" s="77"/>
      <c r="Z22" s="72">
        <f t="shared" si="8"/>
        <v>3.7514763065291372E-9</v>
      </c>
      <c r="AA22" s="72">
        <f t="shared" si="9"/>
        <v>1.2259511416850615E-7</v>
      </c>
      <c r="AB22" s="72">
        <f t="shared" si="10"/>
        <v>4.3359511416850617E-7</v>
      </c>
      <c r="AC22" s="72">
        <f t="shared" si="11"/>
        <v>1.4959511416850617E-7</v>
      </c>
      <c r="AD22" s="72">
        <f t="shared" si="12"/>
        <v>2.7559511416850616E-7</v>
      </c>
      <c r="AE22" s="72">
        <f t="shared" si="13"/>
        <v>3.1029325275165247E-9</v>
      </c>
      <c r="AF22" s="72">
        <f t="shared" si="25"/>
        <v>2.4E-9</v>
      </c>
      <c r="AG22" s="72">
        <f t="shared" si="26"/>
        <v>9.2544088340456614E-9</v>
      </c>
      <c r="AH22" s="84">
        <f t="shared" si="14"/>
        <v>5.8413143333611887E-10</v>
      </c>
      <c r="AI22" s="84">
        <f t="shared" si="27"/>
        <v>0.58413143333611883</v>
      </c>
      <c r="AJ22" s="77"/>
      <c r="AK22" s="72">
        <f t="shared" si="28"/>
        <v>9.7969376229327879E-10</v>
      </c>
      <c r="AL22" s="84">
        <f t="shared" si="29"/>
        <v>5.0000000000000001E-9</v>
      </c>
      <c r="AM22" s="84">
        <f t="shared" si="30"/>
        <v>5.1939111003012042E-10</v>
      </c>
      <c r="AN22" s="81"/>
      <c r="AO22" s="72">
        <f t="shared" si="31"/>
        <v>5.0413063317430365E-9</v>
      </c>
      <c r="AP22" s="72">
        <f t="shared" si="32"/>
        <v>7.9738726675294254E-16</v>
      </c>
      <c r="AQ22" s="72">
        <f t="shared" si="33"/>
        <v>-4.0264795385985153E-9</v>
      </c>
      <c r="AR22" s="72">
        <f t="shared" si="34"/>
        <v>-7.2404973551686208E-14</v>
      </c>
      <c r="AS22" s="72">
        <f t="shared" si="35"/>
        <v>1.0147551855582361E-9</v>
      </c>
      <c r="AT22" s="77"/>
      <c r="AU22" s="71">
        <v>-9.500005678282653</v>
      </c>
      <c r="AV22" s="71">
        <v>0.5841233864202281</v>
      </c>
    </row>
    <row r="23" spans="1:48" x14ac:dyDescent="0.35">
      <c r="A23" t="s">
        <v>20</v>
      </c>
      <c r="B23" s="51">
        <v>0</v>
      </c>
      <c r="C23" s="4" t="s">
        <v>52</v>
      </c>
      <c r="E23" s="71">
        <v>90</v>
      </c>
      <c r="F23" s="71">
        <f t="shared" si="15"/>
        <v>363.15</v>
      </c>
      <c r="G23" s="71">
        <f t="shared" si="16"/>
        <v>965.3201473085868</v>
      </c>
      <c r="H23" s="83">
        <f t="shared" si="17"/>
        <v>0.9976428744341822</v>
      </c>
      <c r="I23" s="83">
        <f t="shared" si="18"/>
        <v>997.6428744341822</v>
      </c>
      <c r="J23" s="72">
        <f t="shared" si="0"/>
        <v>1.0647326868568676</v>
      </c>
      <c r="K23" s="82">
        <f t="shared" si="1"/>
        <v>46.283195461216302</v>
      </c>
      <c r="L23" s="72">
        <f t="shared" si="19"/>
        <v>3.4822471626694198E-4</v>
      </c>
      <c r="M23" s="72">
        <f t="shared" si="2"/>
        <v>19.401639209225699</v>
      </c>
      <c r="N23" s="83">
        <f t="shared" si="20"/>
        <v>12.428937568837505</v>
      </c>
      <c r="O23" s="71">
        <f t="shared" si="21"/>
        <v>3.7244524255129788E-13</v>
      </c>
      <c r="P23" s="83">
        <f t="shared" si="22"/>
        <v>7.5</v>
      </c>
      <c r="Q23" s="72">
        <f t="shared" si="23"/>
        <v>3.1622776601683699E-8</v>
      </c>
      <c r="R23" s="72">
        <f t="shared" si="3"/>
        <v>1.0000000316227766</v>
      </c>
      <c r="S23" s="71">
        <f t="shared" si="4"/>
        <v>2.5779546587369664E-10</v>
      </c>
      <c r="T23" s="77"/>
      <c r="U23" s="72">
        <f t="shared" si="5"/>
        <v>9.8419498083057957E-2</v>
      </c>
      <c r="V23" s="72">
        <f t="shared" si="6"/>
        <v>-4.8387826845908942E-2</v>
      </c>
      <c r="W23" s="84">
        <f t="shared" si="7"/>
        <v>-9.5000001825991352E-3</v>
      </c>
      <c r="X23" s="85">
        <f t="shared" si="24"/>
        <v>-9.5000001825991358</v>
      </c>
      <c r="Y23" s="77"/>
      <c r="Z23" s="72">
        <f t="shared" si="8"/>
        <v>3.7526361054038919E-9</v>
      </c>
      <c r="AA23" s="72">
        <f t="shared" si="9"/>
        <v>1.256468581538196E-7</v>
      </c>
      <c r="AB23" s="72">
        <f t="shared" si="10"/>
        <v>4.3664685815381961E-7</v>
      </c>
      <c r="AC23" s="72">
        <f t="shared" si="11"/>
        <v>1.5264685815381961E-7</v>
      </c>
      <c r="AD23" s="72">
        <f t="shared" si="12"/>
        <v>2.786468581538196E-7</v>
      </c>
      <c r="AE23" s="72">
        <f t="shared" si="13"/>
        <v>3.199344947760627E-9</v>
      </c>
      <c r="AF23" s="72">
        <f t="shared" si="25"/>
        <v>2.4E-9</v>
      </c>
      <c r="AG23" s="72">
        <f t="shared" si="26"/>
        <v>9.3519810531645198E-9</v>
      </c>
      <c r="AH23" s="84">
        <f t="shared" si="14"/>
        <v>5.758741900518833E-10</v>
      </c>
      <c r="AI23" s="84">
        <f t="shared" si="27"/>
        <v>0.57587419005188334</v>
      </c>
      <c r="AJ23" s="77"/>
      <c r="AK23" s="72">
        <f t="shared" si="28"/>
        <v>9.9418870784236441E-10</v>
      </c>
      <c r="AL23" s="84">
        <f t="shared" si="29"/>
        <v>5.0000000000000001E-9</v>
      </c>
      <c r="AM23" s="84">
        <f t="shared" si="30"/>
        <v>5.1559093174739328E-10</v>
      </c>
      <c r="AN23" s="81"/>
      <c r="AO23" s="72">
        <f t="shared" si="31"/>
        <v>5.1523901144999276E-9</v>
      </c>
      <c r="AP23" s="72">
        <f t="shared" si="32"/>
        <v>8.0076011909949043E-16</v>
      </c>
      <c r="AQ23" s="72">
        <f t="shared" si="33"/>
        <v>-4.0871478446451152E-9</v>
      </c>
      <c r="AR23" s="72">
        <f t="shared" si="34"/>
        <v>-8.7871706295200186E-14</v>
      </c>
      <c r="AS23" s="72">
        <f t="shared" si="35"/>
        <v>1.0651551989086361E-9</v>
      </c>
      <c r="AT23" s="77"/>
      <c r="AU23" s="71">
        <v>-9.500005407708878</v>
      </c>
      <c r="AV23" s="71">
        <v>0.57586297070268699</v>
      </c>
    </row>
    <row r="24" spans="1:48" x14ac:dyDescent="0.35">
      <c r="A24" t="s">
        <v>51</v>
      </c>
      <c r="B24" s="51">
        <f>IF(B15&gt;7,B31,0)</f>
        <v>0</v>
      </c>
      <c r="C24" s="4" t="s">
        <v>53</v>
      </c>
      <c r="E24" s="71">
        <v>95</v>
      </c>
      <c r="F24" s="71">
        <f t="shared" si="15"/>
        <v>368.15</v>
      </c>
      <c r="G24" s="71">
        <f t="shared" si="16"/>
        <v>961.90040732662351</v>
      </c>
      <c r="H24" s="83">
        <f t="shared" si="17"/>
        <v>0.99431565741728645</v>
      </c>
      <c r="I24" s="83">
        <f t="shared" si="18"/>
        <v>994.3156574172865</v>
      </c>
      <c r="J24" s="72">
        <f t="shared" si="0"/>
        <v>1.0685180152667675</v>
      </c>
      <c r="K24" s="82">
        <f t="shared" si="1"/>
        <v>44.97060903784125</v>
      </c>
      <c r="L24" s="72">
        <f t="shared" si="19"/>
        <v>3.2991209616033802E-4</v>
      </c>
      <c r="M24" s="72">
        <f t="shared" si="2"/>
        <v>20.205146210873146</v>
      </c>
      <c r="N24" s="83">
        <f t="shared" si="20"/>
        <v>12.351917515046324</v>
      </c>
      <c r="O24" s="71">
        <f t="shared" si="21"/>
        <v>4.4471572369432338E-13</v>
      </c>
      <c r="P24" s="83">
        <f t="shared" si="22"/>
        <v>7.5</v>
      </c>
      <c r="Q24" s="72">
        <f t="shared" si="23"/>
        <v>3.1622776601683699E-8</v>
      </c>
      <c r="R24" s="72">
        <f t="shared" si="3"/>
        <v>1.0000000316227766</v>
      </c>
      <c r="S24" s="71">
        <f t="shared" si="4"/>
        <v>2.5585703905647486E-10</v>
      </c>
      <c r="T24" s="77"/>
      <c r="U24" s="72">
        <f t="shared" si="5"/>
        <v>9.7679681169551308E-2</v>
      </c>
      <c r="V24" s="72">
        <f t="shared" si="6"/>
        <v>-4.9213691836598412E-2</v>
      </c>
      <c r="W24" s="84">
        <f t="shared" si="7"/>
        <v>-9.500000160336473E-3</v>
      </c>
      <c r="X24" s="85">
        <f t="shared" si="24"/>
        <v>-9.500000160336473</v>
      </c>
      <c r="Y24" s="77"/>
      <c r="Z24" s="72">
        <f t="shared" si="8"/>
        <v>3.7538229556304008E-9</v>
      </c>
      <c r="AA24" s="72">
        <f t="shared" si="9"/>
        <v>1.2857019764624216E-7</v>
      </c>
      <c r="AB24" s="72">
        <f t="shared" si="10"/>
        <v>4.3957019764624218E-7</v>
      </c>
      <c r="AC24" s="72">
        <f t="shared" si="11"/>
        <v>1.5557019764624218E-7</v>
      </c>
      <c r="AD24" s="72">
        <f t="shared" si="12"/>
        <v>2.8157019764624217E-7</v>
      </c>
      <c r="AE24" s="72">
        <f t="shared" si="13"/>
        <v>3.2915549203985495E-9</v>
      </c>
      <c r="AF24" s="72">
        <f t="shared" si="25"/>
        <v>2.4E-9</v>
      </c>
      <c r="AG24" s="72">
        <f t="shared" si="26"/>
        <v>9.4453778760289503E-9</v>
      </c>
      <c r="AH24" s="84">
        <f t="shared" si="14"/>
        <v>5.6711795348305053E-10</v>
      </c>
      <c r="AI24" s="84">
        <f t="shared" si="27"/>
        <v>0.56711795348305061</v>
      </c>
      <c r="AJ24" s="77"/>
      <c r="AK24" s="72">
        <f t="shared" si="28"/>
        <v>1.0093101393464735E-9</v>
      </c>
      <c r="AL24" s="84">
        <f t="shared" si="29"/>
        <v>5.0000000000000001E-9</v>
      </c>
      <c r="AM24" s="84">
        <f t="shared" si="30"/>
        <v>5.1171407811294973E-10</v>
      </c>
      <c r="AN24" s="81"/>
      <c r="AO24" s="72">
        <f t="shared" si="31"/>
        <v>5.2571032100347598E-9</v>
      </c>
      <c r="AP24" s="72">
        <f t="shared" si="32"/>
        <v>8.0380263010511472E-16</v>
      </c>
      <c r="AQ24" s="72">
        <f t="shared" si="33"/>
        <v>-4.143006971401347E-9</v>
      </c>
      <c r="AR24" s="72">
        <f t="shared" si="34"/>
        <v>-1.0545287662485031E-13</v>
      </c>
      <c r="AS24" s="72">
        <f t="shared" si="35"/>
        <v>1.1139915895594176E-9</v>
      </c>
      <c r="AT24" s="77"/>
      <c r="AU24" s="71">
        <v>-9.5000051292381222</v>
      </c>
      <c r="AV24" s="71">
        <v>0.56710313365422127</v>
      </c>
    </row>
    <row r="25" spans="1:48" x14ac:dyDescent="0.35">
      <c r="A25" t="s">
        <v>19</v>
      </c>
      <c r="B25" s="33">
        <f>Control!B18</f>
        <v>7.5</v>
      </c>
      <c r="C25" s="4"/>
      <c r="E25" s="71">
        <v>100</v>
      </c>
      <c r="F25" s="71">
        <f t="shared" si="15"/>
        <v>373.15</v>
      </c>
      <c r="G25" s="71">
        <f t="shared" si="16"/>
        <v>958.36365705165758</v>
      </c>
      <c r="H25" s="83">
        <f t="shared" si="17"/>
        <v>0.99087459588587101</v>
      </c>
      <c r="I25" s="83">
        <f t="shared" si="18"/>
        <v>990.87459588587103</v>
      </c>
      <c r="J25" s="72">
        <f t="shared" si="0"/>
        <v>1.0724612797640114</v>
      </c>
      <c r="K25" s="82">
        <f t="shared" si="1"/>
        <v>43.684858889466263</v>
      </c>
      <c r="L25" s="72">
        <f t="shared" si="19"/>
        <v>3.1347689526604991E-4</v>
      </c>
      <c r="M25" s="72">
        <f t="shared" si="2"/>
        <v>21.001153212520592</v>
      </c>
      <c r="N25" s="83">
        <f t="shared" si="20"/>
        <v>12.279000175809061</v>
      </c>
      <c r="O25" s="71">
        <f t="shared" si="21"/>
        <v>5.2601705345089748E-13</v>
      </c>
      <c r="P25" s="83">
        <f t="shared" si="22"/>
        <v>7.5</v>
      </c>
      <c r="Q25" s="72">
        <f t="shared" si="23"/>
        <v>3.1622776601683699E-8</v>
      </c>
      <c r="R25" s="72">
        <f t="shared" si="3"/>
        <v>1.0000000316227766</v>
      </c>
      <c r="S25" s="71">
        <f t="shared" si="4"/>
        <v>2.5387958175454587E-10</v>
      </c>
      <c r="T25" s="77"/>
      <c r="U25" s="72">
        <f t="shared" si="5"/>
        <v>9.6924987676936025E-2</v>
      </c>
      <c r="V25" s="72">
        <f t="shared" si="6"/>
        <v>-5.0048414562175035E-2</v>
      </c>
      <c r="W25" s="84">
        <f t="shared" si="7"/>
        <v>-9.500000140033325E-3</v>
      </c>
      <c r="X25" s="85">
        <f t="shared" si="24"/>
        <v>-9.5000001400333254</v>
      </c>
      <c r="Y25" s="77"/>
      <c r="Z25" s="72">
        <f t="shared" si="8"/>
        <v>3.7550375398369504E-9</v>
      </c>
      <c r="AA25" s="72">
        <f t="shared" si="9"/>
        <v>1.3134385176279264E-7</v>
      </c>
      <c r="AB25" s="72">
        <f t="shared" si="10"/>
        <v>4.4234385176279263E-7</v>
      </c>
      <c r="AC25" s="72">
        <f t="shared" si="11"/>
        <v>1.5834385176279263E-7</v>
      </c>
      <c r="AD25" s="72">
        <f t="shared" si="12"/>
        <v>2.8434385176279262E-7</v>
      </c>
      <c r="AE25" s="72">
        <f t="shared" si="13"/>
        <v>3.3788908678899293E-9</v>
      </c>
      <c r="AF25" s="72">
        <f t="shared" si="25"/>
        <v>2.4E-9</v>
      </c>
      <c r="AG25" s="72">
        <f t="shared" si="26"/>
        <v>9.5339284077268793E-9</v>
      </c>
      <c r="AH25" s="84">
        <f t="shared" si="14"/>
        <v>5.578140774327625E-10</v>
      </c>
      <c r="AI25" s="84">
        <f t="shared" si="27"/>
        <v>0.55781407743276246</v>
      </c>
      <c r="AJ25" s="77"/>
      <c r="AK25" s="72">
        <f t="shared" si="28"/>
        <v>1.0250943198275935E-9</v>
      </c>
      <c r="AL25" s="84">
        <f t="shared" si="29"/>
        <v>5.0000000000000001E-9</v>
      </c>
      <c r="AM25" s="84">
        <f t="shared" si="30"/>
        <v>5.0775916350909175E-10</v>
      </c>
      <c r="AN25" s="81"/>
      <c r="AO25" s="72">
        <f t="shared" si="31"/>
        <v>5.3545804154937522E-9</v>
      </c>
      <c r="AP25" s="72">
        <f t="shared" si="32"/>
        <v>8.0647458053215574E-16</v>
      </c>
      <c r="AQ25" s="72">
        <f t="shared" si="33"/>
        <v>-4.1935048011850094E-9</v>
      </c>
      <c r="AR25" s="72">
        <f t="shared" si="34"/>
        <v>-1.2526207621214408E-13</v>
      </c>
      <c r="AS25" s="72">
        <f t="shared" si="35"/>
        <v>1.1609511587071109E-9</v>
      </c>
      <c r="AT25" s="77"/>
      <c r="AU25" s="71">
        <v>-9.5000048447924694</v>
      </c>
      <c r="AV25" s="71">
        <v>0.55779525998753965</v>
      </c>
    </row>
    <row r="26" spans="1:48" x14ac:dyDescent="0.35">
      <c r="A26" t="s">
        <v>15</v>
      </c>
      <c r="B26" s="6">
        <f>10^-B25</f>
        <v>3.1622776601683699E-8</v>
      </c>
      <c r="C26" s="4"/>
      <c r="E26" s="71">
        <v>105</v>
      </c>
      <c r="F26" s="71">
        <f t="shared" si="15"/>
        <v>378.15</v>
      </c>
      <c r="G26" s="71">
        <f t="shared" si="16"/>
        <v>954.71201059337352</v>
      </c>
      <c r="H26" s="83">
        <f t="shared" si="17"/>
        <v>0.98732174675120832</v>
      </c>
      <c r="I26" s="83">
        <f t="shared" si="18"/>
        <v>987.32174675120837</v>
      </c>
      <c r="J26" s="72">
        <f t="shared" si="0"/>
        <v>1.0765633015155374</v>
      </c>
      <c r="K26" s="82">
        <f t="shared" si="1"/>
        <v>42.424887516091239</v>
      </c>
      <c r="L26" s="72">
        <f t="shared" si="19"/>
        <v>2.9871319258822107E-4</v>
      </c>
      <c r="M26" s="72">
        <f t="shared" si="2"/>
        <v>21.789660214168038</v>
      </c>
      <c r="N26" s="83">
        <f t="shared" si="20"/>
        <v>12.209793087283666</v>
      </c>
      <c r="O26" s="71">
        <f t="shared" si="21"/>
        <v>6.1688883875997191E-13</v>
      </c>
      <c r="P26" s="83">
        <f t="shared" si="22"/>
        <v>7.5</v>
      </c>
      <c r="Q26" s="72">
        <f t="shared" si="23"/>
        <v>3.1622776601683699E-8</v>
      </c>
      <c r="R26" s="72">
        <f t="shared" si="3"/>
        <v>1.0000000316227766</v>
      </c>
      <c r="S26" s="71">
        <f t="shared" si="4"/>
        <v>2.5186219544936003E-10</v>
      </c>
      <c r="T26" s="77"/>
      <c r="U26" s="72">
        <f t="shared" si="5"/>
        <v>9.6155075450959013E-2</v>
      </c>
      <c r="V26" s="72">
        <f t="shared" si="6"/>
        <v>-5.0892351724602478E-2</v>
      </c>
      <c r="W26" s="84">
        <f t="shared" si="7"/>
        <v>-9.5000001216140658E-3</v>
      </c>
      <c r="X26" s="85">
        <f t="shared" si="24"/>
        <v>-9.5000001216140664</v>
      </c>
      <c r="Y26" s="77"/>
      <c r="Z26" s="72">
        <f t="shared" si="8"/>
        <v>3.7562806829461331E-9</v>
      </c>
      <c r="AA26" s="72">
        <f t="shared" si="9"/>
        <v>1.3394733489058354E-7</v>
      </c>
      <c r="AB26" s="72">
        <f t="shared" si="10"/>
        <v>4.4494733489058356E-7</v>
      </c>
      <c r="AC26" s="72">
        <f t="shared" si="11"/>
        <v>1.6094733489058356E-7</v>
      </c>
      <c r="AD26" s="72">
        <f t="shared" si="12"/>
        <v>2.8694733489058355E-7</v>
      </c>
      <c r="AE26" s="72">
        <f t="shared" si="13"/>
        <v>3.4607080081182156E-9</v>
      </c>
      <c r="AF26" s="72">
        <f t="shared" si="25"/>
        <v>2.4E-9</v>
      </c>
      <c r="AG26" s="72">
        <f t="shared" si="26"/>
        <v>9.6169886910643491E-9</v>
      </c>
      <c r="AH26" s="84">
        <f t="shared" si="14"/>
        <v>5.479301641512033E-10</v>
      </c>
      <c r="AI26" s="84">
        <f t="shared" si="27"/>
        <v>0.54793016415120332</v>
      </c>
      <c r="AJ26" s="77"/>
      <c r="AK26" s="72">
        <f t="shared" si="28"/>
        <v>1.0415818558072827E-9</v>
      </c>
      <c r="AL26" s="84">
        <f t="shared" si="29"/>
        <v>5.0000000000000001E-9</v>
      </c>
      <c r="AM26" s="84">
        <f t="shared" si="30"/>
        <v>5.0372439089872006E-10</v>
      </c>
      <c r="AN26" s="81"/>
      <c r="AO26" s="72">
        <f t="shared" si="31"/>
        <v>5.4439985811220826E-9</v>
      </c>
      <c r="AP26" s="72">
        <f t="shared" si="32"/>
        <v>8.0873739929744154E-16</v>
      </c>
      <c r="AQ26" s="72">
        <f t="shared" si="33"/>
        <v>-4.2381219054161086E-9</v>
      </c>
      <c r="AR26" s="72">
        <f t="shared" si="34"/>
        <v>-1.4740043430418079E-13</v>
      </c>
      <c r="AS26" s="72">
        <f t="shared" si="35"/>
        <v>1.2057300840090689E-9</v>
      </c>
      <c r="AT26" s="77"/>
      <c r="AU26" s="71">
        <v>-9.50000455629241</v>
      </c>
      <c r="AV26" s="71">
        <v>0.54790699767157436</v>
      </c>
    </row>
    <row r="27" spans="1:48" x14ac:dyDescent="0.35">
      <c r="A27" t="s">
        <v>18</v>
      </c>
      <c r="B27" s="31">
        <f>Control!B20</f>
        <v>7.7</v>
      </c>
      <c r="C27" s="4"/>
      <c r="E27" s="71">
        <v>110</v>
      </c>
      <c r="F27" s="71">
        <f t="shared" si="15"/>
        <v>383.15</v>
      </c>
      <c r="G27" s="71">
        <f t="shared" si="16"/>
        <v>950.94714998784377</v>
      </c>
      <c r="H27" s="83">
        <f t="shared" si="17"/>
        <v>0.98365874654095042</v>
      </c>
      <c r="I27" s="83">
        <f t="shared" si="18"/>
        <v>983.65874654095046</v>
      </c>
      <c r="J27" s="72">
        <f t="shared" si="0"/>
        <v>1.0808254845015073</v>
      </c>
      <c r="K27" s="82">
        <f t="shared" si="1"/>
        <v>41.189637417716263</v>
      </c>
      <c r="L27" s="72">
        <f t="shared" si="19"/>
        <v>2.8544162037058747E-4</v>
      </c>
      <c r="M27" s="72">
        <f t="shared" si="2"/>
        <v>22.57066721581549</v>
      </c>
      <c r="N27" s="83">
        <f t="shared" si="20"/>
        <v>12.143953780229984</v>
      </c>
      <c r="O27" s="71">
        <f t="shared" si="21"/>
        <v>7.1787068656049998E-13</v>
      </c>
      <c r="P27" s="83">
        <f t="shared" si="22"/>
        <v>7.5</v>
      </c>
      <c r="Q27" s="72">
        <f t="shared" si="23"/>
        <v>3.1622776601683699E-8</v>
      </c>
      <c r="R27" s="72">
        <f t="shared" si="3"/>
        <v>1.0000000316227766</v>
      </c>
      <c r="S27" s="71">
        <f t="shared" si="4"/>
        <v>2.4980376634688912E-10</v>
      </c>
      <c r="T27" s="77"/>
      <c r="U27" s="72">
        <f t="shared" si="5"/>
        <v>9.536952006650315E-2</v>
      </c>
      <c r="V27" s="72">
        <f t="shared" si="6"/>
        <v>-5.17458954250496E-2</v>
      </c>
      <c r="W27" s="84">
        <f t="shared" si="7"/>
        <v>-9.5000001049936559E-3</v>
      </c>
      <c r="X27" s="85">
        <f t="shared" si="24"/>
        <v>-9.5000001049936564</v>
      </c>
      <c r="Y27" s="77"/>
      <c r="Z27" s="72">
        <f t="shared" si="8"/>
        <v>3.757553361082615E-9</v>
      </c>
      <c r="AA27" s="72">
        <f t="shared" si="9"/>
        <v>1.3636143023318238E-7</v>
      </c>
      <c r="AB27" s="72">
        <f t="shared" si="10"/>
        <v>4.4736143023318235E-7</v>
      </c>
      <c r="AC27" s="72">
        <f t="shared" si="11"/>
        <v>1.6336143023318237E-7</v>
      </c>
      <c r="AD27" s="72">
        <f t="shared" si="12"/>
        <v>2.8936143023318234E-7</v>
      </c>
      <c r="AE27" s="72">
        <f t="shared" si="13"/>
        <v>3.5364032156876417E-9</v>
      </c>
      <c r="AF27" s="72">
        <f t="shared" si="25"/>
        <v>2.4E-9</v>
      </c>
      <c r="AG27" s="72">
        <f t="shared" si="26"/>
        <v>9.6939565767702571E-9</v>
      </c>
      <c r="AH27" s="84">
        <f t="shared" si="14"/>
        <v>5.3744946381139433E-10</v>
      </c>
      <c r="AI27" s="84">
        <f t="shared" si="27"/>
        <v>0.53744946381139436</v>
      </c>
      <c r="AJ27" s="77"/>
      <c r="AK27" s="72">
        <f t="shared" si="28"/>
        <v>1.0588182330331781E-9</v>
      </c>
      <c r="AL27" s="84">
        <f t="shared" si="29"/>
        <v>5.0000000000000001E-9</v>
      </c>
      <c r="AM27" s="84">
        <f t="shared" si="30"/>
        <v>4.9960753269377824E-10</v>
      </c>
      <c r="AN27" s="81"/>
      <c r="AO27" s="72">
        <f t="shared" si="31"/>
        <v>5.5245958027342348E-9</v>
      </c>
      <c r="AP27" s="72">
        <f t="shared" si="32"/>
        <v>8.1055500273390832E-16</v>
      </c>
      <c r="AQ27" s="72">
        <f t="shared" si="33"/>
        <v>-4.2763838275046202E-9</v>
      </c>
      <c r="AR27" s="72">
        <f t="shared" si="34"/>
        <v>-1.7195468525834965E-13</v>
      </c>
      <c r="AS27" s="72">
        <f t="shared" si="35"/>
        <v>1.248040831099359E-9</v>
      </c>
      <c r="AT27" s="77"/>
      <c r="AU27" s="71">
        <v>-9.5000042656400172</v>
      </c>
      <c r="AV27" s="71">
        <v>0.53742165669810482</v>
      </c>
    </row>
    <row r="28" spans="1:48" x14ac:dyDescent="0.35">
      <c r="A28" t="s">
        <v>17</v>
      </c>
      <c r="B28" s="2">
        <f>10^-B27</f>
        <v>1.9952623149688773E-8</v>
      </c>
      <c r="E28" s="71">
        <v>115</v>
      </c>
      <c r="F28" s="71">
        <f t="shared" si="15"/>
        <v>388.15</v>
      </c>
      <c r="G28" s="71">
        <f t="shared" si="16"/>
        <v>947.07035142167331</v>
      </c>
      <c r="H28" s="83">
        <f t="shared" si="17"/>
        <v>0.97988683691376466</v>
      </c>
      <c r="I28" s="83">
        <f t="shared" si="18"/>
        <v>979.88683691376468</v>
      </c>
      <c r="J28" s="72">
        <f t="shared" si="0"/>
        <v>1.0852498049147754</v>
      </c>
      <c r="K28" s="82">
        <f t="shared" si="1"/>
        <v>39.978051094341261</v>
      </c>
      <c r="L28" s="72">
        <f t="shared" si="19"/>
        <v>2.7350495982023625E-4</v>
      </c>
      <c r="M28" s="72">
        <f t="shared" si="2"/>
        <v>23.344174217462928</v>
      </c>
      <c r="N28" s="83">
        <f t="shared" si="20"/>
        <v>12.081182455820231</v>
      </c>
      <c r="O28" s="71">
        <f t="shared" si="21"/>
        <v>8.2950220379142061E-13</v>
      </c>
      <c r="P28" s="83">
        <f t="shared" si="22"/>
        <v>7.5</v>
      </c>
      <c r="Q28" s="72">
        <f t="shared" si="23"/>
        <v>3.1622776601683699E-8</v>
      </c>
      <c r="R28" s="72">
        <f t="shared" si="3"/>
        <v>1.0000000316227766</v>
      </c>
      <c r="S28" s="71">
        <f t="shared" si="4"/>
        <v>2.4770295478591709E-10</v>
      </c>
      <c r="T28" s="77"/>
      <c r="U28" s="72">
        <f t="shared" si="5"/>
        <v>9.4567810778745848E-2</v>
      </c>
      <c r="V28" s="72">
        <f t="shared" si="6"/>
        <v>-5.2609477128868896E-2</v>
      </c>
      <c r="W28" s="84">
        <f t="shared" si="7"/>
        <v>-9.5000000900796588E-3</v>
      </c>
      <c r="X28" s="85">
        <f t="shared" si="24"/>
        <v>-9.5000000900796593</v>
      </c>
      <c r="Y28" s="77"/>
      <c r="Z28" s="72">
        <f t="shared" si="8"/>
        <v>3.7588567114997219E-9</v>
      </c>
      <c r="AA28" s="72">
        <f t="shared" si="9"/>
        <v>1.3856860835827914E-7</v>
      </c>
      <c r="AB28" s="72">
        <f t="shared" si="10"/>
        <v>4.4956860835827916E-7</v>
      </c>
      <c r="AC28" s="72">
        <f t="shared" si="11"/>
        <v>1.6556860835827916E-7</v>
      </c>
      <c r="AD28" s="72">
        <f t="shared" si="12"/>
        <v>2.9156860835827915E-7</v>
      </c>
      <c r="AE28" s="72">
        <f t="shared" si="13"/>
        <v>3.6054281010771081E-9</v>
      </c>
      <c r="AF28" s="72">
        <f t="shared" si="25"/>
        <v>2.4E-9</v>
      </c>
      <c r="AG28" s="72">
        <f t="shared" si="26"/>
        <v>9.76428481257683E-9</v>
      </c>
      <c r="AH28" s="84">
        <f t="shared" si="14"/>
        <v>5.2636995998864957E-10</v>
      </c>
      <c r="AI28" s="84">
        <f t="shared" si="27"/>
        <v>0.52636995998864966</v>
      </c>
      <c r="AJ28" s="77"/>
      <c r="AK28" s="72">
        <f t="shared" si="28"/>
        <v>1.0768544349200903E-9</v>
      </c>
      <c r="AL28" s="84">
        <f t="shared" si="29"/>
        <v>5.0000000000000001E-9</v>
      </c>
      <c r="AM28" s="84">
        <f t="shared" si="30"/>
        <v>4.9540590957183418E-10</v>
      </c>
      <c r="AN28" s="81"/>
      <c r="AO28" s="72">
        <f t="shared" si="31"/>
        <v>5.5956880314019018E-9</v>
      </c>
      <c r="AP28" s="72">
        <f t="shared" si="32"/>
        <v>8.1189451606857179E-16</v>
      </c>
      <c r="AQ28" s="72">
        <f t="shared" si="33"/>
        <v>-4.3078714951058577E-9</v>
      </c>
      <c r="AR28" s="72">
        <f t="shared" si="34"/>
        <v>-1.9899540553867363E-13</v>
      </c>
      <c r="AS28" s="72">
        <f t="shared" si="35"/>
        <v>1.2876183527850212E-9</v>
      </c>
      <c r="AT28" s="77"/>
      <c r="AU28" s="71">
        <v>-9.5000039747034695</v>
      </c>
      <c r="AV28" s="71">
        <v>0.52633729343399815</v>
      </c>
    </row>
    <row r="29" spans="1:48" x14ac:dyDescent="0.35">
      <c r="A29" s="34" t="s">
        <v>23</v>
      </c>
      <c r="B29" s="30">
        <f>Control!B22</f>
        <v>5.0000000000000001E-9</v>
      </c>
      <c r="C29" s="6" t="s">
        <v>9</v>
      </c>
      <c r="E29" s="71">
        <v>120</v>
      </c>
      <c r="F29" s="71">
        <f t="shared" si="15"/>
        <v>393.15</v>
      </c>
      <c r="G29" s="71">
        <f t="shared" si="16"/>
        <v>943.08250706697231</v>
      </c>
      <c r="H29" s="83">
        <f t="shared" si="17"/>
        <v>0.97600688590354912</v>
      </c>
      <c r="I29" s="83">
        <f t="shared" si="18"/>
        <v>976.00688590354912</v>
      </c>
      <c r="J29" s="72">
        <f t="shared" si="0"/>
        <v>1.0898388066993907</v>
      </c>
      <c r="K29" s="82">
        <f t="shared" si="1"/>
        <v>38.789071045966288</v>
      </c>
      <c r="L29" s="72">
        <f t="shared" si="19"/>
        <v>2.6276467838086875E-4</v>
      </c>
      <c r="M29" s="72">
        <f t="shared" si="2"/>
        <v>24.110181219110387</v>
      </c>
      <c r="N29" s="83">
        <f t="shared" si="20"/>
        <v>12.021215727882712</v>
      </c>
      <c r="O29" s="71">
        <f t="shared" si="21"/>
        <v>9.523229973916958E-13</v>
      </c>
      <c r="P29" s="83">
        <f t="shared" si="22"/>
        <v>7.5</v>
      </c>
      <c r="Q29" s="72">
        <f t="shared" si="23"/>
        <v>3.1622776601683699E-8</v>
      </c>
      <c r="R29" s="72">
        <f t="shared" si="3"/>
        <v>1.0000000316227766</v>
      </c>
      <c r="S29" s="71">
        <f t="shared" si="4"/>
        <v>2.4555818348938489E-10</v>
      </c>
      <c r="T29" s="77"/>
      <c r="U29" s="72">
        <f t="shared" si="5"/>
        <v>9.3749346031970091E-2</v>
      </c>
      <c r="V29" s="72">
        <f t="shared" si="6"/>
        <v>-5.3483572097532579E-2</v>
      </c>
      <c r="W29" s="84">
        <f t="shared" si="7"/>
        <v>-9.500000076774099E-3</v>
      </c>
      <c r="X29" s="85">
        <f t="shared" si="24"/>
        <v>-9.5000000767740982</v>
      </c>
      <c r="Y29" s="77"/>
      <c r="Z29" s="72">
        <f t="shared" si="8"/>
        <v>3.7601920436630234E-9</v>
      </c>
      <c r="AA29" s="72">
        <f t="shared" si="9"/>
        <v>1.4055337265214885E-7</v>
      </c>
      <c r="AB29" s="72">
        <f t="shared" si="10"/>
        <v>4.5155337265214887E-7</v>
      </c>
      <c r="AC29" s="72">
        <f t="shared" si="11"/>
        <v>1.6755337265214887E-7</v>
      </c>
      <c r="AD29" s="72">
        <f t="shared" si="12"/>
        <v>2.9355337265214886E-7</v>
      </c>
      <c r="AE29" s="72">
        <f t="shared" si="13"/>
        <v>3.6672997437849883E-9</v>
      </c>
      <c r="AF29" s="72">
        <f t="shared" si="25"/>
        <v>2.4E-9</v>
      </c>
      <c r="AG29" s="72">
        <f t="shared" si="26"/>
        <v>9.8274917874480112E-9</v>
      </c>
      <c r="AH29" s="84">
        <f t="shared" si="14"/>
        <v>5.1470314597712823E-10</v>
      </c>
      <c r="AI29" s="84">
        <f t="shared" si="27"/>
        <v>0.51470314597712818</v>
      </c>
      <c r="AJ29" s="77"/>
      <c r="AK29" s="72">
        <f t="shared" si="28"/>
        <v>1.0957476586120292E-9</v>
      </c>
      <c r="AL29" s="84">
        <f t="shared" si="29"/>
        <v>5.0000000000000001E-9</v>
      </c>
      <c r="AM29" s="84">
        <f t="shared" si="30"/>
        <v>4.9111636697876977E-10</v>
      </c>
      <c r="AN29" s="81"/>
      <c r="AO29" s="72">
        <f t="shared" si="31"/>
        <v>5.6566823934002132E-9</v>
      </c>
      <c r="AP29" s="72">
        <f t="shared" si="32"/>
        <v>8.1272684517984014E-16</v>
      </c>
      <c r="AQ29" s="72">
        <f t="shared" si="33"/>
        <v>-4.3322293257741627E-9</v>
      </c>
      <c r="AR29" s="72">
        <f t="shared" si="34"/>
        <v>-2.2857546411431675E-13</v>
      </c>
      <c r="AS29" s="72">
        <f t="shared" si="35"/>
        <v>1.324225304888781E-9</v>
      </c>
      <c r="AT29" s="77"/>
      <c r="AU29" s="71">
        <v>-9.5000036853028273</v>
      </c>
      <c r="AV29" s="71">
        <v>0.51466548545562796</v>
      </c>
    </row>
    <row r="30" spans="1:48" x14ac:dyDescent="0.35">
      <c r="A30" t="s">
        <v>26</v>
      </c>
      <c r="B30" s="30">
        <f>Control!B23</f>
        <v>2.4E-9</v>
      </c>
      <c r="C30" s="2" t="s">
        <v>8</v>
      </c>
      <c r="E30" s="71">
        <v>125</v>
      </c>
      <c r="F30" s="71">
        <f t="shared" si="15"/>
        <v>398.15</v>
      </c>
      <c r="G30" s="71">
        <f t="shared" si="16"/>
        <v>938.98414336096175</v>
      </c>
      <c r="H30" s="83">
        <f t="shared" si="17"/>
        <v>0.97201940570447343</v>
      </c>
      <c r="I30" s="83">
        <f t="shared" si="18"/>
        <v>972.01940570447346</v>
      </c>
      <c r="J30" s="72">
        <f t="shared" si="0"/>
        <v>1.0945956024795529</v>
      </c>
      <c r="K30" s="82">
        <f t="shared" si="1"/>
        <v>37.621639772591301</v>
      </c>
      <c r="L30" s="72">
        <f t="shared" si="19"/>
        <v>2.5309817212347096E-4</v>
      </c>
      <c r="M30" s="72">
        <f t="shared" si="2"/>
        <v>24.868688220757825</v>
      </c>
      <c r="N30" s="83">
        <f t="shared" si="20"/>
        <v>11.963821329959377</v>
      </c>
      <c r="O30" s="71">
        <f t="shared" si="21"/>
        <v>1.0868726743002748E-12</v>
      </c>
      <c r="P30" s="83">
        <f t="shared" si="22"/>
        <v>7.5</v>
      </c>
      <c r="Q30" s="72">
        <f t="shared" si="23"/>
        <v>3.1622776601683699E-8</v>
      </c>
      <c r="R30" s="72">
        <f t="shared" si="3"/>
        <v>1.0000000316227766</v>
      </c>
      <c r="S30" s="71">
        <f t="shared" si="4"/>
        <v>2.4336762450294699E-10</v>
      </c>
      <c r="T30" s="77"/>
      <c r="U30" s="72">
        <f t="shared" si="5"/>
        <v>9.2913428466437617E-2</v>
      </c>
      <c r="V30" s="72">
        <f t="shared" si="6"/>
        <v>-5.4368704359172911E-2</v>
      </c>
      <c r="W30" s="84">
        <f t="shared" si="7"/>
        <v>-9.5000000649751309E-3</v>
      </c>
      <c r="X30" s="85">
        <f t="shared" si="24"/>
        <v>-9.5000000649751311</v>
      </c>
      <c r="Y30" s="77"/>
      <c r="Z30" s="72">
        <f t="shared" si="8"/>
        <v>3.7615608516554984E-9</v>
      </c>
      <c r="AA30" s="72">
        <f t="shared" si="9"/>
        <v>1.423025190247255E-7</v>
      </c>
      <c r="AB30" s="72">
        <f t="shared" si="10"/>
        <v>4.5330251902472552E-7</v>
      </c>
      <c r="AC30" s="72">
        <f t="shared" si="11"/>
        <v>1.6930251902472549E-7</v>
      </c>
      <c r="AD30" s="72">
        <f t="shared" si="12"/>
        <v>2.9530251902472551E-7</v>
      </c>
      <c r="AE30" s="72">
        <f t="shared" si="13"/>
        <v>3.7216086893261362E-9</v>
      </c>
      <c r="AF30" s="72">
        <f t="shared" si="25"/>
        <v>2.4E-9</v>
      </c>
      <c r="AG30" s="72">
        <f t="shared" si="26"/>
        <v>9.8831695409816354E-9</v>
      </c>
      <c r="AH30" s="84">
        <f t="shared" si="14"/>
        <v>5.0247252915519302E-10</v>
      </c>
      <c r="AI30" s="84">
        <f t="shared" si="27"/>
        <v>0.50247252915519303</v>
      </c>
      <c r="AJ30" s="77"/>
      <c r="AK30" s="72">
        <f t="shared" si="28"/>
        <v>1.1155621468332028E-9</v>
      </c>
      <c r="AL30" s="84">
        <f t="shared" si="29"/>
        <v>5.0000000000000001E-9</v>
      </c>
      <c r="AM30" s="84">
        <f t="shared" si="30"/>
        <v>4.8673524900589398E-10</v>
      </c>
      <c r="AN30" s="81"/>
      <c r="AO30" s="72">
        <f t="shared" si="31"/>
        <v>5.7070867533995359E-9</v>
      </c>
      <c r="AP30" s="72">
        <f t="shared" si="32"/>
        <v>8.1302707736605571E-16</v>
      </c>
      <c r="AQ30" s="72">
        <f t="shared" si="33"/>
        <v>-4.349170755671087E-9</v>
      </c>
      <c r="AR30" s="72">
        <f t="shared" si="34"/>
        <v>-2.6072871297712757E-13</v>
      </c>
      <c r="AS30" s="72">
        <f t="shared" si="35"/>
        <v>1.3576560820425492E-9</v>
      </c>
      <c r="AT30" s="77"/>
      <c r="AU30" s="71">
        <v>-9.5000033991969772</v>
      </c>
      <c r="AV30" s="71">
        <v>0.50242983415382947</v>
      </c>
    </row>
    <row r="31" spans="1:48" x14ac:dyDescent="0.35">
      <c r="A31" s="69" t="s">
        <v>141</v>
      </c>
      <c r="B31" s="4" t="str">
        <f>Control!B24</f>
        <v>on</v>
      </c>
      <c r="E31" s="71">
        <v>130</v>
      </c>
      <c r="F31" s="71">
        <f t="shared" si="15"/>
        <v>403.15</v>
      </c>
      <c r="G31" s="71">
        <f t="shared" si="16"/>
        <v>934.77543638776638</v>
      </c>
      <c r="H31" s="83">
        <f t="shared" si="17"/>
        <v>0.96792456763660861</v>
      </c>
      <c r="I31" s="83">
        <f t="shared" si="18"/>
        <v>967.92456763660857</v>
      </c>
      <c r="J31" s="72">
        <f t="shared" si="0"/>
        <v>1.0995238793315705</v>
      </c>
      <c r="K31" s="82">
        <f t="shared" si="1"/>
        <v>36.474699774216297</v>
      </c>
      <c r="L31" s="72">
        <f t="shared" si="19"/>
        <v>2.443965407658618E-4</v>
      </c>
      <c r="M31" s="72">
        <f t="shared" si="2"/>
        <v>25.619695222405277</v>
      </c>
      <c r="N31" s="83">
        <f t="shared" si="20"/>
        <v>11.908793659323456</v>
      </c>
      <c r="O31" s="71">
        <f t="shared" si="21"/>
        <v>1.2336908414560967E-12</v>
      </c>
      <c r="P31" s="83">
        <f t="shared" si="22"/>
        <v>7.5</v>
      </c>
      <c r="Q31" s="72">
        <f t="shared" si="23"/>
        <v>3.1622776601683699E-8</v>
      </c>
      <c r="R31" s="72">
        <f t="shared" si="3"/>
        <v>1.0000000316227766</v>
      </c>
      <c r="S31" s="71">
        <f t="shared" si="4"/>
        <v>2.4112918463518648E-10</v>
      </c>
      <c r="T31" s="77"/>
      <c r="U31" s="72">
        <f t="shared" si="5"/>
        <v>9.2059259352377118E-2</v>
      </c>
      <c r="V31" s="72">
        <f t="shared" si="6"/>
        <v>-5.5265452303207986E-2</v>
      </c>
      <c r="W31" s="84">
        <f t="shared" si="7"/>
        <v>-9.5000000545785515E-3</v>
      </c>
      <c r="X31" s="85">
        <f t="shared" si="24"/>
        <v>-9.5000000545785515</v>
      </c>
      <c r="Y31" s="77"/>
      <c r="Z31" s="72">
        <f t="shared" si="8"/>
        <v>3.7629648281007828E-9</v>
      </c>
      <c r="AA31" s="72">
        <f t="shared" si="9"/>
        <v>1.4380530307501882E-7</v>
      </c>
      <c r="AB31" s="72">
        <f t="shared" si="10"/>
        <v>4.5480530307501879E-7</v>
      </c>
      <c r="AC31" s="72">
        <f t="shared" si="11"/>
        <v>1.7080530307501881E-7</v>
      </c>
      <c r="AD31" s="72">
        <f t="shared" si="12"/>
        <v>2.9680530307501877E-7</v>
      </c>
      <c r="AE31" s="72">
        <f t="shared" si="13"/>
        <v>3.7680240064341082E-9</v>
      </c>
      <c r="AF31" s="72">
        <f t="shared" si="25"/>
        <v>2.4E-9</v>
      </c>
      <c r="AG31" s="72">
        <f t="shared" si="26"/>
        <v>9.930988834534891E-9</v>
      </c>
      <c r="AH31" s="84">
        <f t="shared" si="14"/>
        <v>4.897119228569216E-10</v>
      </c>
      <c r="AI31" s="84">
        <f t="shared" si="27"/>
        <v>0.48971192285692161</v>
      </c>
      <c r="AJ31" s="77"/>
      <c r="AK31" s="72">
        <f t="shared" si="28"/>
        <v>1.1363701577755808E-9</v>
      </c>
      <c r="AL31" s="84">
        <f t="shared" si="29"/>
        <v>5.0000000000000001E-9</v>
      </c>
      <c r="AM31" s="84">
        <f t="shared" si="30"/>
        <v>4.8225836927037296E-10</v>
      </c>
      <c r="AN31" s="81"/>
      <c r="AO31" s="72">
        <f t="shared" si="31"/>
        <v>5.7465153063977543E-9</v>
      </c>
      <c r="AP31" s="72">
        <f t="shared" si="32"/>
        <v>8.1277470107475665E-16</v>
      </c>
      <c r="AQ31" s="72">
        <f t="shared" si="33"/>
        <v>-4.3584810916113484E-9</v>
      </c>
      <c r="AR31" s="72">
        <f t="shared" si="34"/>
        <v>-2.9546892554504643E-13</v>
      </c>
      <c r="AS31" s="72">
        <f t="shared" si="35"/>
        <v>1.3877395586355622E-9</v>
      </c>
      <c r="AT31" s="77"/>
      <c r="AU31" s="71">
        <v>-9.5000031180715663</v>
      </c>
      <c r="AV31" s="71">
        <v>0.48966425465025554</v>
      </c>
    </row>
    <row r="32" spans="1:48" x14ac:dyDescent="0.35">
      <c r="A32" t="s">
        <v>45</v>
      </c>
      <c r="B32" s="30">
        <f>Control!B25</f>
        <v>5.0000000000000001E-9</v>
      </c>
      <c r="C32" s="2" t="s">
        <v>39</v>
      </c>
      <c r="E32" s="71">
        <v>135</v>
      </c>
      <c r="F32" s="71">
        <f t="shared" si="15"/>
        <v>408.15</v>
      </c>
      <c r="G32" s="71">
        <f t="shared" si="16"/>
        <v>930.45622488454865</v>
      </c>
      <c r="H32" s="83">
        <f t="shared" si="17"/>
        <v>0.96372221480017217</v>
      </c>
      <c r="I32" s="83">
        <f t="shared" si="18"/>
        <v>963.7222148001722</v>
      </c>
      <c r="J32" s="72">
        <f t="shared" si="0"/>
        <v>1.1046279090114848</v>
      </c>
      <c r="K32" s="82">
        <f t="shared" si="1"/>
        <v>35.347193550841261</v>
      </c>
      <c r="L32" s="72">
        <f t="shared" si="19"/>
        <v>2.3656276897576227E-4</v>
      </c>
      <c r="M32" s="72">
        <f t="shared" si="2"/>
        <v>26.363202224052721</v>
      </c>
      <c r="N32" s="83">
        <f t="shared" si="20"/>
        <v>11.855950031009247</v>
      </c>
      <c r="O32" s="71">
        <f t="shared" si="21"/>
        <v>1.3933171057981192E-12</v>
      </c>
      <c r="P32" s="83">
        <f t="shared" si="22"/>
        <v>7.5</v>
      </c>
      <c r="Q32" s="72">
        <f t="shared" si="23"/>
        <v>3.1622776601683699E-8</v>
      </c>
      <c r="R32" s="72">
        <f t="shared" si="3"/>
        <v>1.0000000316227766</v>
      </c>
      <c r="S32" s="71">
        <f t="shared" si="4"/>
        <v>2.3884048917815412E-10</v>
      </c>
      <c r="T32" s="77"/>
      <c r="U32" s="72">
        <f t="shared" si="5"/>
        <v>9.1185932366469949E-2</v>
      </c>
      <c r="V32" s="72">
        <f t="shared" si="6"/>
        <v>-5.6174455001511678E-2</v>
      </c>
      <c r="W32" s="84">
        <f t="shared" si="7"/>
        <v>-9.5000000454791515E-3</v>
      </c>
      <c r="X32" s="85">
        <f t="shared" si="24"/>
        <v>-9.5000000454791511</v>
      </c>
      <c r="Y32" s="77"/>
      <c r="Z32" s="72">
        <f t="shared" si="8"/>
        <v>3.76440587983963E-9</v>
      </c>
      <c r="AA32" s="72">
        <f t="shared" si="9"/>
        <v>1.4505351376087665E-7</v>
      </c>
      <c r="AB32" s="72">
        <f t="shared" si="10"/>
        <v>4.5605351376087667E-7</v>
      </c>
      <c r="AC32" s="72">
        <f t="shared" si="11"/>
        <v>1.7205351376087667E-7</v>
      </c>
      <c r="AD32" s="72">
        <f t="shared" si="12"/>
        <v>2.9805351376087666E-7</v>
      </c>
      <c r="AE32" s="72">
        <f t="shared" si="13"/>
        <v>3.8062953855000791E-9</v>
      </c>
      <c r="AF32" s="72">
        <f t="shared" si="25"/>
        <v>2.4E-9</v>
      </c>
      <c r="AG32" s="72">
        <f t="shared" si="26"/>
        <v>9.9707012653397091E-9</v>
      </c>
      <c r="AH32" s="84">
        <f t="shared" si="14"/>
        <v>4.7646359843617156E-10</v>
      </c>
      <c r="AI32" s="84">
        <f t="shared" si="27"/>
        <v>0.47646359843617153</v>
      </c>
      <c r="AJ32" s="77"/>
      <c r="AK32" s="72">
        <f t="shared" si="28"/>
        <v>1.1582531004024637E-9</v>
      </c>
      <c r="AL32" s="84">
        <f t="shared" si="29"/>
        <v>5.0000000000000001E-9</v>
      </c>
      <c r="AM32" s="84">
        <f t="shared" si="30"/>
        <v>4.7768097835630824E-10</v>
      </c>
      <c r="AN32" s="81"/>
      <c r="AO32" s="72">
        <f t="shared" si="31"/>
        <v>5.774690229507541E-9</v>
      </c>
      <c r="AP32" s="72">
        <f t="shared" si="32"/>
        <v>8.119536454354274E-16</v>
      </c>
      <c r="AQ32" s="72">
        <f t="shared" si="33"/>
        <v>-4.3600177494287016E-9</v>
      </c>
      <c r="AR32" s="72">
        <f t="shared" si="34"/>
        <v>-3.3278897183397545E-13</v>
      </c>
      <c r="AS32" s="72">
        <f t="shared" si="35"/>
        <v>1.4143405030606506E-9</v>
      </c>
      <c r="AT32" s="77"/>
      <c r="AU32" s="71">
        <v>-9.5000028435277351</v>
      </c>
      <c r="AV32" s="71">
        <v>0.47641112579482159</v>
      </c>
    </row>
    <row r="33" spans="1:48" x14ac:dyDescent="0.35">
      <c r="A33" t="s">
        <v>31</v>
      </c>
      <c r="B33" s="40">
        <f>Control!B26</f>
        <v>1.2999999999999999E-4</v>
      </c>
      <c r="C33" s="2" t="s">
        <v>9</v>
      </c>
      <c r="E33" s="71">
        <v>140</v>
      </c>
      <c r="F33" s="71">
        <f t="shared" si="15"/>
        <v>413.15</v>
      </c>
      <c r="G33" s="71">
        <f t="shared" si="16"/>
        <v>926.0260212893005</v>
      </c>
      <c r="H33" s="83">
        <f t="shared" si="17"/>
        <v>0.95941187282441776</v>
      </c>
      <c r="I33" s="83">
        <f t="shared" si="18"/>
        <v>959.41187282441774</v>
      </c>
      <c r="J33" s="72">
        <f t="shared" si="0"/>
        <v>1.1099125623812687</v>
      </c>
      <c r="K33" s="82">
        <f t="shared" si="1"/>
        <v>34.238063602466291</v>
      </c>
      <c r="L33" s="72">
        <f t="shared" si="19"/>
        <v>2.2951022096261376E-4</v>
      </c>
      <c r="M33" s="72">
        <f t="shared" si="2"/>
        <v>27.099209225700172</v>
      </c>
      <c r="N33" s="83">
        <f t="shared" si="20"/>
        <v>11.805127526952067</v>
      </c>
      <c r="O33" s="71">
        <f t="shared" si="21"/>
        <v>1.566291074265293E-12</v>
      </c>
      <c r="P33" s="83">
        <f t="shared" si="22"/>
        <v>7.5</v>
      </c>
      <c r="Q33" s="72">
        <f t="shared" si="23"/>
        <v>3.1622776601683699E-8</v>
      </c>
      <c r="R33" s="72">
        <f t="shared" si="3"/>
        <v>1.0000000316227766</v>
      </c>
      <c r="S33" s="71">
        <f t="shared" si="4"/>
        <v>2.3649886364360719E-10</v>
      </c>
      <c r="T33" s="77"/>
      <c r="U33" s="72">
        <f t="shared" si="5"/>
        <v>9.0292426609670018E-2</v>
      </c>
      <c r="V33" s="72">
        <f t="shared" si="6"/>
        <v>-5.7096419379519189E-2</v>
      </c>
      <c r="W33" s="84">
        <f t="shared" si="7"/>
        <v>-9.5000000375719072E-3</v>
      </c>
      <c r="X33" s="85">
        <f t="shared" si="24"/>
        <v>-9.5000000375719065</v>
      </c>
      <c r="Y33" s="77"/>
      <c r="Z33" s="72">
        <f t="shared" si="8"/>
        <v>3.765886145641815E-9</v>
      </c>
      <c r="AA33" s="72">
        <f t="shared" si="9"/>
        <v>1.4604145796574223E-7</v>
      </c>
      <c r="AB33" s="72">
        <f t="shared" si="10"/>
        <v>4.5704145796574225E-7</v>
      </c>
      <c r="AC33" s="72">
        <f t="shared" si="11"/>
        <v>1.7304145796574224E-7</v>
      </c>
      <c r="AD33" s="72">
        <f t="shared" si="12"/>
        <v>2.9904145796574223E-7</v>
      </c>
      <c r="AE33" s="72">
        <f t="shared" si="13"/>
        <v>3.8362524278300035E-9</v>
      </c>
      <c r="AF33" s="72">
        <f t="shared" si="25"/>
        <v>2.4E-9</v>
      </c>
      <c r="AG33" s="72">
        <f t="shared" si="26"/>
        <v>1.0002138573471818E-8</v>
      </c>
      <c r="AH33" s="84">
        <f t="shared" si="14"/>
        <v>4.6277637535525785E-10</v>
      </c>
      <c r="AI33" s="84">
        <f t="shared" si="27"/>
        <v>0.46277637535525784</v>
      </c>
      <c r="AJ33" s="77"/>
      <c r="AK33" s="72">
        <f t="shared" si="28"/>
        <v>1.1813028690418678E-9</v>
      </c>
      <c r="AL33" s="84">
        <f t="shared" si="29"/>
        <v>5.0000000000000001E-9</v>
      </c>
      <c r="AM33" s="84">
        <f t="shared" si="30"/>
        <v>4.7299772728721438E-10</v>
      </c>
      <c r="AN33" s="81"/>
      <c r="AO33" s="72">
        <f t="shared" si="31"/>
        <v>5.791439644794367E-9</v>
      </c>
      <c r="AP33" s="72">
        <f t="shared" si="32"/>
        <v>8.1055215016926119E-16</v>
      </c>
      <c r="AQ33" s="72">
        <f t="shared" si="33"/>
        <v>-4.3537080843529375E-9</v>
      </c>
      <c r="AR33" s="72">
        <f t="shared" si="34"/>
        <v>-3.7266020209771096E-13</v>
      </c>
      <c r="AS33" s="72">
        <f t="shared" si="35"/>
        <v>1.4373597107914816E-9</v>
      </c>
      <c r="AT33" s="77"/>
      <c r="AU33" s="71">
        <v>-9.5000025770715055</v>
      </c>
      <c r="AV33" s="71">
        <v>0.46271937815283848</v>
      </c>
    </row>
    <row r="34" spans="1:48" x14ac:dyDescent="0.35">
      <c r="A34" t="s">
        <v>0</v>
      </c>
      <c r="B34" s="39">
        <f>Control!B27</f>
        <v>1.84</v>
      </c>
      <c r="C34" s="2" t="s">
        <v>1</v>
      </c>
      <c r="E34" s="71">
        <v>145</v>
      </c>
      <c r="F34" s="71">
        <f t="shared" si="15"/>
        <v>418.15</v>
      </c>
      <c r="G34" s="71">
        <f t="shared" si="16"/>
        <v>921.4840211658875</v>
      </c>
      <c r="H34" s="83">
        <f t="shared" si="17"/>
        <v>0.95499275903767711</v>
      </c>
      <c r="I34" s="83">
        <f t="shared" si="18"/>
        <v>954.99275903767716</v>
      </c>
      <c r="J34" s="72">
        <f t="shared" si="0"/>
        <v>1.1153833278850862</v>
      </c>
      <c r="K34" s="82">
        <f t="shared" si="1"/>
        <v>33.146252429091327</v>
      </c>
      <c r="L34" s="72">
        <f t="shared" si="19"/>
        <v>2.2316137951497965E-4</v>
      </c>
      <c r="M34" s="72">
        <f t="shared" si="2"/>
        <v>27.827716227347615</v>
      </c>
      <c r="N34" s="83">
        <f t="shared" si="20"/>
        <v>11.756180340872524</v>
      </c>
      <c r="O34" s="71">
        <f t="shared" si="21"/>
        <v>1.753152353796568E-12</v>
      </c>
      <c r="P34" s="83">
        <f t="shared" si="22"/>
        <v>7.5</v>
      </c>
      <c r="Q34" s="72">
        <f t="shared" si="23"/>
        <v>3.1622776601683699E-8</v>
      </c>
      <c r="R34" s="72">
        <f t="shared" si="3"/>
        <v>1.0000000316227766</v>
      </c>
      <c r="S34" s="71">
        <f t="shared" si="4"/>
        <v>2.3410131319763152E-10</v>
      </c>
      <c r="T34" s="77"/>
      <c r="U34" s="72">
        <f t="shared" si="5"/>
        <v>8.9377598745061113E-2</v>
      </c>
      <c r="V34" s="72">
        <f t="shared" si="6"/>
        <v>-5.8032128386607811E-2</v>
      </c>
      <c r="W34" s="84">
        <f t="shared" si="7"/>
        <v>-9.5000000307530318E-3</v>
      </c>
      <c r="X34" s="85">
        <f t="shared" si="24"/>
        <v>-9.5000000307530321</v>
      </c>
      <c r="Y34" s="77"/>
      <c r="Z34" s="72">
        <f t="shared" si="8"/>
        <v>3.7674080162934746E-9</v>
      </c>
      <c r="AA34" s="72">
        <f t="shared" si="9"/>
        <v>1.4676586483620148E-7</v>
      </c>
      <c r="AB34" s="72">
        <f t="shared" si="10"/>
        <v>4.5776586483620144E-7</v>
      </c>
      <c r="AC34" s="72">
        <f t="shared" si="11"/>
        <v>1.7376586483620147E-7</v>
      </c>
      <c r="AD34" s="72">
        <f t="shared" si="12"/>
        <v>2.9976586483620143E-7</v>
      </c>
      <c r="AE34" s="72">
        <f t="shared" si="13"/>
        <v>3.8578014157701149E-9</v>
      </c>
      <c r="AF34" s="72">
        <f t="shared" si="25"/>
        <v>2.4E-9</v>
      </c>
      <c r="AG34" s="72">
        <f t="shared" si="26"/>
        <v>1.002520943206359E-8</v>
      </c>
      <c r="AH34" s="84">
        <f t="shared" si="14"/>
        <v>4.4870372529467809E-10</v>
      </c>
      <c r="AI34" s="84">
        <f t="shared" si="27"/>
        <v>0.44870372529467811</v>
      </c>
      <c r="AJ34" s="77"/>
      <c r="AK34" s="72">
        <f t="shared" si="28"/>
        <v>1.2056234194143151E-9</v>
      </c>
      <c r="AL34" s="84">
        <f t="shared" si="29"/>
        <v>5.0000000000000001E-9</v>
      </c>
      <c r="AM34" s="84">
        <f t="shared" si="30"/>
        <v>4.6820262639526303E-10</v>
      </c>
      <c r="AN34" s="81"/>
      <c r="AO34" s="72">
        <f t="shared" si="31"/>
        <v>5.7966923237686388E-9</v>
      </c>
      <c r="AP34" s="72">
        <f t="shared" si="32"/>
        <v>8.0856248433554859E-16</v>
      </c>
      <c r="AQ34" s="72">
        <f t="shared" si="33"/>
        <v>-4.3395451323555817E-9</v>
      </c>
      <c r="AR34" s="72">
        <f t="shared" si="34"/>
        <v>-4.1503199643300559E-13</v>
      </c>
      <c r="AS34" s="72">
        <f t="shared" si="35"/>
        <v>1.4567329679791084E-9</v>
      </c>
      <c r="AT34" s="77"/>
      <c r="AU34" s="71">
        <v>-9.5000023201035884</v>
      </c>
      <c r="AV34" s="71">
        <v>0.4486425960428142</v>
      </c>
    </row>
    <row r="35" spans="1:48" x14ac:dyDescent="0.35">
      <c r="A35" t="s">
        <v>2</v>
      </c>
      <c r="B35" s="3">
        <f>$B$36^-$B$34</f>
        <v>21.237010131998339</v>
      </c>
      <c r="C35" s="2" t="s">
        <v>1</v>
      </c>
      <c r="E35" s="71">
        <v>150</v>
      </c>
      <c r="F35" s="71">
        <f t="shared" si="15"/>
        <v>423.15</v>
      </c>
      <c r="G35" s="71">
        <f t="shared" si="16"/>
        <v>916.82911127778289</v>
      </c>
      <c r="H35" s="83">
        <f t="shared" si="17"/>
        <v>0.95046379032265627</v>
      </c>
      <c r="I35" s="83">
        <f t="shared" si="18"/>
        <v>950.46379032265622</v>
      </c>
      <c r="J35" s="72">
        <f t="shared" si="0"/>
        <v>1.1210463340201806</v>
      </c>
      <c r="K35" s="82">
        <f t="shared" si="1"/>
        <v>32.070702530716254</v>
      </c>
      <c r="L35" s="72">
        <f t="shared" si="19"/>
        <v>2.1744677817233665E-4</v>
      </c>
      <c r="M35" s="72">
        <f t="shared" si="2"/>
        <v>28.548723228995058</v>
      </c>
      <c r="N35" s="83">
        <f t="shared" si="20"/>
        <v>11.708977535066271</v>
      </c>
      <c r="O35" s="71">
        <f t="shared" si="21"/>
        <v>1.9544405513308934E-12</v>
      </c>
      <c r="P35" s="83">
        <f t="shared" si="22"/>
        <v>7.5</v>
      </c>
      <c r="Q35" s="72">
        <f t="shared" si="23"/>
        <v>3.1622776601683699E-8</v>
      </c>
      <c r="R35" s="72">
        <f t="shared" si="3"/>
        <v>1.0000000316227766</v>
      </c>
      <c r="S35" s="71">
        <f t="shared" si="4"/>
        <v>2.3164449941183682E-10</v>
      </c>
      <c r="T35" s="77"/>
      <c r="U35" s="72">
        <f t="shared" si="5"/>
        <v>8.84401741098092E-2</v>
      </c>
      <c r="V35" s="72">
        <f t="shared" si="6"/>
        <v>-5.8982450347438702E-2</v>
      </c>
      <c r="W35" s="84">
        <f t="shared" si="7"/>
        <v>-9.500000024920895E-3</v>
      </c>
      <c r="X35" s="85">
        <f t="shared" si="24"/>
        <v>-9.5000000249208956</v>
      </c>
      <c r="Y35" s="77"/>
      <c r="Z35" s="72">
        <f t="shared" si="8"/>
        <v>3.7689741574710123E-9</v>
      </c>
      <c r="AA35" s="72">
        <f t="shared" si="9"/>
        <v>1.4722572211499433E-7</v>
      </c>
      <c r="AB35" s="72">
        <f t="shared" si="10"/>
        <v>4.5822572211499434E-7</v>
      </c>
      <c r="AC35" s="72">
        <f t="shared" si="11"/>
        <v>1.7422572211499434E-7</v>
      </c>
      <c r="AD35" s="72">
        <f t="shared" si="12"/>
        <v>3.0022572211499433E-7</v>
      </c>
      <c r="AE35" s="72">
        <f t="shared" si="13"/>
        <v>3.870919958006208E-9</v>
      </c>
      <c r="AF35" s="72">
        <f t="shared" si="25"/>
        <v>2.4E-9</v>
      </c>
      <c r="AG35" s="72">
        <f t="shared" si="26"/>
        <v>1.003989411547722E-8</v>
      </c>
      <c r="AH35" s="84">
        <f t="shared" si="14"/>
        <v>4.3430195883436426E-10</v>
      </c>
      <c r="AI35" s="84">
        <f t="shared" si="27"/>
        <v>0.43430195883436429</v>
      </c>
      <c r="AJ35" s="77"/>
      <c r="AK35" s="72">
        <f t="shared" si="28"/>
        <v>1.2313326388430567E-9</v>
      </c>
      <c r="AL35" s="84">
        <f t="shared" si="29"/>
        <v>5.0000000000000001E-9</v>
      </c>
      <c r="AM35" s="84">
        <f t="shared" si="30"/>
        <v>4.6328899882367364E-10</v>
      </c>
      <c r="AN35" s="81"/>
      <c r="AO35" s="72">
        <f t="shared" si="31"/>
        <v>5.7904696930625413E-9</v>
      </c>
      <c r="AP35" s="72">
        <f t="shared" si="32"/>
        <v>8.0598053797017169E-16</v>
      </c>
      <c r="AQ35" s="72">
        <f t="shared" si="33"/>
        <v>-4.3175816595074915E-9</v>
      </c>
      <c r="AR35" s="72">
        <f t="shared" si="34"/>
        <v>-4.5983142742049686E-13</v>
      </c>
      <c r="AS35" s="72">
        <f t="shared" si="35"/>
        <v>1.4724290081081668E-9</v>
      </c>
      <c r="AT35" s="77"/>
      <c r="AU35" s="71">
        <v>-9.5000020739094406</v>
      </c>
      <c r="AV35" s="71">
        <v>0.43423720222445511</v>
      </c>
    </row>
    <row r="36" spans="1:48" x14ac:dyDescent="0.35">
      <c r="A36" t="s">
        <v>32</v>
      </c>
      <c r="B36" s="38">
        <f>Control!B29</f>
        <v>0.19</v>
      </c>
      <c r="C36" s="2" t="s">
        <v>1</v>
      </c>
      <c r="Y36" s="86"/>
    </row>
    <row r="37" spans="1:48" x14ac:dyDescent="0.35">
      <c r="A37" t="s">
        <v>44</v>
      </c>
      <c r="B37" s="37">
        <f>Control!B30</f>
        <v>-9.4999999999999998E-3</v>
      </c>
      <c r="C37" s="2" t="s">
        <v>5</v>
      </c>
      <c r="G37" s="71">
        <f>100*(G35-G5)/G5</f>
        <v>-8.3023732370787968</v>
      </c>
      <c r="H37" s="71">
        <f t="shared" ref="H37:AS37" si="36">100*(H35-H5)/H5</f>
        <v>-7.8318753958138334</v>
      </c>
      <c r="I37" s="71">
        <f t="shared" si="36"/>
        <v>-7.8318753958138325</v>
      </c>
      <c r="J37" s="71">
        <f t="shared" si="36"/>
        <v>9.0540764577736574</v>
      </c>
      <c r="K37" s="71">
        <f t="shared" si="36"/>
        <v>-57.636883518007089</v>
      </c>
      <c r="L37" s="71">
        <f t="shared" si="36"/>
        <v>-88.776319036774339</v>
      </c>
      <c r="M37" s="71">
        <f t="shared" si="36"/>
        <v>680.8703586878155</v>
      </c>
      <c r="N37" s="71">
        <f t="shared" si="36"/>
        <v>-22.738700343636562</v>
      </c>
      <c r="O37" s="71">
        <f t="shared" si="36"/>
        <v>279191.77864706103</v>
      </c>
      <c r="P37" s="71">
        <f t="shared" si="36"/>
        <v>0</v>
      </c>
      <c r="Q37" s="71">
        <f t="shared" si="36"/>
        <v>0</v>
      </c>
      <c r="R37" s="71">
        <f t="shared" si="36"/>
        <v>0</v>
      </c>
      <c r="S37" s="71">
        <f t="shared" si="36"/>
        <v>-18.989647648451612</v>
      </c>
      <c r="U37" s="71">
        <f t="shared" si="36"/>
        <v>-18.984642609791919</v>
      </c>
      <c r="V37" s="71">
        <f t="shared" si="36"/>
        <v>69.639922245149009</v>
      </c>
      <c r="W37" s="71">
        <f t="shared" si="36"/>
        <v>-9.0580141115507277E-6</v>
      </c>
      <c r="X37" s="71">
        <f t="shared" si="36"/>
        <v>-9.0580141067300226E-6</v>
      </c>
      <c r="Z37" s="71">
        <f t="shared" si="36"/>
        <v>0.88800768571439193</v>
      </c>
      <c r="AA37" s="71">
        <f t="shared" si="36"/>
        <v>115.60231658114901</v>
      </c>
      <c r="AB37" s="71">
        <f t="shared" si="36"/>
        <v>20.812787374573539</v>
      </c>
      <c r="AC37" s="71">
        <f t="shared" si="36"/>
        <v>82.84546062760738</v>
      </c>
      <c r="AD37" s="71">
        <f t="shared" si="36"/>
        <v>35.673301300273081</v>
      </c>
      <c r="AE37" s="71">
        <f t="shared" si="36"/>
        <v>182.3701778456668</v>
      </c>
      <c r="AF37" s="71">
        <f t="shared" si="36"/>
        <v>0</v>
      </c>
      <c r="AG37" s="71">
        <f t="shared" si="36"/>
        <v>33.746361519059427</v>
      </c>
      <c r="AH37" s="71">
        <f t="shared" si="36"/>
        <v>-51.630414955822644</v>
      </c>
      <c r="AI37" s="71">
        <f t="shared" si="36"/>
        <v>-51.630414955822644</v>
      </c>
      <c r="AK37" s="71">
        <f t="shared" si="36"/>
        <v>52.376838191878313</v>
      </c>
      <c r="AL37" s="71">
        <f t="shared" si="36"/>
        <v>0</v>
      </c>
      <c r="AM37" s="71">
        <f t="shared" si="36"/>
        <v>-18.989647648451612</v>
      </c>
      <c r="AO37" s="71">
        <f t="shared" si="36"/>
        <v>98.981428810300216</v>
      </c>
      <c r="AP37" s="71">
        <f t="shared" si="36"/>
        <v>11.499270655097936</v>
      </c>
      <c r="AQ37" s="71">
        <f t="shared" si="36"/>
        <v>57.313413850509662</v>
      </c>
      <c r="AR37" s="71">
        <f t="shared" si="36"/>
        <v>325912.39883286826</v>
      </c>
      <c r="AS37" s="71">
        <f t="shared" si="36"/>
        <v>789.77763009581622</v>
      </c>
      <c r="AU37" s="71">
        <v>-5.8366356570170583E-5</v>
      </c>
      <c r="AV37" s="71">
        <v>-51.637782909054636</v>
      </c>
    </row>
    <row r="38" spans="1:48" x14ac:dyDescent="0.35">
      <c r="B38" s="37">
        <v>-9.4999999999999998E-3</v>
      </c>
      <c r="C38" s="6"/>
      <c r="G38" s="71" t="str">
        <f>G1</f>
        <v>Density water</v>
      </c>
      <c r="H38" s="71" t="str">
        <f t="shared" ref="H38:AS38" si="37">H1</f>
        <v>Density Soln</v>
      </c>
      <c r="I38" s="71" t="str">
        <f t="shared" si="37"/>
        <v>Density Soln</v>
      </c>
      <c r="J38" s="71" t="str">
        <f t="shared" si="37"/>
        <v>Molality</v>
      </c>
      <c r="K38" s="71" t="str">
        <f t="shared" si="37"/>
        <v>RelPerm Soln</v>
      </c>
      <c r="L38" s="71" t="str">
        <f t="shared" si="37"/>
        <v>Visc Soln</v>
      </c>
      <c r="M38" s="71" t="str">
        <f t="shared" si="37"/>
        <v>Condy Soln</v>
      </c>
      <c r="N38" s="71" t="str">
        <f t="shared" si="37"/>
        <v>pKw</v>
      </c>
      <c r="O38" s="71" t="str">
        <f t="shared" si="37"/>
        <v>Kw</v>
      </c>
      <c r="P38" s="71" t="str">
        <f t="shared" si="37"/>
        <v>pH</v>
      </c>
      <c r="Q38" s="71" t="str">
        <f t="shared" si="37"/>
        <v>[H+]</v>
      </c>
      <c r="R38" s="71" t="str">
        <f t="shared" si="37"/>
        <v>Ionic Conc</v>
      </c>
      <c r="S38" s="71" t="str">
        <f t="shared" si="37"/>
        <v>Debye Length</v>
      </c>
      <c r="U38" s="71" t="str">
        <f t="shared" si="37"/>
        <v>Theta2</v>
      </c>
      <c r="V38" s="71" t="str">
        <f t="shared" si="37"/>
        <v>SternPot</v>
      </c>
      <c r="W38" s="71" t="str">
        <f t="shared" si="37"/>
        <v>Zeta Pot</v>
      </c>
      <c r="X38" s="71" t="str">
        <f t="shared" si="37"/>
        <v>Zeta Pot</v>
      </c>
      <c r="Z38" s="71" t="str">
        <f t="shared" si="37"/>
        <v>SurfConStern</v>
      </c>
      <c r="AA38" s="71" t="str">
        <f t="shared" si="37"/>
        <v>EffMobNa</v>
      </c>
      <c r="AB38" s="71" t="str">
        <f t="shared" si="37"/>
        <v>EffMobHyd</v>
      </c>
      <c r="AC38" s="71" t="str">
        <f t="shared" si="37"/>
        <v>EffMobCl</v>
      </c>
      <c r="AD38" s="71" t="str">
        <f t="shared" si="37"/>
        <v>EffMobOH</v>
      </c>
      <c r="AE38" s="71" t="str">
        <f t="shared" si="37"/>
        <v>SurfConEDL</v>
      </c>
      <c r="AF38" s="71" t="str">
        <f t="shared" si="37"/>
        <v>SurfConProt</v>
      </c>
      <c r="AG38" s="71" t="str">
        <f t="shared" si="37"/>
        <v>TotSurfCon</v>
      </c>
      <c r="AH38" s="71" t="str">
        <f t="shared" si="37"/>
        <v>Cs</v>
      </c>
      <c r="AI38" s="71" t="str">
        <f t="shared" si="37"/>
        <v>Cs</v>
      </c>
      <c r="AK38" s="71" t="str">
        <f t="shared" si="37"/>
        <v>Bjerrum</v>
      </c>
      <c r="AL38" s="71" t="str">
        <f t="shared" si="37"/>
        <v>Shear Plane</v>
      </c>
      <c r="AM38" s="71" t="str">
        <f t="shared" si="37"/>
        <v>Twice Debye</v>
      </c>
      <c r="AO38" s="71" t="str">
        <f t="shared" si="37"/>
        <v>SurfConEDLNa</v>
      </c>
      <c r="AP38" s="71" t="str">
        <f t="shared" si="37"/>
        <v>SurfConEDLH</v>
      </c>
      <c r="AQ38" s="71" t="str">
        <f t="shared" si="37"/>
        <v>SurfConEDLCl</v>
      </c>
      <c r="AR38" s="71" t="str">
        <f t="shared" si="37"/>
        <v>SurfConEDLOH</v>
      </c>
      <c r="AS38" s="71" t="str">
        <f t="shared" si="37"/>
        <v>SurfConEDL</v>
      </c>
      <c r="AU38" s="71" t="s">
        <v>110</v>
      </c>
      <c r="AV38" s="71" t="s">
        <v>10</v>
      </c>
    </row>
    <row r="39" spans="1:48" x14ac:dyDescent="0.35">
      <c r="A39" s="48" t="s">
        <v>92</v>
      </c>
      <c r="B39" s="49">
        <f>0.001002*10^((1/(96+B2))*((20-B2)*(1.2378-0.001303*(20-B2)+0.00000306*(20-B2)^2+0.0000000255*(20-B2)^3)))</f>
        <v>1.7931270201288403E-3</v>
      </c>
      <c r="C39" s="6" t="s">
        <v>6</v>
      </c>
      <c r="Y39" s="86"/>
    </row>
    <row r="40" spans="1:48" x14ac:dyDescent="0.35">
      <c r="B40" s="6"/>
      <c r="C40" s="6"/>
      <c r="O40" s="90" t="s">
        <v>145</v>
      </c>
      <c r="P40" s="90">
        <v>1</v>
      </c>
    </row>
    <row r="41" spans="1:48" x14ac:dyDescent="0.35">
      <c r="C41" s="6"/>
      <c r="O41" s="90" t="s">
        <v>146</v>
      </c>
      <c r="P41" s="90">
        <f>Control!B41</f>
        <v>7.5</v>
      </c>
    </row>
    <row r="42" spans="1:48" x14ac:dyDescent="0.35">
      <c r="C42" s="6"/>
      <c r="O42" s="90" t="s">
        <v>147</v>
      </c>
      <c r="P42" s="90">
        <f>Control!B42</f>
        <v>1</v>
      </c>
    </row>
    <row r="43" spans="1:48" x14ac:dyDescent="0.35">
      <c r="C43" s="6"/>
      <c r="O43" s="90" t="s">
        <v>148</v>
      </c>
      <c r="P43" s="90">
        <f>Control!B43</f>
        <v>0.32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EK Model</vt:lpstr>
      <vt:lpstr>Control</vt:lpstr>
      <vt:lpstr>1e-5M</vt:lpstr>
      <vt:lpstr>0.0001M</vt:lpstr>
      <vt:lpstr>0.001M</vt:lpstr>
      <vt:lpstr>0.01M</vt:lpstr>
      <vt:lpstr>0.1M</vt:lpstr>
      <vt:lpstr>0.5M</vt:lpstr>
      <vt:lpstr>1M</vt:lpstr>
      <vt:lpstr>Fig1</vt:lpstr>
      <vt:lpstr>Fig2</vt:lpstr>
      <vt:lpstr>Fig3</vt:lpstr>
      <vt:lpstr>Vinogradov0.5M</vt:lpstr>
      <vt:lpstr>Vinogradov0.01M</vt:lpstr>
      <vt:lpstr>Supplementary Graphs</vt:lpstr>
      <vt:lpstr>Sensitivity</vt:lpstr>
      <vt:lpstr>pH Calculator</vt:lpstr>
    </vt:vector>
  </TitlesOfParts>
  <Company>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Glover</dc:creator>
  <cp:lastModifiedBy>Paul Glover</cp:lastModifiedBy>
  <dcterms:created xsi:type="dcterms:W3CDTF">2009-09-07T03:52:32Z</dcterms:created>
  <dcterms:modified xsi:type="dcterms:W3CDTF">2026-03-19T18:31:56Z</dcterms:modified>
</cp:coreProperties>
</file>