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mes.surrey.ac.uk\home\downloads\"/>
    </mc:Choice>
  </mc:AlternateContent>
  <bookViews>
    <workbookView xWindow="0" yWindow="0" windowWidth="9580" windowHeight="1310" activeTab="1"/>
  </bookViews>
  <sheets>
    <sheet name="FoodKcal" sheetId="2" r:id="rId1"/>
    <sheet name="Living Wage" sheetId="1" r:id="rId2"/>
    <sheet name="Cost per unit" sheetId="6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R38" i="1" l="1"/>
  <c r="H18" i="1" l="1"/>
  <c r="L21" i="1" l="1"/>
  <c r="X14" i="1"/>
  <c r="Q21" i="6"/>
  <c r="R21" i="6" s="1"/>
  <c r="Q22" i="6"/>
  <c r="R22" i="6" s="1"/>
  <c r="Q20" i="6"/>
  <c r="R20" i="6" s="1"/>
  <c r="Q19" i="6"/>
  <c r="R19" i="6" s="1"/>
  <c r="Q18" i="6"/>
  <c r="R18" i="6" s="1"/>
  <c r="Q17" i="6"/>
  <c r="R17" i="6" s="1"/>
  <c r="Q16" i="6"/>
  <c r="R16" i="6" s="1"/>
  <c r="Q15" i="6"/>
  <c r="R15" i="6" s="1"/>
  <c r="Q14" i="6"/>
  <c r="R14" i="6" s="1"/>
  <c r="Q13" i="6"/>
  <c r="R13" i="6" s="1"/>
  <c r="Q12" i="6"/>
  <c r="R12" i="6" s="1"/>
  <c r="Q11" i="6"/>
  <c r="R11" i="6" s="1"/>
  <c r="Q10" i="6"/>
  <c r="R10" i="6" s="1"/>
  <c r="Q9" i="6"/>
  <c r="R9" i="6" s="1"/>
  <c r="Q8" i="6"/>
  <c r="R8" i="6" s="1"/>
  <c r="Q7" i="6"/>
  <c r="R7" i="6" s="1"/>
  <c r="Q6" i="6"/>
  <c r="R6" i="6" s="1"/>
  <c r="Q5" i="6"/>
  <c r="R5" i="6" s="1"/>
  <c r="Q4" i="6"/>
  <c r="R4" i="6" s="1"/>
  <c r="Q3" i="6"/>
  <c r="R3" i="6" s="1"/>
  <c r="M21" i="6"/>
  <c r="N21" i="6" s="1"/>
  <c r="M22" i="6"/>
  <c r="N22" i="6" s="1"/>
  <c r="M20" i="6"/>
  <c r="N20" i="6" s="1"/>
  <c r="M19" i="6"/>
  <c r="N19" i="6" s="1"/>
  <c r="M18" i="6"/>
  <c r="N18" i="6" s="1"/>
  <c r="M17" i="6"/>
  <c r="N17" i="6" s="1"/>
  <c r="M16" i="6"/>
  <c r="N16" i="6" s="1"/>
  <c r="M15" i="6"/>
  <c r="N15" i="6" s="1"/>
  <c r="M14" i="6"/>
  <c r="N14" i="6" s="1"/>
  <c r="M13" i="6"/>
  <c r="N13" i="6" s="1"/>
  <c r="M12" i="6"/>
  <c r="N12" i="6" s="1"/>
  <c r="M11" i="6"/>
  <c r="N11" i="6" s="1"/>
  <c r="M10" i="6"/>
  <c r="N10" i="6" s="1"/>
  <c r="M9" i="6"/>
  <c r="N9" i="6" s="1"/>
  <c r="M8" i="6"/>
  <c r="N8" i="6" s="1"/>
  <c r="M7" i="6"/>
  <c r="N7" i="6" s="1"/>
  <c r="M6" i="6"/>
  <c r="N6" i="6" s="1"/>
  <c r="M5" i="6"/>
  <c r="N5" i="6" s="1"/>
  <c r="M4" i="6"/>
  <c r="N4" i="6" s="1"/>
  <c r="M3" i="6"/>
  <c r="N3" i="6" s="1"/>
  <c r="L24" i="1"/>
  <c r="E22" i="6"/>
  <c r="F22" i="6" s="1"/>
  <c r="E21" i="6"/>
  <c r="F21" i="6" s="1"/>
  <c r="E20" i="6"/>
  <c r="F20" i="6" s="1"/>
  <c r="E19" i="6"/>
  <c r="F19" i="6" s="1"/>
  <c r="E18" i="6"/>
  <c r="F18" i="6" s="1"/>
  <c r="E17" i="6"/>
  <c r="F17" i="6" s="1"/>
  <c r="E16" i="6"/>
  <c r="F16" i="6" s="1"/>
  <c r="E15" i="6"/>
  <c r="F15" i="6" s="1"/>
  <c r="E14" i="6"/>
  <c r="F14" i="6" s="1"/>
  <c r="E13" i="6"/>
  <c r="F13" i="6" s="1"/>
  <c r="E12" i="6"/>
  <c r="F12" i="6" s="1"/>
  <c r="E11" i="6"/>
  <c r="E10" i="6"/>
  <c r="F10" i="6" s="1"/>
  <c r="E9" i="6"/>
  <c r="F9" i="6" s="1"/>
  <c r="E8" i="6"/>
  <c r="F8" i="6" s="1"/>
  <c r="E7" i="6"/>
  <c r="F7" i="6" s="1"/>
  <c r="E6" i="6"/>
  <c r="F6" i="6" s="1"/>
  <c r="E5" i="6"/>
  <c r="F5" i="6" s="1"/>
  <c r="E4" i="6"/>
  <c r="F4" i="6" s="1"/>
  <c r="E3" i="6"/>
  <c r="F3" i="6" s="1"/>
  <c r="I18" i="6"/>
  <c r="J18" i="6" s="1"/>
  <c r="I19" i="6"/>
  <c r="J19" i="6" s="1"/>
  <c r="I14" i="6"/>
  <c r="J14" i="6" s="1"/>
  <c r="I15" i="6"/>
  <c r="J15" i="6" s="1"/>
  <c r="I11" i="6"/>
  <c r="J11" i="6" s="1"/>
  <c r="I3" i="6"/>
  <c r="J3" i="6" s="1"/>
  <c r="I4" i="6"/>
  <c r="J4" i="6" s="1"/>
  <c r="I5" i="6"/>
  <c r="J5" i="6" s="1"/>
  <c r="I7" i="6"/>
  <c r="J7" i="6" s="1"/>
  <c r="I8" i="6"/>
  <c r="J8" i="6" s="1"/>
  <c r="I9" i="6"/>
  <c r="J9" i="6" s="1"/>
  <c r="I10" i="6"/>
  <c r="J10" i="6" s="1"/>
  <c r="I12" i="6"/>
  <c r="J12" i="6" s="1"/>
  <c r="I13" i="6"/>
  <c r="J13" i="6" s="1"/>
  <c r="I16" i="6"/>
  <c r="J16" i="6" s="1"/>
  <c r="I17" i="6"/>
  <c r="J17" i="6" s="1"/>
  <c r="I20" i="6"/>
  <c r="J20" i="6" s="1"/>
  <c r="I21" i="6"/>
  <c r="J21" i="6" s="1"/>
  <c r="I22" i="6"/>
  <c r="J22" i="6" s="1"/>
  <c r="I6" i="6"/>
  <c r="J6" i="6" s="1"/>
  <c r="X24" i="1"/>
  <c r="AJ24" i="1"/>
  <c r="J75" i="2"/>
  <c r="J78" i="2"/>
  <c r="J77" i="2"/>
  <c r="Q78" i="2"/>
  <c r="Q77" i="2"/>
  <c r="Q76" i="2" s="1"/>
  <c r="Q75" i="2"/>
  <c r="AV24" i="1"/>
  <c r="C78" i="2"/>
  <c r="C77" i="2"/>
  <c r="C75" i="2"/>
  <c r="X78" i="2"/>
  <c r="X77" i="2"/>
  <c r="X75" i="2"/>
  <c r="Y78" i="2" l="1"/>
  <c r="J76" i="2"/>
  <c r="X76" i="2"/>
  <c r="AB77" i="2" s="1"/>
  <c r="K77" i="2"/>
  <c r="C76" i="2"/>
  <c r="K78" i="2"/>
  <c r="R77" i="2"/>
  <c r="R78" i="2"/>
  <c r="S76" i="2"/>
  <c r="D77" i="2"/>
  <c r="D78" i="2"/>
  <c r="R76" i="2"/>
  <c r="U77" i="2"/>
  <c r="AK24" i="1" s="1"/>
  <c r="Z76" i="2"/>
  <c r="Y77" i="2"/>
  <c r="Y76" i="2" l="1"/>
  <c r="AE24" i="1"/>
  <c r="AF24" i="1" s="1"/>
  <c r="AG24" i="1"/>
  <c r="AI24" i="1"/>
  <c r="AH24" i="1"/>
  <c r="AW24" i="1"/>
  <c r="M24" i="1"/>
  <c r="E76" i="2"/>
  <c r="D76" i="2"/>
  <c r="G77" i="2"/>
  <c r="L76" i="2"/>
  <c r="N77" i="2"/>
  <c r="Y24" i="1" s="1"/>
  <c r="K76" i="2"/>
  <c r="J24" i="1" l="1"/>
  <c r="K24" i="1"/>
  <c r="I24" i="1"/>
  <c r="U24" i="1"/>
  <c r="W24" i="1"/>
  <c r="S24" i="1"/>
  <c r="T24" i="1" s="1"/>
  <c r="V24" i="1"/>
  <c r="AS24" i="1"/>
  <c r="AQ24" i="1"/>
  <c r="AR24" i="1" s="1"/>
  <c r="AU24" i="1"/>
  <c r="AT24" i="1"/>
  <c r="G25" i="1"/>
  <c r="H25" i="1" s="1"/>
  <c r="F24" i="1"/>
  <c r="G24" i="1" s="1"/>
  <c r="H24" i="1" s="1"/>
  <c r="AV15" i="1" l="1"/>
  <c r="AV14" i="1"/>
  <c r="X36" i="2"/>
  <c r="Y36" i="2" s="1"/>
  <c r="AU29" i="1" s="1"/>
  <c r="X35" i="2"/>
  <c r="Y35" i="2" s="1"/>
  <c r="AS29" i="1" s="1"/>
  <c r="X34" i="2"/>
  <c r="Y34" i="2" s="1"/>
  <c r="AT29" i="1" s="1"/>
  <c r="X48" i="2"/>
  <c r="Y48" i="2" s="1"/>
  <c r="AU31" i="1" s="1"/>
  <c r="X47" i="2"/>
  <c r="Z47" i="2" s="1"/>
  <c r="X46" i="2"/>
  <c r="Y46" i="2" s="1"/>
  <c r="AT31" i="1" s="1"/>
  <c r="Y72" i="2"/>
  <c r="AB71" i="2"/>
  <c r="Y71" i="2"/>
  <c r="Z70" i="2"/>
  <c r="Y70" i="2"/>
  <c r="Y66" i="2"/>
  <c r="Y65" i="2"/>
  <c r="Z64" i="2"/>
  <c r="Y64" i="2"/>
  <c r="AT35" i="1" s="1"/>
  <c r="AV35" i="1" s="1"/>
  <c r="Y60" i="2"/>
  <c r="AU33" i="1" s="1"/>
  <c r="Y59" i="2"/>
  <c r="AS33" i="1" s="1"/>
  <c r="Z58" i="2"/>
  <c r="Y58" i="2"/>
  <c r="AT33" i="1" s="1"/>
  <c r="Y54" i="2"/>
  <c r="AU32" i="1" s="1"/>
  <c r="Z53" i="2"/>
  <c r="Y53" i="2"/>
  <c r="AS32" i="1" s="1"/>
  <c r="Z52" i="2"/>
  <c r="Y52" i="2"/>
  <c r="AT32" i="1" s="1"/>
  <c r="Y42" i="2"/>
  <c r="AU30" i="1" s="1"/>
  <c r="Z41" i="2"/>
  <c r="Y41" i="2"/>
  <c r="AS30" i="1" s="1"/>
  <c r="Z40" i="2"/>
  <c r="Y40" i="2"/>
  <c r="AT30" i="1" s="1"/>
  <c r="Z34" i="2"/>
  <c r="Z30" i="2"/>
  <c r="Y30" i="2"/>
  <c r="AB29" i="2"/>
  <c r="Z29" i="2"/>
  <c r="Y29" i="2"/>
  <c r="Z28" i="2"/>
  <c r="Y28" i="2"/>
  <c r="Z24" i="2"/>
  <c r="Y24" i="2"/>
  <c r="AB23" i="2"/>
  <c r="AW21" i="1" s="1"/>
  <c r="AQ21" i="1" s="1"/>
  <c r="AR21" i="1" s="1"/>
  <c r="Y23" i="2"/>
  <c r="Y22" i="2"/>
  <c r="Z18" i="2"/>
  <c r="Y18" i="2"/>
  <c r="AB17" i="2"/>
  <c r="Z17" i="2"/>
  <c r="Y17" i="2"/>
  <c r="Z16" i="2"/>
  <c r="Y16" i="2"/>
  <c r="Z12" i="2"/>
  <c r="Y12" i="2"/>
  <c r="AB11" i="2"/>
  <c r="Z11" i="2"/>
  <c r="Y11" i="2"/>
  <c r="Z10" i="2"/>
  <c r="Y10" i="2"/>
  <c r="Z6" i="2"/>
  <c r="Y6" i="2"/>
  <c r="AB5" i="2"/>
  <c r="Z5" i="2"/>
  <c r="Y5" i="2"/>
  <c r="Z4" i="2"/>
  <c r="Y4" i="2"/>
  <c r="AQ35" i="1"/>
  <c r="AR35" i="1" s="1"/>
  <c r="AQ33" i="1"/>
  <c r="AR33" i="1" s="1"/>
  <c r="AQ32" i="1"/>
  <c r="AR32" i="1" s="1"/>
  <c r="AQ31" i="1"/>
  <c r="AR31" i="1" s="1"/>
  <c r="AQ30" i="1"/>
  <c r="AR30" i="1" s="1"/>
  <c r="AQ29" i="1"/>
  <c r="AR29" i="1" s="1"/>
  <c r="AQ27" i="1"/>
  <c r="AR27" i="1" s="1"/>
  <c r="AQ25" i="1"/>
  <c r="AR25" i="1" s="1"/>
  <c r="AU21" i="1"/>
  <c r="AV19" i="1"/>
  <c r="AW19" i="1" s="1"/>
  <c r="AV17" i="1"/>
  <c r="AI21" i="1"/>
  <c r="Q42" i="2"/>
  <c r="S42" i="2" s="1"/>
  <c r="Q41" i="2"/>
  <c r="S41" i="2" s="1"/>
  <c r="Q40" i="2"/>
  <c r="S40" i="2" s="1"/>
  <c r="U71" i="2"/>
  <c r="AJ19" i="1"/>
  <c r="R58" i="2"/>
  <c r="AH33" i="1" s="1"/>
  <c r="R72" i="2"/>
  <c r="R71" i="2"/>
  <c r="S70" i="2"/>
  <c r="R70" i="2"/>
  <c r="R66" i="2"/>
  <c r="R65" i="2"/>
  <c r="S64" i="2"/>
  <c r="R64" i="2"/>
  <c r="AH35" i="1" s="1"/>
  <c r="AJ35" i="1" s="1"/>
  <c r="R60" i="2"/>
  <c r="AI33" i="1" s="1"/>
  <c r="R59" i="2"/>
  <c r="AG33" i="1" s="1"/>
  <c r="S58" i="2"/>
  <c r="R54" i="2"/>
  <c r="AI32" i="1" s="1"/>
  <c r="S53" i="2"/>
  <c r="R53" i="2"/>
  <c r="AG32" i="1" s="1"/>
  <c r="S52" i="2"/>
  <c r="R52" i="2"/>
  <c r="AH32" i="1" s="1"/>
  <c r="R48" i="2"/>
  <c r="AI31" i="1" s="1"/>
  <c r="S47" i="2"/>
  <c r="R47" i="2"/>
  <c r="AG31" i="1" s="1"/>
  <c r="S46" i="2"/>
  <c r="R46" i="2"/>
  <c r="AH31" i="1" s="1"/>
  <c r="R36" i="2"/>
  <c r="AI29" i="1" s="1"/>
  <c r="R35" i="2"/>
  <c r="AG29" i="1" s="1"/>
  <c r="S34" i="2"/>
  <c r="S30" i="2"/>
  <c r="R30" i="2"/>
  <c r="U29" i="2"/>
  <c r="S29" i="2"/>
  <c r="R29" i="2"/>
  <c r="S28" i="2"/>
  <c r="R28" i="2"/>
  <c r="S24" i="2"/>
  <c r="R24" i="2"/>
  <c r="U23" i="2"/>
  <c r="AK21" i="1" s="1"/>
  <c r="AE21" i="1" s="1"/>
  <c r="AF21" i="1" s="1"/>
  <c r="R23" i="2"/>
  <c r="R22" i="2"/>
  <c r="S18" i="2"/>
  <c r="R18" i="2"/>
  <c r="U17" i="2"/>
  <c r="S17" i="2"/>
  <c r="R17" i="2"/>
  <c r="S16" i="2"/>
  <c r="R16" i="2"/>
  <c r="S12" i="2"/>
  <c r="R12" i="2"/>
  <c r="U11" i="2"/>
  <c r="AK15" i="1" s="1"/>
  <c r="S11" i="2"/>
  <c r="R11" i="2"/>
  <c r="S10" i="2"/>
  <c r="R10" i="2"/>
  <c r="S6" i="2"/>
  <c r="R6" i="2"/>
  <c r="U5" i="2"/>
  <c r="AK14" i="1" s="1"/>
  <c r="S5" i="2"/>
  <c r="R5" i="2"/>
  <c r="S4" i="2"/>
  <c r="R4" i="2"/>
  <c r="AE35" i="1"/>
  <c r="AF35" i="1" s="1"/>
  <c r="AE33" i="1"/>
  <c r="AF33" i="1" s="1"/>
  <c r="AE32" i="1"/>
  <c r="AF32" i="1" s="1"/>
  <c r="AE31" i="1"/>
  <c r="AF31" i="1" s="1"/>
  <c r="AE30" i="1"/>
  <c r="AF30" i="1" s="1"/>
  <c r="AE29" i="1"/>
  <c r="AF29" i="1" s="1"/>
  <c r="AE27" i="1"/>
  <c r="AF27" i="1" s="1"/>
  <c r="AE25" i="1"/>
  <c r="AF25" i="1" s="1"/>
  <c r="AJ17" i="1"/>
  <c r="X17" i="1"/>
  <c r="N29" i="2"/>
  <c r="N23" i="2"/>
  <c r="G23" i="2"/>
  <c r="S35" i="1"/>
  <c r="T35" i="1" s="1"/>
  <c r="S33" i="1"/>
  <c r="T33" i="1" s="1"/>
  <c r="S32" i="1"/>
  <c r="T32" i="1" s="1"/>
  <c r="S31" i="1"/>
  <c r="T31" i="1" s="1"/>
  <c r="S30" i="1"/>
  <c r="T30" i="1" s="1"/>
  <c r="S29" i="1"/>
  <c r="T29" i="1" s="1"/>
  <c r="S27" i="1"/>
  <c r="T27" i="1" s="1"/>
  <c r="S25" i="1"/>
  <c r="T25" i="1" s="1"/>
  <c r="R19" i="1"/>
  <c r="S19" i="1" s="1"/>
  <c r="E11" i="2"/>
  <c r="E5" i="2"/>
  <c r="L5" i="2"/>
  <c r="N5" i="2"/>
  <c r="Y14" i="1" s="1"/>
  <c r="X15" i="1"/>
  <c r="L15" i="1"/>
  <c r="L14" i="1"/>
  <c r="L17" i="1"/>
  <c r="K66" i="2"/>
  <c r="K65" i="2"/>
  <c r="L64" i="2"/>
  <c r="K64" i="2"/>
  <c r="V35" i="1" s="1"/>
  <c r="X35" i="1" s="1"/>
  <c r="K60" i="2"/>
  <c r="W33" i="1" s="1"/>
  <c r="L59" i="2"/>
  <c r="K59" i="2"/>
  <c r="U33" i="1" s="1"/>
  <c r="L58" i="2"/>
  <c r="K58" i="2"/>
  <c r="V33" i="1" s="1"/>
  <c r="K54" i="2"/>
  <c r="W32" i="1" s="1"/>
  <c r="L53" i="2"/>
  <c r="K53" i="2"/>
  <c r="U32" i="1" s="1"/>
  <c r="L52" i="2"/>
  <c r="K52" i="2"/>
  <c r="V32" i="1" s="1"/>
  <c r="K48" i="2"/>
  <c r="W31" i="1" s="1"/>
  <c r="L47" i="2"/>
  <c r="K47" i="2"/>
  <c r="U31" i="1" s="1"/>
  <c r="L46" i="2"/>
  <c r="K46" i="2"/>
  <c r="V31" i="1" s="1"/>
  <c r="J42" i="2"/>
  <c r="L42" i="2" s="1"/>
  <c r="J41" i="2"/>
  <c r="L41" i="2" s="1"/>
  <c r="J40" i="2"/>
  <c r="K40" i="2" s="1"/>
  <c r="V30" i="1" s="1"/>
  <c r="J36" i="2"/>
  <c r="L36" i="2" s="1"/>
  <c r="J35" i="2"/>
  <c r="L35" i="2" s="1"/>
  <c r="J34" i="2"/>
  <c r="L34" i="2" s="1"/>
  <c r="L30" i="2"/>
  <c r="K30" i="2"/>
  <c r="L29" i="2"/>
  <c r="K29" i="2"/>
  <c r="L28" i="2"/>
  <c r="K28" i="2"/>
  <c r="L24" i="2"/>
  <c r="K24" i="2"/>
  <c r="K23" i="2"/>
  <c r="K22" i="2"/>
  <c r="L18" i="2"/>
  <c r="K18" i="2"/>
  <c r="N17" i="2"/>
  <c r="L17" i="2"/>
  <c r="K17" i="2"/>
  <c r="L16" i="2"/>
  <c r="K16" i="2"/>
  <c r="L12" i="2"/>
  <c r="K12" i="2"/>
  <c r="N11" i="2"/>
  <c r="L11" i="2"/>
  <c r="K11" i="2"/>
  <c r="L10" i="2"/>
  <c r="K10" i="2"/>
  <c r="L6" i="2"/>
  <c r="K6" i="2"/>
  <c r="K5" i="2"/>
  <c r="L4" i="2"/>
  <c r="K4" i="2"/>
  <c r="D66" i="2"/>
  <c r="D65" i="2"/>
  <c r="E64" i="2"/>
  <c r="D64" i="2"/>
  <c r="J35" i="1" s="1"/>
  <c r="L35" i="1" s="1"/>
  <c r="G35" i="1"/>
  <c r="H35" i="1" s="1"/>
  <c r="G19" i="1"/>
  <c r="G17" i="2"/>
  <c r="G11" i="2"/>
  <c r="G5" i="2"/>
  <c r="G27" i="1"/>
  <c r="H27" i="1" s="1"/>
  <c r="G30" i="1"/>
  <c r="H30" i="1" s="1"/>
  <c r="G31" i="1"/>
  <c r="H31" i="1" s="1"/>
  <c r="G32" i="1"/>
  <c r="H32" i="1" s="1"/>
  <c r="G33" i="1"/>
  <c r="H33" i="1" s="1"/>
  <c r="G29" i="1"/>
  <c r="H29" i="1" s="1"/>
  <c r="D60" i="2"/>
  <c r="K33" i="1" s="1"/>
  <c r="E59" i="2"/>
  <c r="D59" i="2"/>
  <c r="I33" i="1" s="1"/>
  <c r="E58" i="2"/>
  <c r="D58" i="2"/>
  <c r="J33" i="1" s="1"/>
  <c r="D54" i="2"/>
  <c r="K32" i="1" s="1"/>
  <c r="E53" i="2"/>
  <c r="D53" i="2"/>
  <c r="I32" i="1" s="1"/>
  <c r="E52" i="2"/>
  <c r="D52" i="2"/>
  <c r="J32" i="1" s="1"/>
  <c r="C42" i="2"/>
  <c r="C41" i="2"/>
  <c r="C40" i="2"/>
  <c r="C36" i="2"/>
  <c r="C35" i="2"/>
  <c r="C34" i="2"/>
  <c r="Z46" i="2" l="1"/>
  <c r="AS19" i="1"/>
  <c r="Z35" i="2"/>
  <c r="AK17" i="1"/>
  <c r="AH17" i="1" s="1"/>
  <c r="AH15" i="1"/>
  <c r="M15" i="1"/>
  <c r="Y15" i="1"/>
  <c r="V15" i="1" s="1"/>
  <c r="AW14" i="1"/>
  <c r="AT14" i="1" s="1"/>
  <c r="K36" i="2"/>
  <c r="W29" i="1" s="1"/>
  <c r="AI14" i="1"/>
  <c r="AK19" i="1"/>
  <c r="AE19" i="1" s="1"/>
  <c r="AF19" i="1" s="1"/>
  <c r="AW17" i="1"/>
  <c r="AU17" i="1" s="1"/>
  <c r="AV29" i="1"/>
  <c r="AT19" i="1"/>
  <c r="AW15" i="1"/>
  <c r="AU15" i="1" s="1"/>
  <c r="AV33" i="1"/>
  <c r="AV30" i="1"/>
  <c r="AV32" i="1"/>
  <c r="AU19" i="1"/>
  <c r="AS17" i="1"/>
  <c r="Y47" i="2"/>
  <c r="AS31" i="1" s="1"/>
  <c r="AV31" i="1" s="1"/>
  <c r="Z42" i="2"/>
  <c r="AQ19" i="1"/>
  <c r="AR19" i="1" s="1"/>
  <c r="AI17" i="1"/>
  <c r="M17" i="1"/>
  <c r="G17" i="1" s="1"/>
  <c r="H17" i="1" s="1"/>
  <c r="AG15" i="1"/>
  <c r="AI15" i="1"/>
  <c r="AH14" i="1"/>
  <c r="AG14" i="1"/>
  <c r="L40" i="2"/>
  <c r="M14" i="1"/>
  <c r="Y17" i="1"/>
  <c r="S17" i="1" s="1"/>
  <c r="T17" i="1" s="1"/>
  <c r="AJ31" i="1"/>
  <c r="R40" i="2"/>
  <c r="AH30" i="1" s="1"/>
  <c r="W14" i="1"/>
  <c r="U14" i="1"/>
  <c r="S14" i="1"/>
  <c r="T14" i="1" s="1"/>
  <c r="V14" i="1"/>
  <c r="AJ32" i="1"/>
  <c r="AJ33" i="1"/>
  <c r="X31" i="1"/>
  <c r="R42" i="2"/>
  <c r="AI30" i="1" s="1"/>
  <c r="R34" i="2"/>
  <c r="AH29" i="1" s="1"/>
  <c r="AJ29" i="1" s="1"/>
  <c r="S35" i="2"/>
  <c r="R41" i="2"/>
  <c r="AG30" i="1" s="1"/>
  <c r="AE15" i="1"/>
  <c r="AF15" i="1" s="1"/>
  <c r="AE14" i="1"/>
  <c r="AF14" i="1" s="1"/>
  <c r="X32" i="1"/>
  <c r="K35" i="2"/>
  <c r="U29" i="1" s="1"/>
  <c r="K42" i="2"/>
  <c r="W30" i="1" s="1"/>
  <c r="K34" i="2"/>
  <c r="V29" i="1" s="1"/>
  <c r="K41" i="2"/>
  <c r="U30" i="1" s="1"/>
  <c r="X33" i="1"/>
  <c r="L33" i="1"/>
  <c r="L32" i="1"/>
  <c r="X30" i="1" l="1"/>
  <c r="AG17" i="1"/>
  <c r="AE17" i="1"/>
  <c r="AF17" i="1" s="1"/>
  <c r="AT15" i="1"/>
  <c r="AT17" i="1"/>
  <c r="AQ14" i="1"/>
  <c r="AR14" i="1" s="1"/>
  <c r="AU14" i="1"/>
  <c r="W15" i="1"/>
  <c r="U15" i="1"/>
  <c r="AH19" i="1"/>
  <c r="AQ17" i="1"/>
  <c r="AR17" i="1" s="1"/>
  <c r="AS14" i="1"/>
  <c r="AI19" i="1"/>
  <c r="S15" i="1"/>
  <c r="T15" i="1" s="1"/>
  <c r="AG19" i="1"/>
  <c r="AQ15" i="1"/>
  <c r="AR15" i="1" s="1"/>
  <c r="AS15" i="1"/>
  <c r="X29" i="1"/>
  <c r="V17" i="1"/>
  <c r="U17" i="1"/>
  <c r="AJ30" i="1"/>
  <c r="W17" i="1"/>
  <c r="AS23" i="1" l="1"/>
  <c r="AS12" i="1" s="1"/>
  <c r="AG23" i="1"/>
  <c r="AW23" i="1" l="1"/>
  <c r="AQ23" i="1" s="1"/>
  <c r="AK23" i="1"/>
  <c r="AG12" i="1"/>
  <c r="AT23" i="1"/>
  <c r="AW12" i="1"/>
  <c r="AU23" i="1" l="1"/>
  <c r="AU12" i="1" s="1"/>
  <c r="AQ12" i="1"/>
  <c r="AR23" i="1"/>
  <c r="AT12" i="1"/>
  <c r="AV23" i="1"/>
  <c r="AV12" i="1" s="1"/>
  <c r="AV11" i="1" s="1"/>
  <c r="AH23" i="1"/>
  <c r="AI23" i="1"/>
  <c r="AI12" i="1" s="1"/>
  <c r="AE23" i="1"/>
  <c r="AK12" i="1"/>
  <c r="D48" i="2"/>
  <c r="K31" i="1" s="1"/>
  <c r="E47" i="2"/>
  <c r="D47" i="2"/>
  <c r="I31" i="1" s="1"/>
  <c r="E46" i="2"/>
  <c r="D46" i="2"/>
  <c r="J31" i="1" s="1"/>
  <c r="E42" i="2"/>
  <c r="D42" i="2"/>
  <c r="K30" i="1" s="1"/>
  <c r="E41" i="2"/>
  <c r="D41" i="2"/>
  <c r="I30" i="1" s="1"/>
  <c r="E40" i="2"/>
  <c r="D40" i="2"/>
  <c r="J30" i="1" s="1"/>
  <c r="E36" i="2"/>
  <c r="D36" i="2"/>
  <c r="K29" i="1" s="1"/>
  <c r="E35" i="2"/>
  <c r="D35" i="2"/>
  <c r="I29" i="1" s="1"/>
  <c r="E34" i="2"/>
  <c r="D34" i="2"/>
  <c r="J29" i="1" s="1"/>
  <c r="E29" i="2"/>
  <c r="E28" i="2"/>
  <c r="E30" i="2"/>
  <c r="D30" i="2"/>
  <c r="D29" i="2"/>
  <c r="D28" i="2"/>
  <c r="E24" i="2"/>
  <c r="M21" i="1" s="1"/>
  <c r="G21" i="1" s="1"/>
  <c r="H21" i="1" s="1"/>
  <c r="E18" i="2"/>
  <c r="E17" i="2"/>
  <c r="E16" i="2"/>
  <c r="E12" i="2"/>
  <c r="E10" i="2"/>
  <c r="E6" i="2"/>
  <c r="D24" i="2"/>
  <c r="D23" i="2"/>
  <c r="D22" i="2"/>
  <c r="E4" i="2"/>
  <c r="D12" i="2"/>
  <c r="D11" i="2"/>
  <c r="D10" i="2"/>
  <c r="D18" i="2"/>
  <c r="K17" i="1" s="1"/>
  <c r="D17" i="2"/>
  <c r="I17" i="1" s="1"/>
  <c r="D16" i="2"/>
  <c r="J17" i="1" s="1"/>
  <c r="D6" i="2"/>
  <c r="D5" i="2"/>
  <c r="D4" i="2"/>
  <c r="B5" i="1"/>
  <c r="U23" i="1" s="1"/>
  <c r="B4" i="1"/>
  <c r="AM40" i="1" l="1"/>
  <c r="AM45" i="1" s="1"/>
  <c r="AM49" i="1" s="1"/>
  <c r="AM51" i="1" s="1"/>
  <c r="AR12" i="1"/>
  <c r="AE12" i="1"/>
  <c r="AF23" i="1"/>
  <c r="AH12" i="1"/>
  <c r="AJ23" i="1"/>
  <c r="AJ12" i="1" s="1"/>
  <c r="AT11" i="1"/>
  <c r="L31" i="1"/>
  <c r="Y23" i="1"/>
  <c r="L30" i="1"/>
  <c r="B6" i="1"/>
  <c r="L29" i="1"/>
  <c r="AN51" i="1" l="1"/>
  <c r="AM52" i="1"/>
  <c r="AN52" i="1" s="1"/>
  <c r="AA40" i="1"/>
  <c r="AA45" i="1" s="1"/>
  <c r="AA49" i="1" s="1"/>
  <c r="AA51" i="1" s="1"/>
  <c r="AA52" i="1" s="1"/>
  <c r="AF12" i="1"/>
  <c r="AH11" i="1"/>
  <c r="AS11" i="1"/>
  <c r="AU11" i="1"/>
  <c r="AJ11" i="1"/>
  <c r="AG11" i="1"/>
  <c r="AI11" i="1"/>
  <c r="V23" i="1"/>
  <c r="W23" i="1"/>
  <c r="S23" i="1"/>
  <c r="T23" i="1" s="1"/>
  <c r="AB51" i="1" l="1"/>
  <c r="AB52" i="1"/>
  <c r="W21" i="1"/>
  <c r="Y21" i="1"/>
  <c r="Y12" i="1" s="1"/>
  <c r="X23" i="1"/>
  <c r="I14" i="1" l="1"/>
  <c r="K14" i="1"/>
  <c r="J14" i="1"/>
  <c r="G14" i="1"/>
  <c r="H14" i="1" s="1"/>
  <c r="K15" i="1"/>
  <c r="I15" i="1"/>
  <c r="J15" i="1"/>
  <c r="G15" i="1"/>
  <c r="H15" i="1" s="1"/>
  <c r="I23" i="1" l="1"/>
  <c r="M23" i="1" s="1"/>
  <c r="U12" i="1"/>
  <c r="W12" i="1"/>
  <c r="I12" i="1" l="1"/>
  <c r="M12" i="1"/>
  <c r="J23" i="1"/>
  <c r="G23" i="1"/>
  <c r="K23" i="1"/>
  <c r="K12" i="1" s="1"/>
  <c r="S21" i="1"/>
  <c r="T21" i="1" s="1"/>
  <c r="T12" i="1" s="1"/>
  <c r="G12" i="1" l="1"/>
  <c r="C40" i="1" s="1"/>
  <c r="C45" i="1" s="1"/>
  <c r="C49" i="1" s="1"/>
  <c r="C51" i="1" s="1"/>
  <c r="H23" i="1"/>
  <c r="H12" i="1" s="1"/>
  <c r="S12" i="1"/>
  <c r="O40" i="1" s="1"/>
  <c r="O45" i="1" s="1"/>
  <c r="O49" i="1" s="1"/>
  <c r="J12" i="1"/>
  <c r="L23" i="1"/>
  <c r="L12" i="1" s="1"/>
  <c r="V12" i="1"/>
  <c r="X12" i="1"/>
  <c r="O51" i="1" l="1"/>
  <c r="O52" i="1" s="1"/>
  <c r="C52" i="1"/>
  <c r="D51" i="1"/>
  <c r="D52" i="1" s="1"/>
  <c r="J11" i="1"/>
  <c r="P51" i="1"/>
  <c r="P52" i="1" s="1"/>
  <c r="L11" i="1"/>
  <c r="I11" i="1"/>
  <c r="K11" i="1"/>
  <c r="V11" i="1"/>
  <c r="X11" i="1"/>
  <c r="W11" i="1"/>
  <c r="U11" i="1"/>
</calcChain>
</file>

<file path=xl/sharedStrings.xml><?xml version="1.0" encoding="utf-8"?>
<sst xmlns="http://schemas.openxmlformats.org/spreadsheetml/2006/main" count="574" uniqueCount="103">
  <si>
    <t>Brazil</t>
  </si>
  <si>
    <t>Russia</t>
  </si>
  <si>
    <t>India</t>
  </si>
  <si>
    <t>China</t>
  </si>
  <si>
    <t>Cereals</t>
  </si>
  <si>
    <t>Wheat</t>
  </si>
  <si>
    <t>Rice</t>
  </si>
  <si>
    <t>Specific Food</t>
  </si>
  <si>
    <t>Price</t>
  </si>
  <si>
    <t>Roots/Tubers</t>
  </si>
  <si>
    <t>Potato</t>
  </si>
  <si>
    <t>Proportions (W/I)</t>
  </si>
  <si>
    <t>Proportions (W/O)</t>
  </si>
  <si>
    <t>Kcal</t>
  </si>
  <si>
    <t>Kcal Carb</t>
  </si>
  <si>
    <t>Kcal Protein</t>
  </si>
  <si>
    <t>Kcal Fat</t>
  </si>
  <si>
    <t>Carb</t>
  </si>
  <si>
    <t>Protein</t>
  </si>
  <si>
    <t>Fat</t>
  </si>
  <si>
    <t>g</t>
  </si>
  <si>
    <t>abs</t>
  </si>
  <si>
    <t>Kcal per gram</t>
  </si>
  <si>
    <t>gram per Kcal</t>
  </si>
  <si>
    <t>Pulses</t>
  </si>
  <si>
    <t>Oil</t>
  </si>
  <si>
    <t>Meat/Fish</t>
  </si>
  <si>
    <t>Salad/Cooking Oil</t>
  </si>
  <si>
    <t>Salt</t>
  </si>
  <si>
    <t>Tea/Coffee</t>
  </si>
  <si>
    <t>Coffee</t>
  </si>
  <si>
    <t>Veg</t>
  </si>
  <si>
    <t>Cabbage</t>
  </si>
  <si>
    <t>Carrots</t>
  </si>
  <si>
    <t>Onions</t>
  </si>
  <si>
    <t>Bannana</t>
  </si>
  <si>
    <t>Oranges</t>
  </si>
  <si>
    <t>Orange</t>
  </si>
  <si>
    <t>Cost</t>
  </si>
  <si>
    <t>Totals</t>
  </si>
  <si>
    <t>%</t>
  </si>
  <si>
    <t>Sugar</t>
  </si>
  <si>
    <t>White Sugar</t>
  </si>
  <si>
    <t>Raw Sugar</t>
  </si>
  <si>
    <t>Food Share</t>
  </si>
  <si>
    <t>Total required income</t>
  </si>
  <si>
    <t>margin</t>
  </si>
  <si>
    <t>Soy oil</t>
  </si>
  <si>
    <t>Sunflower oil</t>
  </si>
  <si>
    <t>Pelagic Fish</t>
  </si>
  <si>
    <t>Tea</t>
  </si>
  <si>
    <t>Apples</t>
  </si>
  <si>
    <t>Family multiplier</t>
  </si>
  <si>
    <t>Split Peas</t>
  </si>
  <si>
    <t>Soya Oil</t>
  </si>
  <si>
    <t>Chicken</t>
  </si>
  <si>
    <t>Tomatoes</t>
  </si>
  <si>
    <t>Spinach</t>
  </si>
  <si>
    <t>Lemon</t>
  </si>
  <si>
    <t>Tomato</t>
  </si>
  <si>
    <t>Chinese Cabbage</t>
  </si>
  <si>
    <t>Fish</t>
  </si>
  <si>
    <t>Beancurd</t>
  </si>
  <si>
    <t>Sweet Potato</t>
  </si>
  <si>
    <t>Green Tea</t>
  </si>
  <si>
    <t>Daily Living Wage</t>
  </si>
  <si>
    <t>annual Living wage</t>
  </si>
  <si>
    <t>upper middle</t>
  </si>
  <si>
    <t>Low income</t>
  </si>
  <si>
    <t>lower middle</t>
  </si>
  <si>
    <t>Milk</t>
  </si>
  <si>
    <t>milk</t>
  </si>
  <si>
    <t>Milk NP</t>
  </si>
  <si>
    <t>Meat Fish</t>
  </si>
  <si>
    <t>cost per gram protein</t>
  </si>
  <si>
    <r>
      <t>16 Round of beef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1 kg</t>
    </r>
  </si>
  <si>
    <r>
      <t>17 Beef, stewing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1 kg</t>
    </r>
  </si>
  <si>
    <r>
      <t>18 Beef</t>
    </r>
    <r>
      <rPr>
        <sz val="10"/>
        <color rgb="FF000000"/>
        <rFont val="Tahoma"/>
        <family val="2"/>
      </rPr>
      <t>  </t>
    </r>
  </si>
  <si>
    <r>
      <t>(a) with bone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1 kg </t>
    </r>
  </si>
  <si>
    <r>
      <t>(b) without bone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1 kg </t>
    </r>
  </si>
  <si>
    <r>
      <t>19 Corned beef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340 g</t>
    </r>
  </si>
  <si>
    <r>
      <t>20 Veal, leg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1 kg</t>
    </r>
  </si>
  <si>
    <r>
      <t>21 Lamb, leg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1 kg</t>
    </r>
  </si>
  <si>
    <r>
      <t>22 Mutton, stewing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1 kg</t>
    </r>
  </si>
  <si>
    <r>
      <t>23 Pork chops, loin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1 kg</t>
    </r>
  </si>
  <si>
    <r>
      <t>24 Pork</t>
    </r>
    <r>
      <rPr>
        <sz val="10"/>
        <color rgb="FF000000"/>
        <rFont val="Tahoma"/>
        <family val="2"/>
      </rPr>
      <t>  </t>
    </r>
  </si>
  <si>
    <r>
      <t>(a) with bone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a) 1 kg </t>
    </r>
  </si>
  <si>
    <r>
      <t>(b) without bone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b) 1 kg </t>
    </r>
  </si>
  <si>
    <r>
      <t>25 Ham, cooked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500 g</t>
    </r>
  </si>
  <si>
    <r>
      <t>26 Bacon, side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250 g</t>
    </r>
  </si>
  <si>
    <r>
      <t>27 Chicken, cleaned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1 kg</t>
    </r>
  </si>
  <si>
    <r>
      <t>28 Chicken, live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1 kg</t>
    </r>
  </si>
  <si>
    <r>
      <t>29 Duck, cleaned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1 kg</t>
    </r>
  </si>
  <si>
    <r>
      <t>30 Fish, fresh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1 kg</t>
    </r>
  </si>
  <si>
    <r>
      <t>31 Cod, frozen</t>
    </r>
    <r>
      <rPr>
        <sz val="10"/>
        <color rgb="FF000000"/>
        <rFont val="Tahoma"/>
        <family val="2"/>
      </rPr>
      <t>  </t>
    </r>
    <r>
      <rPr>
        <i/>
        <sz val="10"/>
        <color rgb="FF000000"/>
        <rFont val="Tahoma"/>
        <family val="2"/>
      </rPr>
      <t>500 g</t>
    </r>
  </si>
  <si>
    <t>cost/gram</t>
  </si>
  <si>
    <t>protein/gram</t>
  </si>
  <si>
    <t>gram/gram protein</t>
  </si>
  <si>
    <t>Poultry</t>
  </si>
  <si>
    <t>Fish,Fresh</t>
  </si>
  <si>
    <t>Milk, NP</t>
  </si>
  <si>
    <t>annual Living wage usd</t>
  </si>
  <si>
    <t>Family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</si>
</sst>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00"/>
    <numFmt numFmtId="167" formatCode="0.00000000"/>
    <numFmt numFmtId="168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i/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/>
    </xf>
    <xf numFmtId="11" fontId="0" fillId="0" borderId="0" xfId="0" applyNumberFormat="1"/>
    <xf numFmtId="9" fontId="0" fillId="0" borderId="0" xfId="0" applyNumberForma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2" fontId="0" fillId="0" borderId="0" xfId="0" applyNumberFormat="1" applyBorder="1"/>
    <xf numFmtId="164" fontId="2" fillId="0" borderId="0" xfId="0" applyNumberFormat="1" applyFont="1"/>
    <xf numFmtId="164" fontId="0" fillId="0" borderId="0" xfId="0" applyNumberFormat="1"/>
    <xf numFmtId="164" fontId="3" fillId="0" borderId="0" xfId="0" applyNumberFormat="1" applyFont="1"/>
    <xf numFmtId="164" fontId="0" fillId="0" borderId="3" xfId="0" applyNumberFormat="1" applyBorder="1"/>
    <xf numFmtId="164" fontId="0" fillId="0" borderId="0" xfId="0" applyNumberFormat="1" applyBorder="1"/>
    <xf numFmtId="164" fontId="0" fillId="0" borderId="2" xfId="0" applyNumberFormat="1" applyBorder="1"/>
    <xf numFmtId="9" fontId="0" fillId="0" borderId="0" xfId="2" applyFont="1"/>
    <xf numFmtId="0" fontId="0" fillId="0" borderId="4" xfId="0" applyBorder="1"/>
    <xf numFmtId="164" fontId="0" fillId="0" borderId="1" xfId="0" applyNumberFormat="1" applyBorder="1"/>
    <xf numFmtId="164" fontId="0" fillId="0" borderId="5" xfId="0" applyNumberFormat="1" applyBorder="1"/>
    <xf numFmtId="0" fontId="0" fillId="0" borderId="6" xfId="0" applyBorder="1"/>
    <xf numFmtId="164" fontId="0" fillId="0" borderId="7" xfId="0" applyNumberFormat="1" applyBorder="1"/>
    <xf numFmtId="0" fontId="2" fillId="0" borderId="0" xfId="0" applyFont="1" applyBorder="1" applyAlignment="1"/>
    <xf numFmtId="164" fontId="2" fillId="0" borderId="0" xfId="0" applyNumberFormat="1" applyFont="1" applyBorder="1" applyAlignment="1"/>
    <xf numFmtId="164" fontId="2" fillId="0" borderId="7" xfId="0" applyNumberFormat="1" applyFont="1" applyBorder="1" applyAlignment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9" fontId="3" fillId="0" borderId="0" xfId="2" applyFont="1" applyBorder="1" applyAlignment="1">
      <alignment horizontal="center"/>
    </xf>
    <xf numFmtId="9" fontId="0" fillId="0" borderId="0" xfId="0" applyNumberFormat="1" applyBorder="1"/>
    <xf numFmtId="11" fontId="0" fillId="0" borderId="0" xfId="0" applyNumberFormat="1" applyBorder="1"/>
    <xf numFmtId="1" fontId="0" fillId="0" borderId="0" xfId="0" applyNumberFormat="1" applyBorder="1"/>
    <xf numFmtId="2" fontId="0" fillId="0" borderId="6" xfId="0" applyNumberFormat="1" applyBorder="1"/>
    <xf numFmtId="164" fontId="0" fillId="0" borderId="6" xfId="0" applyNumberFormat="1" applyBorder="1"/>
    <xf numFmtId="164" fontId="0" fillId="0" borderId="6" xfId="2" applyNumberFormat="1" applyFont="1" applyBorder="1"/>
    <xf numFmtId="0" fontId="0" fillId="0" borderId="5" xfId="0" applyBorder="1"/>
    <xf numFmtId="0" fontId="0" fillId="0" borderId="7" xfId="0" applyBorder="1"/>
    <xf numFmtId="0" fontId="2" fillId="0" borderId="6" xfId="0" applyFont="1" applyBorder="1" applyAlignment="1"/>
    <xf numFmtId="164" fontId="0" fillId="0" borderId="0" xfId="0" applyNumberFormat="1" applyBorder="1" applyAlignment="1">
      <alignment horizontal="right"/>
    </xf>
    <xf numFmtId="43" fontId="0" fillId="0" borderId="6" xfId="1" applyFont="1" applyBorder="1"/>
    <xf numFmtId="9" fontId="0" fillId="0" borderId="0" xfId="2" applyFont="1" applyBorder="1"/>
    <xf numFmtId="165" fontId="0" fillId="0" borderId="0" xfId="1" applyNumberFormat="1" applyFont="1" applyBorder="1"/>
    <xf numFmtId="43" fontId="0" fillId="0" borderId="0" xfId="0" applyNumberFormat="1" applyBorder="1"/>
    <xf numFmtId="2" fontId="0" fillId="0" borderId="0" xfId="0" applyNumberFormat="1" applyFill="1" applyBorder="1"/>
    <xf numFmtId="0" fontId="0" fillId="0" borderId="6" xfId="0" applyFill="1" applyBorder="1"/>
    <xf numFmtId="2" fontId="0" fillId="0" borderId="0" xfId="0" applyNumberFormat="1"/>
    <xf numFmtId="11" fontId="4" fillId="0" borderId="0" xfId="0" applyNumberFormat="1" applyFont="1" applyBorder="1" applyAlignment="1">
      <alignment horizontal="left" vertical="center" wrapText="1" indent="1"/>
    </xf>
    <xf numFmtId="11" fontId="4" fillId="0" borderId="0" xfId="0" applyNumberFormat="1" applyFont="1" applyBorder="1" applyAlignment="1">
      <alignment horizontal="left" vertical="center" wrapText="1" indent="2"/>
    </xf>
    <xf numFmtId="11" fontId="4" fillId="0" borderId="0" xfId="0" applyNumberFormat="1" applyFont="1" applyBorder="1"/>
    <xf numFmtId="166" fontId="0" fillId="0" borderId="0" xfId="0" applyNumberFormat="1"/>
    <xf numFmtId="167" fontId="0" fillId="0" borderId="0" xfId="0" applyNumberFormat="1"/>
    <xf numFmtId="9" fontId="2" fillId="0" borderId="0" xfId="0" applyNumberFormat="1" applyFont="1" applyBorder="1" applyAlignment="1"/>
    <xf numFmtId="43" fontId="0" fillId="0" borderId="6" xfId="0" applyNumberFormat="1" applyBorder="1"/>
    <xf numFmtId="43" fontId="0" fillId="0" borderId="0" xfId="0" applyNumberFormat="1"/>
    <xf numFmtId="166" fontId="0" fillId="0" borderId="0" xfId="0" applyNumberFormat="1" applyBorder="1"/>
    <xf numFmtId="2" fontId="3" fillId="0" borderId="0" xfId="0" applyNumberFormat="1" applyFont="1" applyBorder="1" applyAlignment="1">
      <alignment horizontal="center"/>
    </xf>
    <xf numFmtId="43" fontId="0" fillId="0" borderId="0" xfId="2" applyNumberFormat="1" applyFont="1"/>
    <xf numFmtId="168" fontId="0" fillId="0" borderId="0" xfId="2" applyNumberFormat="1" applyFont="1"/>
    <xf numFmtId="0" fontId="2" fillId="0" borderId="6" xfId="0" applyFont="1" applyBorder="1"/>
    <xf numFmtId="0" fontId="2" fillId="0" borderId="0" xfId="0" applyFont="1" applyBorder="1"/>
    <xf numFmtId="164" fontId="2" fillId="0" borderId="0" xfId="0" applyNumberFormat="1" applyFont="1" applyBorder="1"/>
    <xf numFmtId="164" fontId="2" fillId="0" borderId="7" xfId="0" applyNumberFormat="1" applyFont="1" applyBorder="1"/>
    <xf numFmtId="0" fontId="2" fillId="0" borderId="7" xfId="0" applyFont="1" applyBorder="1"/>
    <xf numFmtId="0" fontId="0" fillId="0" borderId="0" xfId="0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iving%20Wage\food%20pri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od prices"/>
      <sheetName val="Common Classification"/>
      <sheetName val="Common Classification per gram"/>
      <sheetName val="Food CPI"/>
    </sheetNames>
    <sheetDataSet>
      <sheetData sheetId="0" refreshError="1"/>
      <sheetData sheetId="1" refreshError="1"/>
      <sheetData sheetId="2">
        <row r="45">
          <cell r="J45">
            <v>1.5400000000000001E-3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81"/>
  <sheetViews>
    <sheetView topLeftCell="G1" workbookViewId="0">
      <selection activeCell="C75" sqref="C75"/>
    </sheetView>
  </sheetViews>
  <sheetFormatPr defaultRowHeight="14.5" x14ac:dyDescent="0.35"/>
  <cols>
    <col min="2" max="2" width="11" style="12" bestFit="1" customWidth="1"/>
    <col min="3" max="3" width="9.1796875" style="12"/>
    <col min="4" max="5" width="13.7265625" style="12" bestFit="1" customWidth="1"/>
    <col min="9" max="9" width="11" style="12" bestFit="1" customWidth="1"/>
    <col min="10" max="10" width="9.1796875" style="12"/>
    <col min="11" max="12" width="13.7265625" style="12" bestFit="1" customWidth="1"/>
    <col min="16" max="16" width="11" style="12" bestFit="1" customWidth="1"/>
    <col min="17" max="17" width="9.1796875" style="12"/>
    <col min="18" max="19" width="13.7265625" style="12" bestFit="1" customWidth="1"/>
    <col min="23" max="23" width="11" style="12" bestFit="1" customWidth="1"/>
    <col min="24" max="24" width="9.1796875" style="12"/>
    <col min="25" max="26" width="13.7265625" style="12" bestFit="1" customWidth="1"/>
  </cols>
  <sheetData>
    <row r="1" spans="2:28" x14ac:dyDescent="0.35">
      <c r="B1" s="11" t="s">
        <v>0</v>
      </c>
      <c r="I1" s="11" t="s">
        <v>1</v>
      </c>
      <c r="P1" s="11" t="s">
        <v>2</v>
      </c>
      <c r="W1" s="11" t="s">
        <v>3</v>
      </c>
    </row>
    <row r="2" spans="2:28" ht="15" thickBot="1" x14ac:dyDescent="0.4">
      <c r="B2" s="13" t="s">
        <v>5</v>
      </c>
      <c r="C2" s="13" t="s">
        <v>21</v>
      </c>
      <c r="D2" s="13" t="s">
        <v>22</v>
      </c>
      <c r="E2" s="13" t="s">
        <v>23</v>
      </c>
      <c r="I2" s="13" t="s">
        <v>5</v>
      </c>
      <c r="J2" s="13" t="s">
        <v>21</v>
      </c>
      <c r="K2" s="13" t="s">
        <v>22</v>
      </c>
      <c r="L2" s="13" t="s">
        <v>23</v>
      </c>
      <c r="P2" s="13" t="s">
        <v>5</v>
      </c>
      <c r="Q2" s="13" t="s">
        <v>21</v>
      </c>
      <c r="R2" s="13" t="s">
        <v>22</v>
      </c>
      <c r="S2" s="13" t="s">
        <v>23</v>
      </c>
      <c r="W2" s="13" t="s">
        <v>5</v>
      </c>
      <c r="X2" s="13" t="s">
        <v>21</v>
      </c>
      <c r="Y2" s="13" t="s">
        <v>22</v>
      </c>
      <c r="Z2" s="13" t="s">
        <v>23</v>
      </c>
    </row>
    <row r="3" spans="2:28" ht="15" thickTop="1" x14ac:dyDescent="0.35">
      <c r="B3" s="12" t="s">
        <v>20</v>
      </c>
      <c r="C3" s="12">
        <v>141.91780821917808</v>
      </c>
      <c r="I3" s="12" t="s">
        <v>20</v>
      </c>
      <c r="J3" s="6">
        <v>366.02739726027397</v>
      </c>
      <c r="P3" s="12" t="s">
        <v>20</v>
      </c>
      <c r="Q3" s="6">
        <v>151.23287671232876</v>
      </c>
      <c r="W3" s="12" t="s">
        <v>20</v>
      </c>
      <c r="X3" s="6">
        <v>184.93150684931507</v>
      </c>
    </row>
    <row r="4" spans="2:28" x14ac:dyDescent="0.35">
      <c r="B4" s="12" t="s">
        <v>17</v>
      </c>
      <c r="C4" s="12">
        <v>334.7</v>
      </c>
      <c r="D4" s="12">
        <f>C4/C3</f>
        <v>2.3584073359073359</v>
      </c>
      <c r="E4" s="12">
        <f>C3/C4</f>
        <v>0.42401496330797156</v>
      </c>
      <c r="F4" s="12"/>
      <c r="I4" s="12" t="s">
        <v>17</v>
      </c>
      <c r="J4" s="7">
        <v>887.8</v>
      </c>
      <c r="K4" s="12">
        <f>J4/J3</f>
        <v>2.425501497005988</v>
      </c>
      <c r="L4" s="12">
        <f>J3/J4</f>
        <v>0.41228587211114437</v>
      </c>
      <c r="P4" s="12" t="s">
        <v>17</v>
      </c>
      <c r="Q4" s="7">
        <v>396</v>
      </c>
      <c r="R4" s="12">
        <f>Q4/Q3</f>
        <v>2.6184782608695651</v>
      </c>
      <c r="S4" s="12">
        <f>Q3/Q4</f>
        <v>0.38190120381901205</v>
      </c>
      <c r="W4" s="12" t="s">
        <v>17</v>
      </c>
      <c r="X4" s="7">
        <v>485.5</v>
      </c>
      <c r="Y4" s="12">
        <f>X4/X3</f>
        <v>2.6252962962962965</v>
      </c>
      <c r="Z4" s="12">
        <f>X3/X4</f>
        <v>0.38090938588942341</v>
      </c>
    </row>
    <row r="5" spans="2:28" x14ac:dyDescent="0.35">
      <c r="B5" s="12" t="s">
        <v>18</v>
      </c>
      <c r="C5" s="12">
        <v>40.799999999999997</v>
      </c>
      <c r="D5" s="12">
        <f>C5/C3</f>
        <v>0.28749034749034746</v>
      </c>
      <c r="E5" s="12">
        <f>C3/C5</f>
        <v>3.4783776524308356</v>
      </c>
      <c r="G5" s="12">
        <f>C3/SUM(C4:C6)</f>
        <v>0.36482727048631897</v>
      </c>
      <c r="I5" s="12" t="s">
        <v>18</v>
      </c>
      <c r="J5" s="7">
        <v>124.4</v>
      </c>
      <c r="K5" s="12">
        <f>J5/J3</f>
        <v>0.33986526946107787</v>
      </c>
      <c r="L5" s="12">
        <f>J3/J5</f>
        <v>2.9423424217063823</v>
      </c>
      <c r="N5" s="12">
        <f>J3/SUM(J4:J6)</f>
        <v>0.35161133262274158</v>
      </c>
      <c r="P5" s="12" t="s">
        <v>18</v>
      </c>
      <c r="Q5" s="7">
        <v>55.2</v>
      </c>
      <c r="R5" s="12">
        <f>Q5/Q3</f>
        <v>0.36500000000000005</v>
      </c>
      <c r="S5" s="12">
        <f>Q3/Q5</f>
        <v>2.7397260273972601</v>
      </c>
      <c r="U5" s="12">
        <f>Q3/SUM(Q4:Q6)</f>
        <v>0.32108891021725849</v>
      </c>
      <c r="W5" s="12" t="s">
        <v>18</v>
      </c>
      <c r="X5" s="7">
        <v>75.599999999999994</v>
      </c>
      <c r="Y5" s="12">
        <f>X5/X3</f>
        <v>0.40879999999999994</v>
      </c>
      <c r="Z5" s="12">
        <f>X3/X5</f>
        <v>2.4461839530332683</v>
      </c>
      <c r="AB5" s="12">
        <f>X3/SUM(X4:X6)</f>
        <v>0.31397539363211385</v>
      </c>
    </row>
    <row r="6" spans="2:28" x14ac:dyDescent="0.35">
      <c r="B6" s="12" t="s">
        <v>19</v>
      </c>
      <c r="C6" s="12">
        <v>13.5</v>
      </c>
      <c r="D6" s="12">
        <f>C6/C3</f>
        <v>9.5125482625482621E-2</v>
      </c>
      <c r="E6" s="12">
        <f>C3/C6</f>
        <v>10.512430238457636</v>
      </c>
      <c r="F6" s="12"/>
      <c r="I6" s="12" t="s">
        <v>19</v>
      </c>
      <c r="J6" s="8">
        <v>28.8</v>
      </c>
      <c r="K6" s="12">
        <f>J6/J3</f>
        <v>7.8682634730538922E-2</v>
      </c>
      <c r="L6" s="12">
        <f>J3/J6</f>
        <v>12.709284627092845</v>
      </c>
      <c r="M6" s="12"/>
      <c r="P6" s="12" t="s">
        <v>19</v>
      </c>
      <c r="Q6" s="8">
        <v>19.8</v>
      </c>
      <c r="R6" s="12">
        <f>Q6/Q3</f>
        <v>0.13092391304347828</v>
      </c>
      <c r="S6" s="12">
        <f>Q3/Q6</f>
        <v>7.6380240763802405</v>
      </c>
      <c r="T6" s="12"/>
      <c r="W6" s="12" t="s">
        <v>19</v>
      </c>
      <c r="X6" s="8">
        <v>27.900000000000002</v>
      </c>
      <c r="Y6" s="12">
        <f>X6/X3</f>
        <v>0.15086666666666668</v>
      </c>
      <c r="Z6" s="12">
        <f>X3/X6</f>
        <v>6.6283694211224038</v>
      </c>
      <c r="AA6" s="12"/>
    </row>
    <row r="8" spans="2:28" x14ac:dyDescent="0.35">
      <c r="B8" s="13" t="s">
        <v>6</v>
      </c>
      <c r="C8" s="13" t="s">
        <v>21</v>
      </c>
      <c r="D8" s="13" t="s">
        <v>22</v>
      </c>
      <c r="E8" s="13" t="s">
        <v>23</v>
      </c>
      <c r="I8" s="13" t="s">
        <v>6</v>
      </c>
      <c r="J8" s="13" t="s">
        <v>21</v>
      </c>
      <c r="K8" s="13" t="s">
        <v>22</v>
      </c>
      <c r="L8" s="13" t="s">
        <v>23</v>
      </c>
      <c r="P8" s="13" t="s">
        <v>6</v>
      </c>
      <c r="Q8" s="13" t="s">
        <v>21</v>
      </c>
      <c r="R8" s="13" t="s">
        <v>22</v>
      </c>
      <c r="S8" s="13" t="s">
        <v>23</v>
      </c>
      <c r="W8" s="13" t="s">
        <v>6</v>
      </c>
      <c r="X8" s="13" t="s">
        <v>21</v>
      </c>
      <c r="Y8" s="13" t="s">
        <v>22</v>
      </c>
      <c r="Z8" s="13" t="s">
        <v>23</v>
      </c>
    </row>
    <row r="9" spans="2:28" x14ac:dyDescent="0.35">
      <c r="B9" s="12" t="s">
        <v>20</v>
      </c>
      <c r="C9" s="14">
        <v>107.67123287671232</v>
      </c>
      <c r="I9" s="12" t="s">
        <v>20</v>
      </c>
      <c r="J9" s="9">
        <v>13.424657534246576</v>
      </c>
      <c r="P9" s="12" t="s">
        <v>20</v>
      </c>
      <c r="Q9" s="9">
        <v>196.16438356164383</v>
      </c>
      <c r="W9" s="12" t="s">
        <v>20</v>
      </c>
      <c r="X9" s="9">
        <v>207.67123287671234</v>
      </c>
    </row>
    <row r="10" spans="2:28" x14ac:dyDescent="0.35">
      <c r="B10" s="12" t="s">
        <v>17</v>
      </c>
      <c r="C10" s="15">
        <v>361.1</v>
      </c>
      <c r="D10" s="12">
        <f>C10/C9</f>
        <v>3.353727735368957</v>
      </c>
      <c r="E10" s="12">
        <f>C9/C10</f>
        <v>0.29817566567907039</v>
      </c>
      <c r="I10" s="12" t="s">
        <v>17</v>
      </c>
      <c r="J10" s="7">
        <v>42.5</v>
      </c>
      <c r="K10" s="12">
        <f>J10/J9</f>
        <v>3.1658163265306123</v>
      </c>
      <c r="L10" s="12">
        <f>J9/J10</f>
        <v>0.31587429492344882</v>
      </c>
      <c r="P10" s="12" t="s">
        <v>17</v>
      </c>
      <c r="Q10" s="7">
        <v>641.4</v>
      </c>
      <c r="R10" s="12">
        <f>Q10/Q9</f>
        <v>3.2697067039106145</v>
      </c>
      <c r="S10" s="12">
        <f>Q9/Q10</f>
        <v>0.30583782906399104</v>
      </c>
      <c r="W10" s="12" t="s">
        <v>17</v>
      </c>
      <c r="X10" s="7">
        <v>701</v>
      </c>
      <c r="Y10" s="12">
        <f>X10/X9</f>
        <v>3.3755277044854881</v>
      </c>
      <c r="Z10" s="12">
        <f>X9/X10</f>
        <v>0.2962499755730561</v>
      </c>
    </row>
    <row r="11" spans="2:28" x14ac:dyDescent="0.35">
      <c r="B11" s="12" t="s">
        <v>18</v>
      </c>
      <c r="C11" s="15">
        <v>31.6</v>
      </c>
      <c r="D11" s="12">
        <f>C11/C9</f>
        <v>0.29348600508905853</v>
      </c>
      <c r="E11" s="12">
        <f>C9/C11</f>
        <v>3.4073174960984911</v>
      </c>
      <c r="G11">
        <f>C9/(SUM(C10:C12))</f>
        <v>0.26985271397672256</v>
      </c>
      <c r="I11" s="12" t="s">
        <v>18</v>
      </c>
      <c r="J11" s="7">
        <v>3.6</v>
      </c>
      <c r="K11" s="12">
        <f>J11/J9</f>
        <v>0.26816326530612244</v>
      </c>
      <c r="L11" s="12">
        <f>J9/J11</f>
        <v>3.7290715372907153</v>
      </c>
      <c r="N11">
        <f>J9/(SUM(J10:J12))</f>
        <v>0.28563101136694841</v>
      </c>
      <c r="P11" s="12" t="s">
        <v>18</v>
      </c>
      <c r="Q11" s="7">
        <v>53.2</v>
      </c>
      <c r="R11" s="12">
        <f>Q11/Q9</f>
        <v>0.27120111731843577</v>
      </c>
      <c r="S11" s="12">
        <f>Q9/Q11</f>
        <v>3.6873004428880418</v>
      </c>
      <c r="U11">
        <f>Q9/(SUM(Q10:Q12))</f>
        <v>0.27667755086268525</v>
      </c>
      <c r="W11" s="12" t="s">
        <v>18</v>
      </c>
      <c r="X11" s="7">
        <v>58</v>
      </c>
      <c r="Y11" s="12">
        <f>X11/X9</f>
        <v>0.27928759894459104</v>
      </c>
      <c r="Z11" s="12">
        <f>X9/X11</f>
        <v>3.5805384978743509</v>
      </c>
      <c r="AB11">
        <f>X9/(SUM(X10:X12))</f>
        <v>0.26421276447418873</v>
      </c>
    </row>
    <row r="12" spans="2:28" x14ac:dyDescent="0.35">
      <c r="B12" s="12" t="s">
        <v>19</v>
      </c>
      <c r="C12" s="16">
        <v>6.3</v>
      </c>
      <c r="D12" s="12">
        <f>C12/C9</f>
        <v>5.8511450381679389E-2</v>
      </c>
      <c r="E12" s="12">
        <f>C9/C12</f>
        <v>17.090671885192432</v>
      </c>
      <c r="I12" s="12" t="s">
        <v>19</v>
      </c>
      <c r="J12" s="8">
        <v>0.9</v>
      </c>
      <c r="K12" s="12">
        <f>J12/J9</f>
        <v>6.7040816326530611E-2</v>
      </c>
      <c r="L12" s="12">
        <f>J9/J12</f>
        <v>14.916286149162861</v>
      </c>
      <c r="P12" s="12" t="s">
        <v>19</v>
      </c>
      <c r="Q12" s="8">
        <v>14.4</v>
      </c>
      <c r="R12" s="12">
        <f>Q12/Q9</f>
        <v>7.3407821229050277E-2</v>
      </c>
      <c r="S12" s="12">
        <f>Q9/Q12</f>
        <v>13.622526636225265</v>
      </c>
      <c r="W12" s="12" t="s">
        <v>19</v>
      </c>
      <c r="X12" s="8">
        <v>27</v>
      </c>
      <c r="Y12" s="12">
        <f>X12/X9</f>
        <v>0.1300131926121372</v>
      </c>
      <c r="Z12" s="12">
        <f>X9/X12</f>
        <v>7.6915271435819381</v>
      </c>
    </row>
    <row r="14" spans="2:28" x14ac:dyDescent="0.35">
      <c r="B14" s="13" t="s">
        <v>10</v>
      </c>
      <c r="C14" s="13" t="s">
        <v>21</v>
      </c>
      <c r="D14" s="13" t="s">
        <v>22</v>
      </c>
      <c r="E14" s="13" t="s">
        <v>23</v>
      </c>
      <c r="I14" s="13" t="s">
        <v>10</v>
      </c>
      <c r="J14" s="13" t="s">
        <v>21</v>
      </c>
      <c r="K14" s="13" t="s">
        <v>22</v>
      </c>
      <c r="L14" s="13" t="s">
        <v>23</v>
      </c>
      <c r="P14" s="13" t="s">
        <v>10</v>
      </c>
      <c r="Q14" s="13" t="s">
        <v>21</v>
      </c>
      <c r="R14" s="13" t="s">
        <v>22</v>
      </c>
      <c r="S14" s="13" t="s">
        <v>23</v>
      </c>
      <c r="W14" s="13" t="s">
        <v>63</v>
      </c>
      <c r="X14" s="13" t="s">
        <v>21</v>
      </c>
      <c r="Y14" s="13" t="s">
        <v>22</v>
      </c>
      <c r="Z14" s="13" t="s">
        <v>23</v>
      </c>
    </row>
    <row r="15" spans="2:28" x14ac:dyDescent="0.35">
      <c r="B15" s="12" t="s">
        <v>20</v>
      </c>
      <c r="C15" s="14">
        <v>41.643835616438359</v>
      </c>
      <c r="I15" s="12" t="s">
        <v>20</v>
      </c>
      <c r="J15" s="9">
        <v>301.64383561643837</v>
      </c>
      <c r="P15" s="12" t="s">
        <v>20</v>
      </c>
      <c r="Q15" s="9">
        <v>51.780821917808218</v>
      </c>
      <c r="W15" s="12" t="s">
        <v>20</v>
      </c>
      <c r="X15" s="9">
        <v>102.73972602739725</v>
      </c>
    </row>
    <row r="16" spans="2:28" x14ac:dyDescent="0.35">
      <c r="B16" s="12" t="s">
        <v>17</v>
      </c>
      <c r="C16" s="15">
        <v>23.1</v>
      </c>
      <c r="D16" s="12">
        <f>C16/C15</f>
        <v>0.5547039473684211</v>
      </c>
      <c r="E16" s="12">
        <f>C15/C16</f>
        <v>1.802763446599063</v>
      </c>
      <c r="I16" s="12" t="s">
        <v>17</v>
      </c>
      <c r="J16" s="7">
        <v>180.1</v>
      </c>
      <c r="K16" s="12">
        <f>J16/J15</f>
        <v>0.597061762034514</v>
      </c>
      <c r="L16" s="12">
        <f>J15/J16</f>
        <v>1.674868604200102</v>
      </c>
      <c r="P16" s="12" t="s">
        <v>17</v>
      </c>
      <c r="Q16" s="7">
        <v>30.9</v>
      </c>
      <c r="R16" s="12">
        <f>Q16/Q15</f>
        <v>0.59674603174603169</v>
      </c>
      <c r="S16" s="12">
        <f>Q15/Q16</f>
        <v>1.6757547546216254</v>
      </c>
      <c r="W16" s="12" t="s">
        <v>17</v>
      </c>
      <c r="X16" s="7">
        <v>95.3</v>
      </c>
      <c r="Y16" s="12">
        <f>X16/X15</f>
        <v>0.92758666666666667</v>
      </c>
      <c r="Z16" s="12">
        <f>X15/X16</f>
        <v>1.0780663801405799</v>
      </c>
    </row>
    <row r="17" spans="2:28" x14ac:dyDescent="0.35">
      <c r="B17" s="12" t="s">
        <v>18</v>
      </c>
      <c r="C17" s="15">
        <v>4</v>
      </c>
      <c r="D17" s="12">
        <f>C17/C15</f>
        <v>9.6052631578947362E-2</v>
      </c>
      <c r="E17" s="12">
        <f>C15/C17</f>
        <v>10.41095890410959</v>
      </c>
      <c r="G17">
        <f>C15/SUM(C16:C18)</f>
        <v>1.4872798434442271</v>
      </c>
      <c r="I17" s="12" t="s">
        <v>18</v>
      </c>
      <c r="J17" s="7">
        <v>19.2</v>
      </c>
      <c r="K17" s="12">
        <f>J17/J15</f>
        <v>6.3651226158038143E-2</v>
      </c>
      <c r="L17" s="12">
        <f>J15/J17</f>
        <v>15.710616438356166</v>
      </c>
      <c r="N17">
        <f>J15/SUM(J16:J18)</f>
        <v>1.4932863149328635</v>
      </c>
      <c r="P17" s="12" t="s">
        <v>18</v>
      </c>
      <c r="Q17" s="7">
        <v>3.2</v>
      </c>
      <c r="R17" s="12">
        <f>Q17/Q15</f>
        <v>6.1798941798941805E-2</v>
      </c>
      <c r="S17" s="12">
        <f>Q15/Q17</f>
        <v>16.181506849315067</v>
      </c>
      <c r="U17">
        <f>Q15/SUM(Q16:Q18)</f>
        <v>1.4794520547945205</v>
      </c>
      <c r="W17" s="12" t="s">
        <v>18</v>
      </c>
      <c r="X17" s="7">
        <v>4</v>
      </c>
      <c r="Y17" s="12">
        <f>X17/X15</f>
        <v>3.8933333333333334E-2</v>
      </c>
      <c r="Z17" s="12">
        <f>X15/X17</f>
        <v>25.684931506849313</v>
      </c>
      <c r="AB17">
        <f>X15/SUM(X16:X18)</f>
        <v>1.0072522159548751</v>
      </c>
    </row>
    <row r="18" spans="2:28" x14ac:dyDescent="0.35">
      <c r="B18" s="12" t="s">
        <v>19</v>
      </c>
      <c r="C18" s="16">
        <v>0.9</v>
      </c>
      <c r="D18" s="12">
        <f>C18/C15</f>
        <v>2.1611842105263158E-2</v>
      </c>
      <c r="E18" s="12">
        <f>C15/C18</f>
        <v>46.270928462709286</v>
      </c>
      <c r="I18" s="12" t="s">
        <v>19</v>
      </c>
      <c r="J18" s="8">
        <v>2.6999999999999997</v>
      </c>
      <c r="K18" s="12">
        <f>J18/J15</f>
        <v>8.950953678474113E-3</v>
      </c>
      <c r="L18" s="12">
        <f>J15/J18</f>
        <v>111.7199391171994</v>
      </c>
      <c r="P18" s="12" t="s">
        <v>19</v>
      </c>
      <c r="Q18" s="8">
        <v>0.9</v>
      </c>
      <c r="R18" s="12">
        <f>Q18/Q15</f>
        <v>1.7380952380952382E-2</v>
      </c>
      <c r="S18" s="12">
        <f>Q15/Q18</f>
        <v>57.534246575342465</v>
      </c>
      <c r="W18" s="12" t="s">
        <v>19</v>
      </c>
      <c r="X18" s="8">
        <v>2.6999999999999997</v>
      </c>
      <c r="Y18" s="12">
        <f>X18/X15</f>
        <v>2.6279999999999998E-2</v>
      </c>
      <c r="Z18" s="12">
        <f>X15/X18</f>
        <v>38.051750380517504</v>
      </c>
    </row>
    <row r="20" spans="2:28" x14ac:dyDescent="0.35">
      <c r="B20" s="13" t="s">
        <v>47</v>
      </c>
      <c r="C20" s="13" t="s">
        <v>21</v>
      </c>
      <c r="D20" s="13" t="s">
        <v>22</v>
      </c>
      <c r="E20" s="13" t="s">
        <v>23</v>
      </c>
      <c r="I20" s="13" t="s">
        <v>48</v>
      </c>
      <c r="J20" s="13" t="s">
        <v>21</v>
      </c>
      <c r="K20" s="13" t="s">
        <v>22</v>
      </c>
      <c r="L20" s="13" t="s">
        <v>23</v>
      </c>
      <c r="P20" s="13" t="s">
        <v>54</v>
      </c>
      <c r="Q20" s="13" t="s">
        <v>21</v>
      </c>
      <c r="R20" s="13" t="s">
        <v>22</v>
      </c>
      <c r="S20" s="13" t="s">
        <v>23</v>
      </c>
      <c r="W20" s="13" t="s">
        <v>54</v>
      </c>
      <c r="X20" s="13" t="s">
        <v>21</v>
      </c>
      <c r="Y20" s="13" t="s">
        <v>22</v>
      </c>
      <c r="Z20" s="13" t="s">
        <v>23</v>
      </c>
    </row>
    <row r="21" spans="2:28" x14ac:dyDescent="0.35">
      <c r="B21" s="12" t="s">
        <v>20</v>
      </c>
      <c r="C21" s="9">
        <v>38.082191780821915</v>
      </c>
      <c r="I21" s="12" t="s">
        <v>20</v>
      </c>
      <c r="J21" s="9">
        <v>28.219178082191782</v>
      </c>
      <c r="P21" s="12" t="s">
        <v>20</v>
      </c>
      <c r="Q21" s="9">
        <v>4.1095890410958908</v>
      </c>
      <c r="W21" s="12" t="s">
        <v>20</v>
      </c>
      <c r="X21" s="9">
        <v>6.3013698630136989</v>
      </c>
    </row>
    <row r="22" spans="2:28" x14ac:dyDescent="0.35">
      <c r="B22" s="12" t="s">
        <v>17</v>
      </c>
      <c r="C22" s="7">
        <v>0</v>
      </c>
      <c r="D22" s="12">
        <f>C22/C21</f>
        <v>0</v>
      </c>
      <c r="E22" s="12">
        <v>0</v>
      </c>
      <c r="I22" s="12" t="s">
        <v>17</v>
      </c>
      <c r="J22" s="7">
        <v>0</v>
      </c>
      <c r="K22" s="12">
        <f>J22/J21</f>
        <v>0</v>
      </c>
      <c r="L22" s="12">
        <v>0</v>
      </c>
      <c r="P22" s="12" t="s">
        <v>17</v>
      </c>
      <c r="Q22" s="7">
        <v>0</v>
      </c>
      <c r="R22" s="12">
        <f>Q22/Q21</f>
        <v>0</v>
      </c>
      <c r="S22" s="12">
        <v>0</v>
      </c>
      <c r="W22" s="12" t="s">
        <v>17</v>
      </c>
      <c r="X22" s="7">
        <v>0</v>
      </c>
      <c r="Y22" s="12">
        <f>X22/X21</f>
        <v>0</v>
      </c>
      <c r="Z22" s="12">
        <v>0</v>
      </c>
    </row>
    <row r="23" spans="2:28" x14ac:dyDescent="0.35">
      <c r="B23" s="12" t="s">
        <v>18</v>
      </c>
      <c r="C23" s="7">
        <v>0</v>
      </c>
      <c r="D23" s="12">
        <f>C23/C21</f>
        <v>0</v>
      </c>
      <c r="E23" s="12">
        <v>0</v>
      </c>
      <c r="G23">
        <f>C21/SUM(C22:C24)</f>
        <v>0.11076844613386246</v>
      </c>
      <c r="I23" s="12" t="s">
        <v>18</v>
      </c>
      <c r="J23" s="7">
        <v>0.4</v>
      </c>
      <c r="K23" s="12">
        <f>J23/J21</f>
        <v>1.4174757281553398E-2</v>
      </c>
      <c r="L23" s="12">
        <v>0</v>
      </c>
      <c r="N23">
        <f>J21/SUM(J22:J24)</f>
        <v>0.11342113377086728</v>
      </c>
      <c r="P23" s="12" t="s">
        <v>18</v>
      </c>
      <c r="Q23" s="7">
        <v>0</v>
      </c>
      <c r="R23" s="12">
        <f>Q23/Q21</f>
        <v>0</v>
      </c>
      <c r="S23" s="12">
        <v>0</v>
      </c>
      <c r="U23">
        <f>Q21/SUM(Q22:Q24)</f>
        <v>0.11415525114155252</v>
      </c>
      <c r="W23" s="12" t="s">
        <v>18</v>
      </c>
      <c r="X23" s="7">
        <v>0</v>
      </c>
      <c r="Y23" s="12">
        <f>X23/X21</f>
        <v>0</v>
      </c>
      <c r="Z23" s="12">
        <v>0</v>
      </c>
      <c r="AB23">
        <f>X21/SUM(X22:X24)</f>
        <v>0.11113527095262256</v>
      </c>
    </row>
    <row r="24" spans="2:28" x14ac:dyDescent="0.35">
      <c r="B24" s="12" t="s">
        <v>19</v>
      </c>
      <c r="C24" s="8">
        <v>343.8</v>
      </c>
      <c r="D24" s="12">
        <f>C24/C21</f>
        <v>9.0278417266187052</v>
      </c>
      <c r="E24" s="12">
        <f>C21/C24</f>
        <v>0.11076844613386246</v>
      </c>
      <c r="I24" s="12" t="s">
        <v>19</v>
      </c>
      <c r="J24" s="8">
        <v>248.4</v>
      </c>
      <c r="K24" s="12">
        <f>J24/J21</f>
        <v>8.8025242718446606</v>
      </c>
      <c r="L24" s="12">
        <f>J21/J24</f>
        <v>0.11360377649835661</v>
      </c>
      <c r="P24" s="12" t="s">
        <v>19</v>
      </c>
      <c r="Q24" s="8">
        <v>36</v>
      </c>
      <c r="R24" s="12">
        <f>Q24/Q21</f>
        <v>8.76</v>
      </c>
      <c r="S24" s="12">
        <f>Q21/Q24</f>
        <v>0.11415525114155252</v>
      </c>
      <c r="W24" s="12" t="s">
        <v>19</v>
      </c>
      <c r="X24" s="8">
        <v>56.699999999999996</v>
      </c>
      <c r="Y24" s="12">
        <f>X24/X21</f>
        <v>8.9980434782608683</v>
      </c>
      <c r="Z24" s="12">
        <f>X21/X24</f>
        <v>0.11113527095262256</v>
      </c>
    </row>
    <row r="26" spans="2:28" x14ac:dyDescent="0.35">
      <c r="B26" s="13" t="s">
        <v>98</v>
      </c>
      <c r="C26" s="13" t="s">
        <v>21</v>
      </c>
      <c r="D26" s="13" t="s">
        <v>22</v>
      </c>
      <c r="E26" s="13" t="s">
        <v>23</v>
      </c>
      <c r="I26" s="13" t="s">
        <v>49</v>
      </c>
      <c r="J26" s="13" t="s">
        <v>21</v>
      </c>
      <c r="K26" s="13" t="s">
        <v>22</v>
      </c>
      <c r="L26" s="13" t="s">
        <v>23</v>
      </c>
      <c r="P26" s="13" t="s">
        <v>55</v>
      </c>
      <c r="Q26" s="13" t="s">
        <v>21</v>
      </c>
      <c r="R26" s="13" t="s">
        <v>22</v>
      </c>
      <c r="S26" s="13" t="s">
        <v>23</v>
      </c>
      <c r="W26" s="13" t="s">
        <v>61</v>
      </c>
      <c r="X26" s="13" t="s">
        <v>21</v>
      </c>
      <c r="Y26" s="13" t="s">
        <v>22</v>
      </c>
      <c r="Z26" s="13" t="s">
        <v>23</v>
      </c>
    </row>
    <row r="27" spans="2:28" x14ac:dyDescent="0.35">
      <c r="B27" s="12" t="s">
        <v>20</v>
      </c>
      <c r="C27" s="9">
        <v>75.342465753424662</v>
      </c>
      <c r="I27" s="12" t="s">
        <v>20</v>
      </c>
      <c r="J27" s="9">
        <v>19.726027397260275</v>
      </c>
      <c r="P27" s="12" t="s">
        <v>20</v>
      </c>
      <c r="Q27" s="9">
        <v>3.5616438356164384</v>
      </c>
      <c r="W27" s="12" t="s">
        <v>20</v>
      </c>
      <c r="X27" s="9">
        <v>31.780821917808218</v>
      </c>
    </row>
    <row r="28" spans="2:28" x14ac:dyDescent="0.35">
      <c r="B28" s="12" t="s">
        <v>17</v>
      </c>
      <c r="C28" s="7">
        <v>2.2999999999999829</v>
      </c>
      <c r="D28" s="12">
        <f>C28/C27</f>
        <v>3.05272727272725E-2</v>
      </c>
      <c r="E28" s="12">
        <f>C27/C28</f>
        <v>32.757593805837054</v>
      </c>
      <c r="I28" s="12" t="s">
        <v>17</v>
      </c>
      <c r="J28" s="7">
        <v>0.89999999999999858</v>
      </c>
      <c r="K28" s="12">
        <f>J28/J27</f>
        <v>4.562499999999993E-2</v>
      </c>
      <c r="L28" s="12">
        <f>J27/J28</f>
        <v>21.917808219178117</v>
      </c>
      <c r="P28" s="12" t="s">
        <v>17</v>
      </c>
      <c r="Q28" s="7">
        <v>0</v>
      </c>
      <c r="R28" s="12">
        <f>Q28/Q27</f>
        <v>0</v>
      </c>
      <c r="S28" s="12" t="e">
        <f>Q27/Q28</f>
        <v>#DIV/0!</v>
      </c>
      <c r="W28" s="12" t="s">
        <v>17</v>
      </c>
      <c r="X28" s="7">
        <v>0.80000000000000071</v>
      </c>
      <c r="Y28" s="12">
        <f>X28/X27</f>
        <v>2.5172413793103473E-2</v>
      </c>
      <c r="Z28" s="12">
        <f>X27/X28</f>
        <v>39.726027397260239</v>
      </c>
    </row>
    <row r="29" spans="2:28" x14ac:dyDescent="0.35">
      <c r="B29" s="12" t="s">
        <v>18</v>
      </c>
      <c r="C29" s="7">
        <v>35.6</v>
      </c>
      <c r="D29" s="12">
        <f>C29/C27</f>
        <v>0.47250909090909088</v>
      </c>
      <c r="E29" s="12">
        <f>C27/C29</f>
        <v>2.1163613975681086</v>
      </c>
      <c r="I29" s="12" t="s">
        <v>18</v>
      </c>
      <c r="J29" s="7">
        <v>10</v>
      </c>
      <c r="K29" s="12">
        <f>J29/J27</f>
        <v>0.50694444444444442</v>
      </c>
      <c r="L29" s="12">
        <f>J27/J29</f>
        <v>1.9726027397260275</v>
      </c>
      <c r="N29">
        <f>J27/SUM(J28:J30)</f>
        <v>1.0382119682768565</v>
      </c>
      <c r="P29" s="12" t="s">
        <v>18</v>
      </c>
      <c r="Q29" s="7">
        <v>1.6</v>
      </c>
      <c r="R29" s="12">
        <f>Q29/Q27</f>
        <v>0.44923076923076927</v>
      </c>
      <c r="S29" s="12">
        <f>Q27/Q29</f>
        <v>2.2260273972602738</v>
      </c>
      <c r="U29">
        <f>Q27/SUM(Q28:Q30)</f>
        <v>0.82828926409684622</v>
      </c>
      <c r="W29" s="12" t="s">
        <v>18</v>
      </c>
      <c r="X29" s="7">
        <v>14</v>
      </c>
      <c r="Y29" s="12">
        <f>X29/X27</f>
        <v>0.44051724137931036</v>
      </c>
      <c r="Z29" s="12">
        <f>X27/X29</f>
        <v>2.2700587084148727</v>
      </c>
      <c r="AB29">
        <f>X27/SUM(X28:X30)</f>
        <v>1.4445828144458281</v>
      </c>
    </row>
    <row r="30" spans="2:28" x14ac:dyDescent="0.35">
      <c r="B30" s="12" t="s">
        <v>19</v>
      </c>
      <c r="C30" s="8">
        <v>80.100000000000009</v>
      </c>
      <c r="D30" s="12">
        <f>C30/C27</f>
        <v>1.0631454545454546</v>
      </c>
      <c r="E30" s="12">
        <f>C27/C30</f>
        <v>0.94060506558582591</v>
      </c>
      <c r="I30" s="12" t="s">
        <v>19</v>
      </c>
      <c r="J30" s="8">
        <v>8.1</v>
      </c>
      <c r="K30" s="12">
        <f>J30/J27</f>
        <v>0.41062499999999996</v>
      </c>
      <c r="L30" s="12">
        <f>J27/J30</f>
        <v>2.4353120243531206</v>
      </c>
      <c r="P30" s="12" t="s">
        <v>19</v>
      </c>
      <c r="Q30" s="8">
        <v>2.6999999999999997</v>
      </c>
      <c r="R30" s="12">
        <f>Q30/Q27</f>
        <v>0.75807692307692298</v>
      </c>
      <c r="S30" s="12">
        <f>Q27/Q30</f>
        <v>1.3191273465246069</v>
      </c>
      <c r="W30" s="12" t="s">
        <v>19</v>
      </c>
      <c r="X30" s="8">
        <v>7.2</v>
      </c>
      <c r="Y30" s="12">
        <f>X30/X27</f>
        <v>0.22655172413793104</v>
      </c>
      <c r="Z30" s="12">
        <f>X27/X30</f>
        <v>4.4140030441400304</v>
      </c>
    </row>
    <row r="32" spans="2:28" x14ac:dyDescent="0.35">
      <c r="B32" s="13" t="s">
        <v>32</v>
      </c>
      <c r="C32" s="13" t="s">
        <v>21</v>
      </c>
      <c r="D32" s="13" t="s">
        <v>22</v>
      </c>
      <c r="E32" s="13" t="s">
        <v>23</v>
      </c>
      <c r="I32" s="13" t="s">
        <v>32</v>
      </c>
      <c r="J32" s="13" t="s">
        <v>21</v>
      </c>
      <c r="K32" s="13" t="s">
        <v>22</v>
      </c>
      <c r="L32" s="13" t="s">
        <v>23</v>
      </c>
      <c r="P32" s="13" t="s">
        <v>59</v>
      </c>
      <c r="Q32" s="13" t="s">
        <v>21</v>
      </c>
      <c r="R32" s="13" t="s">
        <v>22</v>
      </c>
      <c r="S32" s="13" t="s">
        <v>23</v>
      </c>
      <c r="W32" s="13" t="s">
        <v>32</v>
      </c>
      <c r="X32" s="13" t="s">
        <v>21</v>
      </c>
      <c r="Y32" s="13" t="s">
        <v>22</v>
      </c>
      <c r="Z32" s="13" t="s">
        <v>23</v>
      </c>
    </row>
    <row r="33" spans="2:26" x14ac:dyDescent="0.35">
      <c r="B33" s="12" t="s">
        <v>20</v>
      </c>
      <c r="C33" s="9">
        <v>100</v>
      </c>
      <c r="I33" s="12" t="s">
        <v>20</v>
      </c>
      <c r="J33" s="9">
        <v>100</v>
      </c>
      <c r="P33" s="12" t="s">
        <v>20</v>
      </c>
      <c r="Q33" s="9">
        <v>19.17808219178082</v>
      </c>
      <c r="W33" s="12" t="s">
        <v>20</v>
      </c>
      <c r="X33" s="9">
        <v>100</v>
      </c>
    </row>
    <row r="34" spans="2:26" x14ac:dyDescent="0.35">
      <c r="B34" s="12" t="s">
        <v>17</v>
      </c>
      <c r="C34" s="7">
        <f>6*4</f>
        <v>24</v>
      </c>
      <c r="D34" s="12">
        <f>C34/C33</f>
        <v>0.24</v>
      </c>
      <c r="E34" s="12">
        <f>C33/C34</f>
        <v>4.166666666666667</v>
      </c>
      <c r="I34" s="12" t="s">
        <v>17</v>
      </c>
      <c r="J34" s="7">
        <f>6*4</f>
        <v>24</v>
      </c>
      <c r="K34" s="12">
        <f>J34/J33</f>
        <v>0.24</v>
      </c>
      <c r="L34" s="12">
        <f>J33/J34</f>
        <v>4.166666666666667</v>
      </c>
      <c r="P34" s="12" t="s">
        <v>17</v>
      </c>
      <c r="Q34" s="7">
        <v>2.2000000000000002</v>
      </c>
      <c r="R34" s="12">
        <f>Q34/Q33</f>
        <v>0.11471428571428573</v>
      </c>
      <c r="S34" s="12">
        <f>Q33/Q34</f>
        <v>8.7173100871731002</v>
      </c>
      <c r="W34" s="12" t="s">
        <v>17</v>
      </c>
      <c r="X34" s="7">
        <f>6*4</f>
        <v>24</v>
      </c>
      <c r="Y34" s="12">
        <f>X34/X33</f>
        <v>0.24</v>
      </c>
      <c r="Z34" s="12">
        <f>X33/X34</f>
        <v>4.166666666666667</v>
      </c>
    </row>
    <row r="35" spans="2:26" x14ac:dyDescent="0.35">
      <c r="B35" s="12" t="s">
        <v>18</v>
      </c>
      <c r="C35" s="7">
        <f>1.3*4</f>
        <v>5.2</v>
      </c>
      <c r="D35" s="12">
        <f>C35/C33</f>
        <v>5.2000000000000005E-2</v>
      </c>
      <c r="E35" s="12">
        <f>C33/C35</f>
        <v>19.23076923076923</v>
      </c>
      <c r="I35" s="12" t="s">
        <v>18</v>
      </c>
      <c r="J35" s="7">
        <f>1.3*4</f>
        <v>5.2</v>
      </c>
      <c r="K35" s="12">
        <f>J35/J33</f>
        <v>5.2000000000000005E-2</v>
      </c>
      <c r="L35" s="12">
        <f>J33/J35</f>
        <v>19.23076923076923</v>
      </c>
      <c r="P35" s="12" t="s">
        <v>18</v>
      </c>
      <c r="Q35" s="7">
        <v>0.8</v>
      </c>
      <c r="R35" s="12">
        <f>Q35/Q33</f>
        <v>4.1714285714285718E-2</v>
      </c>
      <c r="S35" s="12">
        <f>Q33/Q35</f>
        <v>23.972602739726025</v>
      </c>
      <c r="W35" s="12" t="s">
        <v>18</v>
      </c>
      <c r="X35" s="7">
        <f>1.3*4</f>
        <v>5.2</v>
      </c>
      <c r="Y35" s="12">
        <f>X35/X33</f>
        <v>5.2000000000000005E-2</v>
      </c>
      <c r="Z35" s="12">
        <f>X33/X35</f>
        <v>19.23076923076923</v>
      </c>
    </row>
    <row r="36" spans="2:26" x14ac:dyDescent="0.35">
      <c r="B36" s="12" t="s">
        <v>19</v>
      </c>
      <c r="C36" s="8">
        <f>0.1*9</f>
        <v>0.9</v>
      </c>
      <c r="D36" s="12">
        <f>C36/C33</f>
        <v>9.0000000000000011E-3</v>
      </c>
      <c r="E36" s="12">
        <f>C33/C36</f>
        <v>111.11111111111111</v>
      </c>
      <c r="I36" s="12" t="s">
        <v>19</v>
      </c>
      <c r="J36" s="8">
        <f>0.1*9</f>
        <v>0.9</v>
      </c>
      <c r="K36" s="12">
        <f>J36/J33</f>
        <v>9.0000000000000011E-3</v>
      </c>
      <c r="L36" s="12">
        <f>J33/J36</f>
        <v>111.11111111111111</v>
      </c>
      <c r="P36" s="12" t="s">
        <v>19</v>
      </c>
      <c r="Q36" s="8">
        <v>0</v>
      </c>
      <c r="R36" s="12">
        <f>Q36/Q33</f>
        <v>0</v>
      </c>
      <c r="S36" s="12">
        <v>0</v>
      </c>
      <c r="W36" s="12" t="s">
        <v>19</v>
      </c>
      <c r="X36" s="8">
        <f>0.1*9</f>
        <v>0.9</v>
      </c>
      <c r="Y36" s="12">
        <f>X36/X33</f>
        <v>9.0000000000000011E-3</v>
      </c>
      <c r="Z36" s="12">
        <v>0</v>
      </c>
    </row>
    <row r="38" spans="2:26" x14ac:dyDescent="0.35">
      <c r="B38" s="13" t="s">
        <v>33</v>
      </c>
      <c r="C38" s="13" t="s">
        <v>21</v>
      </c>
      <c r="D38" s="13" t="s">
        <v>22</v>
      </c>
      <c r="E38" s="13" t="s">
        <v>23</v>
      </c>
      <c r="I38" s="13" t="s">
        <v>33</v>
      </c>
      <c r="J38" s="13" t="s">
        <v>21</v>
      </c>
      <c r="K38" s="13" t="s">
        <v>22</v>
      </c>
      <c r="L38" s="13" t="s">
        <v>23</v>
      </c>
      <c r="P38" s="13" t="s">
        <v>57</v>
      </c>
      <c r="Q38" s="13" t="s">
        <v>21</v>
      </c>
      <c r="R38" s="13" t="s">
        <v>22</v>
      </c>
      <c r="S38" s="13" t="s">
        <v>23</v>
      </c>
      <c r="W38" s="13" t="s">
        <v>34</v>
      </c>
      <c r="X38" s="13" t="s">
        <v>21</v>
      </c>
      <c r="Y38" s="13" t="s">
        <v>22</v>
      </c>
      <c r="Z38" s="13" t="s">
        <v>23</v>
      </c>
    </row>
    <row r="39" spans="2:26" x14ac:dyDescent="0.35">
      <c r="B39" s="12" t="s">
        <v>20</v>
      </c>
      <c r="C39" s="9">
        <v>100</v>
      </c>
      <c r="I39" s="12" t="s">
        <v>20</v>
      </c>
      <c r="J39" s="9">
        <v>100</v>
      </c>
      <c r="P39" s="12" t="s">
        <v>20</v>
      </c>
      <c r="Q39" s="9">
        <v>100</v>
      </c>
      <c r="W39" s="12" t="s">
        <v>20</v>
      </c>
      <c r="X39" s="9">
        <v>33.698630136986303</v>
      </c>
    </row>
    <row r="40" spans="2:26" x14ac:dyDescent="0.35">
      <c r="B40" s="12" t="s">
        <v>17</v>
      </c>
      <c r="C40" s="7">
        <f>10*4</f>
        <v>40</v>
      </c>
      <c r="D40" s="12">
        <f>C40/C39</f>
        <v>0.4</v>
      </c>
      <c r="E40" s="12">
        <f>C39/C40</f>
        <v>2.5</v>
      </c>
      <c r="I40" s="12" t="s">
        <v>17</v>
      </c>
      <c r="J40" s="7">
        <f>10*4</f>
        <v>40</v>
      </c>
      <c r="K40" s="12">
        <f>J40/J39</f>
        <v>0.4</v>
      </c>
      <c r="L40" s="12">
        <f>J39/J40</f>
        <v>2.5</v>
      </c>
      <c r="P40" s="12" t="s">
        <v>17</v>
      </c>
      <c r="Q40" s="7">
        <f>3.6*4</f>
        <v>14.4</v>
      </c>
      <c r="R40" s="12">
        <f>Q40/Q39</f>
        <v>0.14400000000000002</v>
      </c>
      <c r="S40" s="12">
        <f>Q39/Q40</f>
        <v>6.9444444444444446</v>
      </c>
      <c r="W40" s="12" t="s">
        <v>17</v>
      </c>
      <c r="X40" s="7">
        <v>10.1</v>
      </c>
      <c r="Y40" s="12">
        <f>X40/X39</f>
        <v>0.29971544715447151</v>
      </c>
      <c r="Z40" s="12">
        <f>X39/X40</f>
        <v>3.3364980333649807</v>
      </c>
    </row>
    <row r="41" spans="2:26" x14ac:dyDescent="0.35">
      <c r="B41" s="12" t="s">
        <v>18</v>
      </c>
      <c r="C41" s="7">
        <f>0.9*4</f>
        <v>3.6</v>
      </c>
      <c r="D41" s="12">
        <f>C41/C39</f>
        <v>3.6000000000000004E-2</v>
      </c>
      <c r="E41" s="12">
        <f>C39/C41</f>
        <v>27.777777777777779</v>
      </c>
      <c r="I41" s="12" t="s">
        <v>18</v>
      </c>
      <c r="J41" s="7">
        <f>0.9*4</f>
        <v>3.6</v>
      </c>
      <c r="K41" s="12">
        <f>J41/J39</f>
        <v>3.6000000000000004E-2</v>
      </c>
      <c r="L41" s="12">
        <f>J39/J41</f>
        <v>27.777777777777779</v>
      </c>
      <c r="P41" s="12" t="s">
        <v>18</v>
      </c>
      <c r="Q41" s="7">
        <f>2.9*4</f>
        <v>11.6</v>
      </c>
      <c r="R41" s="12">
        <f>Q41/Q39</f>
        <v>0.11599999999999999</v>
      </c>
      <c r="S41" s="12">
        <f>Q39/Q41</f>
        <v>8.6206896551724146</v>
      </c>
      <c r="W41" s="12" t="s">
        <v>18</v>
      </c>
      <c r="X41" s="7">
        <v>2</v>
      </c>
      <c r="Y41" s="12">
        <f>X41/X39</f>
        <v>5.9349593495934959E-2</v>
      </c>
      <c r="Z41" s="12">
        <f>X39/X41</f>
        <v>16.849315068493151</v>
      </c>
    </row>
    <row r="42" spans="2:26" x14ac:dyDescent="0.35">
      <c r="B42" s="12" t="s">
        <v>19</v>
      </c>
      <c r="C42" s="8">
        <f>0.2*9</f>
        <v>1.8</v>
      </c>
      <c r="D42" s="12">
        <f>C42/C39</f>
        <v>1.8000000000000002E-2</v>
      </c>
      <c r="E42" s="12">
        <f>C39/C42</f>
        <v>55.555555555555557</v>
      </c>
      <c r="I42" s="12" t="s">
        <v>19</v>
      </c>
      <c r="J42" s="8">
        <f>0.2*9</f>
        <v>1.8</v>
      </c>
      <c r="K42" s="12">
        <f>J42/J39</f>
        <v>1.8000000000000002E-2</v>
      </c>
      <c r="L42" s="12">
        <f>J39/J42</f>
        <v>55.555555555555557</v>
      </c>
      <c r="P42" s="12" t="s">
        <v>19</v>
      </c>
      <c r="Q42" s="8">
        <f>0.4*9</f>
        <v>3.6</v>
      </c>
      <c r="R42" s="12">
        <f>Q42/Q39</f>
        <v>3.6000000000000004E-2</v>
      </c>
      <c r="S42" s="12">
        <f>Q39/Q42</f>
        <v>27.777777777777779</v>
      </c>
      <c r="W42" s="12" t="s">
        <v>19</v>
      </c>
      <c r="X42" s="8">
        <v>0.9</v>
      </c>
      <c r="Y42" s="12">
        <f>X42/X39</f>
        <v>2.6707317073170731E-2</v>
      </c>
      <c r="Z42" s="12">
        <f>X39/X42</f>
        <v>37.442922374429223</v>
      </c>
    </row>
    <row r="44" spans="2:26" x14ac:dyDescent="0.35">
      <c r="B44" s="13" t="s">
        <v>34</v>
      </c>
      <c r="C44" s="13" t="s">
        <v>21</v>
      </c>
      <c r="D44" s="13" t="s">
        <v>22</v>
      </c>
      <c r="E44" s="13" t="s">
        <v>23</v>
      </c>
      <c r="I44" s="13" t="s">
        <v>34</v>
      </c>
      <c r="J44" s="13" t="s">
        <v>21</v>
      </c>
      <c r="K44" s="13" t="s">
        <v>22</v>
      </c>
      <c r="L44" s="13" t="s">
        <v>23</v>
      </c>
      <c r="P44" s="13" t="s">
        <v>34</v>
      </c>
      <c r="Q44" s="13" t="s">
        <v>21</v>
      </c>
      <c r="R44" s="13" t="s">
        <v>22</v>
      </c>
      <c r="S44" s="13" t="s">
        <v>23</v>
      </c>
      <c r="W44" s="13" t="s">
        <v>60</v>
      </c>
      <c r="X44" s="13" t="s">
        <v>21</v>
      </c>
      <c r="Y44" s="13" t="s">
        <v>22</v>
      </c>
      <c r="Z44" s="13" t="s">
        <v>23</v>
      </c>
    </row>
    <row r="45" spans="2:26" x14ac:dyDescent="0.35">
      <c r="B45" s="12" t="s">
        <v>20</v>
      </c>
      <c r="C45" s="9">
        <v>16.164383561643834</v>
      </c>
      <c r="I45" s="12" t="s">
        <v>20</v>
      </c>
      <c r="J45" s="9">
        <v>41.643835616438359</v>
      </c>
      <c r="P45" s="12" t="s">
        <v>20</v>
      </c>
      <c r="Q45" s="9">
        <v>19.452054794520549</v>
      </c>
      <c r="W45" s="12" t="s">
        <v>20</v>
      </c>
      <c r="X45" s="9">
        <v>100</v>
      </c>
    </row>
    <row r="46" spans="2:26" x14ac:dyDescent="0.35">
      <c r="B46" s="12" t="s">
        <v>17</v>
      </c>
      <c r="C46" s="7">
        <v>6.2</v>
      </c>
      <c r="D46" s="12">
        <f>C46/C45</f>
        <v>0.38355932203389836</v>
      </c>
      <c r="E46" s="12">
        <f>C45/C46</f>
        <v>2.6071586389748118</v>
      </c>
      <c r="I46" s="12" t="s">
        <v>17</v>
      </c>
      <c r="J46" s="7">
        <v>10.1</v>
      </c>
      <c r="K46" s="12">
        <f>J46/J45</f>
        <v>0.24253289473684209</v>
      </c>
      <c r="L46" s="12">
        <f>J45/J46</f>
        <v>4.1231520412315206</v>
      </c>
      <c r="P46" s="12" t="s">
        <v>17</v>
      </c>
      <c r="Q46" s="7">
        <v>5.8</v>
      </c>
      <c r="R46" s="12">
        <f>Q46/Q45</f>
        <v>0.29816901408450702</v>
      </c>
      <c r="S46" s="12">
        <f>Q45/Q46</f>
        <v>3.3538025507794051</v>
      </c>
      <c r="W46" s="12" t="s">
        <v>17</v>
      </c>
      <c r="X46" s="7">
        <f>2.2*4</f>
        <v>8.8000000000000007</v>
      </c>
      <c r="Y46" s="12">
        <f>X46/X45</f>
        <v>8.8000000000000009E-2</v>
      </c>
      <c r="Z46" s="12">
        <f>X45/X46</f>
        <v>11.363636363636363</v>
      </c>
    </row>
    <row r="47" spans="2:26" x14ac:dyDescent="0.35">
      <c r="B47" s="12" t="s">
        <v>18</v>
      </c>
      <c r="C47" s="7">
        <v>0.8</v>
      </c>
      <c r="D47" s="12">
        <f>C47/C45</f>
        <v>4.9491525423728817E-2</v>
      </c>
      <c r="E47" s="12">
        <f>C45/C47</f>
        <v>20.205479452054792</v>
      </c>
      <c r="I47" s="12" t="s">
        <v>18</v>
      </c>
      <c r="J47" s="7">
        <v>2</v>
      </c>
      <c r="K47" s="12">
        <f>J47/J45</f>
        <v>4.8026315789473681E-2</v>
      </c>
      <c r="L47" s="12">
        <f>J45/J47</f>
        <v>20.82191780821918</v>
      </c>
      <c r="P47" s="12" t="s">
        <v>18</v>
      </c>
      <c r="Q47" s="7">
        <v>1.2</v>
      </c>
      <c r="R47" s="12">
        <f>Q47/Q45</f>
        <v>6.1690140845070414E-2</v>
      </c>
      <c r="S47" s="12">
        <f>Q45/Q47</f>
        <v>16.210045662100459</v>
      </c>
      <c r="W47" s="12" t="s">
        <v>18</v>
      </c>
      <c r="X47" s="7">
        <f>1.5*4</f>
        <v>6</v>
      </c>
      <c r="Y47" s="12">
        <f>X47/X45</f>
        <v>0.06</v>
      </c>
      <c r="Z47" s="12">
        <f>X45/X47</f>
        <v>16.666666666666668</v>
      </c>
    </row>
    <row r="48" spans="2:26" x14ac:dyDescent="0.35">
      <c r="B48" s="12" t="s">
        <v>19</v>
      </c>
      <c r="C48" s="8">
        <v>0</v>
      </c>
      <c r="D48" s="12">
        <f>C48/C45</f>
        <v>0</v>
      </c>
      <c r="E48" s="12">
        <v>0</v>
      </c>
      <c r="I48" s="12" t="s">
        <v>19</v>
      </c>
      <c r="J48" s="8">
        <v>0.9</v>
      </c>
      <c r="K48" s="12">
        <f>J48/J45</f>
        <v>2.1611842105263158E-2</v>
      </c>
      <c r="L48" s="12">
        <v>0</v>
      </c>
      <c r="P48" s="12" t="s">
        <v>19</v>
      </c>
      <c r="Q48" s="8">
        <v>0</v>
      </c>
      <c r="R48" s="12">
        <f>Q48/Q45</f>
        <v>0</v>
      </c>
      <c r="S48" s="12">
        <v>0</v>
      </c>
      <c r="W48" s="12" t="s">
        <v>19</v>
      </c>
      <c r="X48" s="8">
        <f>0.2*9</f>
        <v>1.8</v>
      </c>
      <c r="Y48" s="12">
        <f>X48/X45</f>
        <v>1.8000000000000002E-2</v>
      </c>
      <c r="Z48" s="12">
        <v>0</v>
      </c>
    </row>
    <row r="50" spans="2:26" x14ac:dyDescent="0.35">
      <c r="B50" s="13" t="s">
        <v>35</v>
      </c>
      <c r="C50" s="13" t="s">
        <v>21</v>
      </c>
      <c r="D50" s="13" t="s">
        <v>22</v>
      </c>
      <c r="E50" s="13" t="s">
        <v>23</v>
      </c>
      <c r="I50" s="13" t="s">
        <v>35</v>
      </c>
      <c r="J50" s="13" t="s">
        <v>21</v>
      </c>
      <c r="K50" s="13" t="s">
        <v>22</v>
      </c>
      <c r="L50" s="13" t="s">
        <v>23</v>
      </c>
      <c r="P50" s="13" t="s">
        <v>35</v>
      </c>
      <c r="Q50" s="13" t="s">
        <v>21</v>
      </c>
      <c r="R50" s="13" t="s">
        <v>22</v>
      </c>
      <c r="S50" s="13" t="s">
        <v>23</v>
      </c>
      <c r="W50" s="13" t="s">
        <v>35</v>
      </c>
      <c r="X50" s="13" t="s">
        <v>21</v>
      </c>
      <c r="Y50" s="13" t="s">
        <v>22</v>
      </c>
      <c r="Z50" s="13" t="s">
        <v>23</v>
      </c>
    </row>
    <row r="51" spans="2:26" x14ac:dyDescent="0.35">
      <c r="B51" s="12" t="s">
        <v>20</v>
      </c>
      <c r="C51" s="9">
        <v>80.821917808219183</v>
      </c>
      <c r="I51" s="12" t="s">
        <v>20</v>
      </c>
      <c r="J51" s="9">
        <v>80.821917808219183</v>
      </c>
      <c r="P51" s="12" t="s">
        <v>20</v>
      </c>
      <c r="Q51" s="9">
        <v>36.712328767123289</v>
      </c>
      <c r="W51" s="12" t="s">
        <v>20</v>
      </c>
      <c r="X51" s="9">
        <v>12.876712328767123</v>
      </c>
    </row>
    <row r="52" spans="2:26" x14ac:dyDescent="0.35">
      <c r="B52" s="12" t="s">
        <v>17</v>
      </c>
      <c r="C52" s="7">
        <v>47.3</v>
      </c>
      <c r="D52" s="12">
        <f>C52/C51</f>
        <v>0.58523728813559317</v>
      </c>
      <c r="E52" s="12">
        <f>C51/C52</f>
        <v>1.7087086217382492</v>
      </c>
      <c r="I52" s="12" t="s">
        <v>17</v>
      </c>
      <c r="J52" s="7">
        <v>47.3</v>
      </c>
      <c r="K52" s="12">
        <f>J52/J51</f>
        <v>0.58523728813559317</v>
      </c>
      <c r="L52" s="12">
        <f>J51/J52</f>
        <v>1.7087086217382492</v>
      </c>
      <c r="P52" s="12" t="s">
        <v>17</v>
      </c>
      <c r="Q52" s="7">
        <v>20.9</v>
      </c>
      <c r="R52" s="12">
        <f>Q52/Q51</f>
        <v>0.56929104477611936</v>
      </c>
      <c r="S52" s="12">
        <f>Q51/Q52</f>
        <v>1.7565707544078131</v>
      </c>
      <c r="W52" s="12" t="s">
        <v>17</v>
      </c>
      <c r="X52" s="7">
        <v>7.6</v>
      </c>
      <c r="Y52" s="12">
        <f>X52/X51</f>
        <v>0.59021276595744676</v>
      </c>
      <c r="Z52" s="12">
        <f>X51/X52</f>
        <v>1.6943042537851478</v>
      </c>
    </row>
    <row r="53" spans="2:26" x14ac:dyDescent="0.35">
      <c r="B53" s="12" t="s">
        <v>18</v>
      </c>
      <c r="C53" s="7">
        <v>2.8</v>
      </c>
      <c r="D53" s="12">
        <f>C53/C51</f>
        <v>3.4644067796610167E-2</v>
      </c>
      <c r="E53" s="12">
        <f>C51/C53</f>
        <v>28.864970645792567</v>
      </c>
      <c r="I53" s="12" t="s">
        <v>18</v>
      </c>
      <c r="J53" s="7">
        <v>2.8</v>
      </c>
      <c r="K53" s="12">
        <f>J53/J51</f>
        <v>3.4644067796610167E-2</v>
      </c>
      <c r="L53" s="12">
        <f>J51/J53</f>
        <v>28.864970645792567</v>
      </c>
      <c r="P53" s="12" t="s">
        <v>18</v>
      </c>
      <c r="Q53" s="7">
        <v>1.2</v>
      </c>
      <c r="R53" s="12">
        <f>Q53/Q51</f>
        <v>3.2686567164179101E-2</v>
      </c>
      <c r="S53" s="12">
        <f>Q51/Q53</f>
        <v>30.593607305936075</v>
      </c>
      <c r="W53" s="12" t="s">
        <v>18</v>
      </c>
      <c r="X53" s="7">
        <v>0.4</v>
      </c>
      <c r="Y53" s="12">
        <f>X53/X51</f>
        <v>3.1063829787234043E-2</v>
      </c>
      <c r="Z53" s="12">
        <f>X51/X53</f>
        <v>32.191780821917803</v>
      </c>
    </row>
    <row r="54" spans="2:26" x14ac:dyDescent="0.35">
      <c r="B54" s="12" t="s">
        <v>19</v>
      </c>
      <c r="C54" s="8">
        <v>0.9</v>
      </c>
      <c r="D54" s="12">
        <f>C54/C51</f>
        <v>1.1135593220338982E-2</v>
      </c>
      <c r="E54" s="12">
        <v>0</v>
      </c>
      <c r="I54" s="12" t="s">
        <v>19</v>
      </c>
      <c r="J54" s="8">
        <v>0.9</v>
      </c>
      <c r="K54" s="12">
        <f>J54/J51</f>
        <v>1.1135593220338982E-2</v>
      </c>
      <c r="L54" s="12">
        <v>0</v>
      </c>
      <c r="P54" s="12" t="s">
        <v>19</v>
      </c>
      <c r="Q54" s="8">
        <v>0.9</v>
      </c>
      <c r="R54" s="12">
        <f>Q54/Q51</f>
        <v>2.4514925373134329E-2</v>
      </c>
      <c r="S54" s="12">
        <v>0</v>
      </c>
      <c r="W54" s="12" t="s">
        <v>19</v>
      </c>
      <c r="X54" s="8">
        <v>0</v>
      </c>
      <c r="Y54" s="12">
        <f>X54/X51</f>
        <v>0</v>
      </c>
      <c r="Z54" s="12">
        <v>0</v>
      </c>
    </row>
    <row r="56" spans="2:26" x14ac:dyDescent="0.35">
      <c r="B56" s="13" t="s">
        <v>37</v>
      </c>
      <c r="C56" s="13" t="s">
        <v>21</v>
      </c>
      <c r="D56" s="13" t="s">
        <v>22</v>
      </c>
      <c r="E56" s="13" t="s">
        <v>23</v>
      </c>
      <c r="I56" s="13" t="s">
        <v>51</v>
      </c>
      <c r="J56" s="13" t="s">
        <v>21</v>
      </c>
      <c r="K56" s="13" t="s">
        <v>22</v>
      </c>
      <c r="L56" s="13" t="s">
        <v>23</v>
      </c>
      <c r="P56" s="13" t="s">
        <v>51</v>
      </c>
      <c r="Q56" s="13" t="s">
        <v>21</v>
      </c>
      <c r="R56" s="13" t="s">
        <v>22</v>
      </c>
      <c r="S56" s="13" t="s">
        <v>23</v>
      </c>
      <c r="W56" s="13" t="s">
        <v>51</v>
      </c>
      <c r="X56" s="13" t="s">
        <v>21</v>
      </c>
      <c r="Y56" s="13" t="s">
        <v>22</v>
      </c>
      <c r="Z56" s="13" t="s">
        <v>23</v>
      </c>
    </row>
    <row r="57" spans="2:26" x14ac:dyDescent="0.35">
      <c r="B57" s="12" t="s">
        <v>20</v>
      </c>
      <c r="C57" s="9">
        <v>76.164383561643831</v>
      </c>
      <c r="I57" s="12" t="s">
        <v>20</v>
      </c>
      <c r="J57" s="9">
        <v>54.520547945205479</v>
      </c>
      <c r="P57" s="12" t="s">
        <v>20</v>
      </c>
      <c r="Q57" s="9">
        <v>3.8356164383561642</v>
      </c>
      <c r="W57" s="12" t="s">
        <v>20</v>
      </c>
      <c r="X57" s="9">
        <v>32.328767123287669</v>
      </c>
    </row>
    <row r="58" spans="2:26" x14ac:dyDescent="0.35">
      <c r="B58" s="12" t="s">
        <v>17</v>
      </c>
      <c r="C58" s="7">
        <v>18.5</v>
      </c>
      <c r="D58" s="12">
        <f>C58/C57</f>
        <v>0.24289568345323742</v>
      </c>
      <c r="E58" s="12">
        <f>C57/C58</f>
        <v>4.1169937060348021</v>
      </c>
      <c r="I58" s="12" t="s">
        <v>17</v>
      </c>
      <c r="J58" s="7">
        <v>18.7</v>
      </c>
      <c r="K58" s="12">
        <f>J58/J57</f>
        <v>0.34298994974874369</v>
      </c>
      <c r="L58" s="12">
        <f>J57/J58</f>
        <v>2.9155373232730204</v>
      </c>
      <c r="P58" s="12" t="s">
        <v>17</v>
      </c>
      <c r="Q58" s="7">
        <v>2</v>
      </c>
      <c r="R58" s="12">
        <f>Q58/Q57</f>
        <v>0.52142857142857146</v>
      </c>
      <c r="S58" s="12">
        <f>Q57/Q58</f>
        <v>1.9178082191780821</v>
      </c>
      <c r="W58" s="12" t="s">
        <v>17</v>
      </c>
      <c r="X58" s="7">
        <v>12.7</v>
      </c>
      <c r="Y58" s="12">
        <f>X58/X57</f>
        <v>0.39283898305084747</v>
      </c>
      <c r="Z58" s="12">
        <f>X57/X58</f>
        <v>2.5455722144321</v>
      </c>
    </row>
    <row r="59" spans="2:26" x14ac:dyDescent="0.35">
      <c r="B59" s="12" t="s">
        <v>18</v>
      </c>
      <c r="C59" s="7">
        <v>1.6</v>
      </c>
      <c r="D59" s="12">
        <f>C59/C57</f>
        <v>2.1007194244604319E-2</v>
      </c>
      <c r="E59" s="12">
        <f>C57/C59</f>
        <v>47.602739726027394</v>
      </c>
      <c r="I59" s="12" t="s">
        <v>18</v>
      </c>
      <c r="J59" s="7">
        <v>0.4</v>
      </c>
      <c r="K59" s="12">
        <f>J59/J57</f>
        <v>7.3366834170854279E-3</v>
      </c>
      <c r="L59" s="12">
        <f>J57/J59</f>
        <v>136.30136986301369</v>
      </c>
      <c r="P59" s="12" t="s">
        <v>18</v>
      </c>
      <c r="Q59" s="7">
        <v>0</v>
      </c>
      <c r="R59" s="12">
        <f>Q59/Q57</f>
        <v>0</v>
      </c>
      <c r="S59" s="12">
        <v>0</v>
      </c>
      <c r="W59" s="12" t="s">
        <v>18</v>
      </c>
      <c r="X59" s="7">
        <v>0.4</v>
      </c>
      <c r="Y59" s="12">
        <f>X59/X57</f>
        <v>1.2372881355932204E-2</v>
      </c>
      <c r="Z59" s="12">
        <v>0</v>
      </c>
    </row>
    <row r="60" spans="2:26" x14ac:dyDescent="0.35">
      <c r="B60" s="12" t="s">
        <v>19</v>
      </c>
      <c r="C60" s="8">
        <v>0.9</v>
      </c>
      <c r="D60" s="12">
        <f>C60/C57</f>
        <v>1.1816546762589929E-2</v>
      </c>
      <c r="E60" s="12">
        <v>0</v>
      </c>
      <c r="I60" s="12" t="s">
        <v>19</v>
      </c>
      <c r="J60" s="8">
        <v>0.9</v>
      </c>
      <c r="K60" s="12">
        <f>J60/J57</f>
        <v>1.6507537688442212E-2</v>
      </c>
      <c r="L60" s="12">
        <v>0</v>
      </c>
      <c r="P60" s="12" t="s">
        <v>19</v>
      </c>
      <c r="Q60" s="8">
        <v>0</v>
      </c>
      <c r="R60" s="12">
        <f>Q60/Q57</f>
        <v>0</v>
      </c>
      <c r="S60" s="12">
        <v>0</v>
      </c>
      <c r="W60" s="12" t="s">
        <v>19</v>
      </c>
      <c r="X60" s="8">
        <v>0.9</v>
      </c>
      <c r="Y60" s="12">
        <f>X60/X57</f>
        <v>2.7838983050847459E-2</v>
      </c>
      <c r="Z60" s="12">
        <v>0</v>
      </c>
    </row>
    <row r="61" spans="2:26" x14ac:dyDescent="0.35">
      <c r="C61" s="7"/>
      <c r="J61" s="7"/>
      <c r="Q61" s="7"/>
      <c r="X61" s="7"/>
    </row>
    <row r="62" spans="2:26" x14ac:dyDescent="0.35">
      <c r="B62" s="13" t="s">
        <v>43</v>
      </c>
      <c r="C62" s="13" t="s">
        <v>21</v>
      </c>
      <c r="D62" s="13" t="s">
        <v>22</v>
      </c>
      <c r="E62" s="13" t="s">
        <v>23</v>
      </c>
      <c r="I62" s="13" t="s">
        <v>43</v>
      </c>
      <c r="J62" s="13" t="s">
        <v>21</v>
      </c>
      <c r="K62" s="13" t="s">
        <v>22</v>
      </c>
      <c r="L62" s="13" t="s">
        <v>23</v>
      </c>
      <c r="P62" s="13" t="s">
        <v>43</v>
      </c>
      <c r="Q62" s="13" t="s">
        <v>21</v>
      </c>
      <c r="R62" s="13" t="s">
        <v>22</v>
      </c>
      <c r="S62" s="13" t="s">
        <v>23</v>
      </c>
      <c r="W62" s="13" t="s">
        <v>43</v>
      </c>
      <c r="X62" s="13" t="s">
        <v>21</v>
      </c>
      <c r="Y62" s="13" t="s">
        <v>22</v>
      </c>
      <c r="Z62" s="13" t="s">
        <v>23</v>
      </c>
    </row>
    <row r="63" spans="2:26" x14ac:dyDescent="0.35">
      <c r="B63" s="12" t="s">
        <v>20</v>
      </c>
      <c r="C63" s="9">
        <v>110.41095890410959</v>
      </c>
      <c r="I63" s="12" t="s">
        <v>20</v>
      </c>
      <c r="J63" s="9">
        <v>103.28767123287672</v>
      </c>
      <c r="P63" s="12" t="s">
        <v>20</v>
      </c>
      <c r="Q63" s="9">
        <v>45.479452054794521</v>
      </c>
      <c r="W63" s="12" t="s">
        <v>20</v>
      </c>
      <c r="X63" s="9">
        <v>16.986301369863014</v>
      </c>
    </row>
    <row r="64" spans="2:26" x14ac:dyDescent="0.35">
      <c r="B64" s="12" t="s">
        <v>17</v>
      </c>
      <c r="C64" s="7">
        <v>393</v>
      </c>
      <c r="D64" s="12">
        <f>C64/C63</f>
        <v>3.5594292803970222</v>
      </c>
      <c r="E64" s="12">
        <f>C63/C64</f>
        <v>0.28094391578653838</v>
      </c>
      <c r="I64" s="12" t="s">
        <v>17</v>
      </c>
      <c r="J64" s="7">
        <v>368</v>
      </c>
      <c r="K64" s="12">
        <f>J64/J63</f>
        <v>3.5628647214854108</v>
      </c>
      <c r="L64" s="12">
        <f>J63/J64</f>
        <v>0.28067301965455632</v>
      </c>
      <c r="P64" s="12" t="s">
        <v>17</v>
      </c>
      <c r="Q64" s="7">
        <v>161</v>
      </c>
      <c r="R64" s="12">
        <f>Q64/Q63</f>
        <v>3.5400602409638555</v>
      </c>
      <c r="S64" s="12">
        <f>Q63/Q64</f>
        <v>0.28248106866332001</v>
      </c>
      <c r="W64" s="12" t="s">
        <v>17</v>
      </c>
      <c r="X64" s="7">
        <v>60</v>
      </c>
      <c r="Y64" s="12">
        <f>X64/X63</f>
        <v>3.532258064516129</v>
      </c>
      <c r="Z64" s="12">
        <f>X63/X64</f>
        <v>0.28310502283105021</v>
      </c>
    </row>
    <row r="65" spans="2:28" x14ac:dyDescent="0.35">
      <c r="B65" s="12" t="s">
        <v>18</v>
      </c>
      <c r="C65" s="7">
        <v>0</v>
      </c>
      <c r="D65" s="12">
        <f>C65/C63</f>
        <v>0</v>
      </c>
      <c r="E65" s="12">
        <v>0</v>
      </c>
      <c r="I65" s="12" t="s">
        <v>18</v>
      </c>
      <c r="J65" s="7">
        <v>0</v>
      </c>
      <c r="K65" s="12">
        <f>J65/J63</f>
        <v>0</v>
      </c>
      <c r="L65" s="12">
        <v>0</v>
      </c>
      <c r="P65" s="12" t="s">
        <v>18</v>
      </c>
      <c r="Q65" s="7">
        <v>0</v>
      </c>
      <c r="R65" s="12">
        <f>Q65/Q63</f>
        <v>0</v>
      </c>
      <c r="S65" s="12">
        <v>0</v>
      </c>
      <c r="W65" s="12" t="s">
        <v>18</v>
      </c>
      <c r="X65" s="7">
        <v>0</v>
      </c>
      <c r="Y65" s="12">
        <f>X65/X63</f>
        <v>0</v>
      </c>
      <c r="Z65" s="12">
        <v>0</v>
      </c>
    </row>
    <row r="66" spans="2:28" x14ac:dyDescent="0.35">
      <c r="B66" s="12" t="s">
        <v>19</v>
      </c>
      <c r="C66" s="8">
        <v>0</v>
      </c>
      <c r="D66" s="12">
        <f>C66/C63</f>
        <v>0</v>
      </c>
      <c r="E66" s="12">
        <v>0</v>
      </c>
      <c r="I66" s="12" t="s">
        <v>19</v>
      </c>
      <c r="J66" s="8">
        <v>0</v>
      </c>
      <c r="K66" s="12">
        <f>J66/J63</f>
        <v>0</v>
      </c>
      <c r="L66" s="12">
        <v>0</v>
      </c>
      <c r="P66" s="12" t="s">
        <v>19</v>
      </c>
      <c r="Q66" s="8">
        <v>0</v>
      </c>
      <c r="R66" s="12">
        <f>Q66/Q63</f>
        <v>0</v>
      </c>
      <c r="S66" s="12">
        <v>0</v>
      </c>
      <c r="W66" s="12" t="s">
        <v>19</v>
      </c>
      <c r="X66" s="8">
        <v>0</v>
      </c>
      <c r="Y66" s="12">
        <f>X66/X63</f>
        <v>0</v>
      </c>
      <c r="Z66" s="12">
        <v>0</v>
      </c>
    </row>
    <row r="68" spans="2:28" x14ac:dyDescent="0.35">
      <c r="P68" s="13" t="s">
        <v>53</v>
      </c>
      <c r="Q68" s="13" t="s">
        <v>21</v>
      </c>
      <c r="R68" s="13" t="s">
        <v>22</v>
      </c>
      <c r="S68" s="13" t="s">
        <v>23</v>
      </c>
      <c r="W68" s="13" t="s">
        <v>62</v>
      </c>
      <c r="X68" s="13" t="s">
        <v>21</v>
      </c>
      <c r="Y68" s="13" t="s">
        <v>22</v>
      </c>
      <c r="Z68" s="13" t="s">
        <v>23</v>
      </c>
    </row>
    <row r="69" spans="2:28" x14ac:dyDescent="0.35">
      <c r="P69" s="12" t="s">
        <v>20</v>
      </c>
      <c r="Q69" s="9">
        <v>3.5616438356164384</v>
      </c>
      <c r="W69" s="12" t="s">
        <v>20</v>
      </c>
      <c r="X69" s="9">
        <v>11.232876712328768</v>
      </c>
    </row>
    <row r="70" spans="2:28" x14ac:dyDescent="0.35">
      <c r="P70" s="12" t="s">
        <v>17</v>
      </c>
      <c r="Q70" s="7">
        <v>6.8999999999999995</v>
      </c>
      <c r="R70" s="12">
        <f>Q70/Q69</f>
        <v>1.9373076923076922</v>
      </c>
      <c r="S70" s="12">
        <f>Q69/Q70</f>
        <v>0.51618026603136791</v>
      </c>
      <c r="W70" s="12" t="s">
        <v>17</v>
      </c>
      <c r="X70" s="7">
        <v>11.899999999999999</v>
      </c>
      <c r="Y70" s="12">
        <f>X70/X69</f>
        <v>1.0593902439024387</v>
      </c>
      <c r="Z70" s="12">
        <f>X69/X70</f>
        <v>0.94393921952342597</v>
      </c>
    </row>
    <row r="71" spans="2:28" x14ac:dyDescent="0.35">
      <c r="P71" s="12" t="s">
        <v>18</v>
      </c>
      <c r="Q71" s="7">
        <v>3.2</v>
      </c>
      <c r="R71" s="12">
        <f>Q71/Q69</f>
        <v>0.89846153846153853</v>
      </c>
      <c r="S71" s="12">
        <v>0</v>
      </c>
      <c r="U71">
        <f>Q69/SUM(Q70:Q72)</f>
        <v>0.32378580323785805</v>
      </c>
      <c r="W71" s="12" t="s">
        <v>18</v>
      </c>
      <c r="X71" s="7">
        <v>14.4</v>
      </c>
      <c r="Y71" s="12">
        <f>X71/X69</f>
        <v>1.2819512195121952</v>
      </c>
      <c r="Z71" s="12">
        <v>0</v>
      </c>
      <c r="AB71">
        <f>X69/SUM(X70:X72)</f>
        <v>0.29560201874549391</v>
      </c>
    </row>
    <row r="72" spans="2:28" x14ac:dyDescent="0.35">
      <c r="P72" s="12" t="s">
        <v>19</v>
      </c>
      <c r="Q72" s="8">
        <v>0.9</v>
      </c>
      <c r="R72" s="12">
        <f>Q72/Q69</f>
        <v>0.25269230769230772</v>
      </c>
      <c r="S72" s="12">
        <v>0</v>
      </c>
      <c r="W72" s="12" t="s">
        <v>19</v>
      </c>
      <c r="X72" s="8">
        <v>11.700000000000001</v>
      </c>
      <c r="Y72" s="12">
        <f>X72/X69</f>
        <v>1.0415853658536587</v>
      </c>
      <c r="Z72" s="12">
        <v>0</v>
      </c>
    </row>
    <row r="74" spans="2:28" x14ac:dyDescent="0.35">
      <c r="B74" s="13" t="s">
        <v>70</v>
      </c>
      <c r="C74" s="13" t="s">
        <v>21</v>
      </c>
      <c r="D74" s="13" t="s">
        <v>22</v>
      </c>
      <c r="E74" s="13" t="s">
        <v>23</v>
      </c>
      <c r="I74" s="13" t="s">
        <v>70</v>
      </c>
      <c r="J74" s="13" t="s">
        <v>21</v>
      </c>
      <c r="K74" s="13" t="s">
        <v>22</v>
      </c>
      <c r="L74" s="13" t="s">
        <v>23</v>
      </c>
      <c r="P74" s="13" t="s">
        <v>70</v>
      </c>
      <c r="Q74" s="13" t="s">
        <v>21</v>
      </c>
      <c r="R74" s="13" t="s">
        <v>22</v>
      </c>
      <c r="S74" s="13" t="s">
        <v>23</v>
      </c>
      <c r="W74" s="13" t="s">
        <v>70</v>
      </c>
      <c r="X74" s="13" t="s">
        <v>21</v>
      </c>
      <c r="Y74" s="13" t="s">
        <v>22</v>
      </c>
      <c r="Z74" s="13" t="s">
        <v>23</v>
      </c>
    </row>
    <row r="75" spans="2:28" x14ac:dyDescent="0.35">
      <c r="B75" s="12" t="s">
        <v>20</v>
      </c>
      <c r="C75" s="9">
        <f>121/365*1000</f>
        <v>331.50684931506851</v>
      </c>
      <c r="I75" s="12" t="s">
        <v>20</v>
      </c>
      <c r="J75" s="9">
        <f>157/365*1000</f>
        <v>430.13698630136986</v>
      </c>
      <c r="P75" s="12" t="s">
        <v>20</v>
      </c>
      <c r="Q75" s="9">
        <f>65.6/365*1000</f>
        <v>179.72602739726025</v>
      </c>
      <c r="W75" s="12" t="s">
        <v>20</v>
      </c>
      <c r="X75" s="9">
        <f>23.1/365*1000</f>
        <v>63.287671232876718</v>
      </c>
    </row>
    <row r="76" spans="2:28" x14ac:dyDescent="0.35">
      <c r="B76" s="12" t="s">
        <v>17</v>
      </c>
      <c r="C76" s="7">
        <f>205-C77-C78</f>
        <v>64.09999999999998</v>
      </c>
      <c r="D76" s="12">
        <f>C76/C75</f>
        <v>0.19335950413223132</v>
      </c>
      <c r="E76" s="12">
        <f>C75/C76</f>
        <v>5.1717137178637849</v>
      </c>
      <c r="I76" s="12" t="s">
        <v>17</v>
      </c>
      <c r="J76" s="7">
        <f>261-J77-J78</f>
        <v>69</v>
      </c>
      <c r="K76" s="12">
        <f>J76/J75</f>
        <v>0.1604140127388535</v>
      </c>
      <c r="L76" s="12">
        <f>J75/J76</f>
        <v>6.2338693666865197</v>
      </c>
      <c r="P76" s="12" t="s">
        <v>17</v>
      </c>
      <c r="Q76" s="7">
        <f>98-Q77-Q78</f>
        <v>35.500000000000007</v>
      </c>
      <c r="R76" s="12">
        <f>Q76/Q75</f>
        <v>0.19752286585365861</v>
      </c>
      <c r="S76" s="12">
        <f>Q75/Q76</f>
        <v>5.0627049971059215</v>
      </c>
      <c r="W76" s="12" t="s">
        <v>17</v>
      </c>
      <c r="X76" s="7">
        <f>42-X77-X78</f>
        <v>11.600000000000005</v>
      </c>
      <c r="Y76" s="12">
        <f>X76/X75</f>
        <v>0.18329004329004336</v>
      </c>
      <c r="Z76" s="12">
        <f>X75/X76</f>
        <v>5.4558337269721289</v>
      </c>
    </row>
    <row r="77" spans="2:28" x14ac:dyDescent="0.35">
      <c r="B77" s="12" t="s">
        <v>18</v>
      </c>
      <c r="C77" s="7">
        <f>10.7*4</f>
        <v>42.8</v>
      </c>
      <c r="D77" s="12">
        <f>C77/C75</f>
        <v>0.12910743801652891</v>
      </c>
      <c r="E77" s="12">
        <v>0</v>
      </c>
      <c r="G77">
        <f>C75/SUM(C76:C78)</f>
        <v>1.6171065820247243</v>
      </c>
      <c r="I77" s="12" t="s">
        <v>18</v>
      </c>
      <c r="J77" s="7">
        <f>15.6*4</f>
        <v>62.4</v>
      </c>
      <c r="K77" s="12">
        <f>J77/J75</f>
        <v>0.1450700636942675</v>
      </c>
      <c r="L77" s="12">
        <v>0</v>
      </c>
      <c r="N77">
        <f>J75/SUM(J76:J78)</f>
        <v>1.6480344302734478</v>
      </c>
      <c r="P77" s="12" t="s">
        <v>18</v>
      </c>
      <c r="Q77" s="7">
        <f>6.4*4</f>
        <v>25.6</v>
      </c>
      <c r="R77" s="12">
        <f>Q77/Q75</f>
        <v>0.14243902439024392</v>
      </c>
      <c r="S77" s="12">
        <v>0</v>
      </c>
      <c r="U77">
        <f>Q75/SUM(Q76:Q78)</f>
        <v>1.8339390550740842</v>
      </c>
      <c r="W77" s="12" t="s">
        <v>18</v>
      </c>
      <c r="X77" s="7">
        <f>2.2*4</f>
        <v>8.8000000000000007</v>
      </c>
      <c r="Y77" s="12">
        <f>X77/X75</f>
        <v>0.13904761904761906</v>
      </c>
      <c r="Z77" s="12">
        <v>0</v>
      </c>
      <c r="AB77">
        <f>X75/SUM(X76:X78)</f>
        <v>1.5068493150684934</v>
      </c>
    </row>
    <row r="78" spans="2:28" x14ac:dyDescent="0.35">
      <c r="B78" s="12" t="s">
        <v>19</v>
      </c>
      <c r="C78" s="8">
        <f>10.9*9</f>
        <v>98.100000000000009</v>
      </c>
      <c r="D78" s="12">
        <f>C78/C75</f>
        <v>0.29592148760330578</v>
      </c>
      <c r="E78" s="12">
        <v>0</v>
      </c>
      <c r="I78" s="12" t="s">
        <v>19</v>
      </c>
      <c r="J78" s="8">
        <f>14.4*9</f>
        <v>129.6</v>
      </c>
      <c r="K78" s="12">
        <f>J78/J75</f>
        <v>0.30129936305732485</v>
      </c>
      <c r="L78" s="12">
        <v>0</v>
      </c>
      <c r="P78" s="12" t="s">
        <v>19</v>
      </c>
      <c r="Q78" s="8">
        <f>4.1*9</f>
        <v>36.9</v>
      </c>
      <c r="R78" s="12">
        <f>Q78/Q75</f>
        <v>0.20531250000000001</v>
      </c>
      <c r="S78" s="12">
        <v>0</v>
      </c>
      <c r="W78" s="12" t="s">
        <v>19</v>
      </c>
      <c r="X78" s="8">
        <f>2.4*9</f>
        <v>21.599999999999998</v>
      </c>
      <c r="Y78" s="12">
        <f>X78/X75</f>
        <v>0.34129870129870121</v>
      </c>
      <c r="Z78" s="12">
        <v>0</v>
      </c>
    </row>
    <row r="81" spans="25:25" x14ac:dyDescent="0.35">
      <c r="Y81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3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5" sqref="A5"/>
      <selection pane="bottomRight" activeCell="C6" sqref="C6"/>
    </sheetView>
  </sheetViews>
  <sheetFormatPr defaultRowHeight="14.5" x14ac:dyDescent="0.35"/>
  <cols>
    <col min="2" max="2" width="22.7265625" customWidth="1"/>
    <col min="3" max="3" width="16.81640625" style="21" bestFit="1" customWidth="1"/>
    <col min="4" max="5" width="17.1796875" style="7" bestFit="1" customWidth="1"/>
    <col min="6" max="8" width="9.1796875" style="7"/>
    <col min="9" max="9" width="11.81640625" style="15" bestFit="1" customWidth="1"/>
    <col min="10" max="10" width="10.26953125" style="7" bestFit="1" customWidth="1"/>
    <col min="11" max="11" width="9.54296875" style="7" bestFit="1" customWidth="1"/>
    <col min="12" max="12" width="8.54296875" style="7" bestFit="1" customWidth="1"/>
    <col min="13" max="13" width="7.1796875" style="22" customWidth="1"/>
    <col min="14" max="14" width="5.1796875" customWidth="1"/>
    <col min="15" max="15" width="16.81640625" style="21" bestFit="1" customWidth="1"/>
    <col min="16" max="16" width="9.7265625" style="7" customWidth="1"/>
    <col min="17" max="17" width="4.1796875" style="7" customWidth="1"/>
    <col min="18" max="19" width="8.54296875" style="7" bestFit="1" customWidth="1"/>
    <col min="20" max="20" width="8.54296875" style="7" customWidth="1"/>
    <col min="21" max="21" width="11.81640625" style="7" bestFit="1" customWidth="1"/>
    <col min="22" max="22" width="9.7265625" style="7" bestFit="1" customWidth="1"/>
    <col min="23" max="24" width="8.453125" style="7" bestFit="1" customWidth="1"/>
    <col min="25" max="25" width="7.1796875" style="38" bestFit="1" customWidth="1"/>
    <col min="27" max="27" width="12.81640625" bestFit="1" customWidth="1"/>
    <col min="28" max="28" width="8.26953125" customWidth="1"/>
    <col min="29" max="29" width="5" customWidth="1"/>
    <col min="30" max="31" width="9.54296875" bestFit="1" customWidth="1"/>
    <col min="32" max="32" width="9.54296875" customWidth="1"/>
    <col min="33" max="33" width="11.81640625" bestFit="1" customWidth="1"/>
    <col min="34" max="34" width="9.7265625" bestFit="1" customWidth="1"/>
    <col min="35" max="35" width="8.453125" bestFit="1" customWidth="1"/>
    <col min="36" max="36" width="7.1796875" bestFit="1" customWidth="1"/>
    <col min="37" max="37" width="7.7265625" bestFit="1" customWidth="1"/>
    <col min="38" max="38" width="2.26953125" customWidth="1"/>
    <col min="39" max="39" width="16.81640625" bestFit="1" customWidth="1"/>
    <col min="40" max="40" width="17.1796875" bestFit="1" customWidth="1"/>
    <col min="41" max="41" width="18.1796875" bestFit="1" customWidth="1"/>
    <col min="42" max="43" width="9.54296875" bestFit="1" customWidth="1"/>
    <col min="44" max="44" width="9.54296875" customWidth="1"/>
    <col min="45" max="45" width="11.81640625" bestFit="1" customWidth="1"/>
    <col min="46" max="46" width="9.7265625" bestFit="1" customWidth="1"/>
    <col min="47" max="47" width="8.453125" bestFit="1" customWidth="1"/>
    <col min="48" max="48" width="7.1796875" bestFit="1" customWidth="1"/>
    <col min="49" max="49" width="7.7265625" bestFit="1" customWidth="1"/>
  </cols>
  <sheetData>
    <row r="1" spans="1:49" s="1" customFormat="1" x14ac:dyDescent="0.35">
      <c r="C1" s="60"/>
      <c r="D1" s="61"/>
      <c r="E1" s="61"/>
      <c r="F1" s="61"/>
      <c r="G1" s="61"/>
      <c r="H1" s="61"/>
      <c r="I1" s="62"/>
      <c r="J1" s="61"/>
      <c r="K1" s="61"/>
      <c r="L1" s="61"/>
      <c r="M1" s="63"/>
      <c r="O1" s="60"/>
      <c r="P1" s="61"/>
      <c r="Q1" s="61"/>
      <c r="R1" s="61"/>
      <c r="S1" s="61"/>
      <c r="T1" s="61"/>
      <c r="U1" s="61"/>
      <c r="V1" s="61"/>
      <c r="W1" s="61"/>
      <c r="X1" s="61"/>
      <c r="Y1" s="64"/>
    </row>
    <row r="2" spans="1:49" ht="15" thickBot="1" x14ac:dyDescent="0.4"/>
    <row r="3" spans="1:49" ht="15" thickTop="1" x14ac:dyDescent="0.35">
      <c r="A3" s="18" t="s">
        <v>13</v>
      </c>
      <c r="B3" s="6">
        <v>2100</v>
      </c>
      <c r="E3" s="6"/>
      <c r="F3" s="6"/>
      <c r="G3" s="6"/>
      <c r="H3" s="6"/>
      <c r="I3" s="19"/>
      <c r="J3" s="6"/>
      <c r="K3" s="6"/>
      <c r="L3" s="6"/>
      <c r="M3" s="20"/>
      <c r="O3" s="18"/>
      <c r="P3" s="6"/>
      <c r="Q3" s="6"/>
      <c r="R3" s="6"/>
      <c r="S3" s="6"/>
      <c r="T3" s="6"/>
      <c r="U3" s="6"/>
      <c r="V3" s="6"/>
      <c r="W3" s="6"/>
      <c r="X3" s="6"/>
      <c r="Y3" s="37"/>
      <c r="AA3" s="18"/>
      <c r="AB3" s="6"/>
      <c r="AC3" s="6"/>
      <c r="AD3" s="6"/>
      <c r="AE3" s="6"/>
      <c r="AF3" s="6"/>
      <c r="AG3" s="6"/>
      <c r="AH3" s="6"/>
      <c r="AI3" s="6"/>
      <c r="AJ3" s="6"/>
      <c r="AK3" s="37"/>
      <c r="AM3" s="18"/>
      <c r="AN3" s="6"/>
      <c r="AO3" s="6"/>
      <c r="AP3" s="6"/>
      <c r="AQ3" s="6"/>
      <c r="AR3" s="6"/>
      <c r="AS3" s="6"/>
      <c r="AT3" s="6"/>
      <c r="AU3" s="6"/>
      <c r="AV3" s="6"/>
      <c r="AW3" s="37"/>
    </row>
    <row r="4" spans="1:49" x14ac:dyDescent="0.35">
      <c r="A4" s="21" t="s">
        <v>17</v>
      </c>
      <c r="B4" s="7">
        <f>B3*0.65</f>
        <v>1365</v>
      </c>
      <c r="AA4" s="21"/>
      <c r="AB4" s="7"/>
      <c r="AC4" s="7"/>
      <c r="AD4" s="7"/>
      <c r="AE4" s="7"/>
      <c r="AF4" s="7"/>
      <c r="AG4" s="7"/>
      <c r="AH4" s="7"/>
      <c r="AI4" s="7"/>
      <c r="AJ4" s="7"/>
      <c r="AK4" s="38"/>
      <c r="AM4" s="21"/>
      <c r="AN4" s="7"/>
      <c r="AO4" s="7"/>
      <c r="AP4" s="7"/>
      <c r="AQ4" s="7"/>
      <c r="AR4" s="7"/>
      <c r="AS4" s="7"/>
      <c r="AT4" s="7"/>
      <c r="AU4" s="7"/>
      <c r="AV4" s="7"/>
      <c r="AW4" s="38"/>
    </row>
    <row r="5" spans="1:49" x14ac:dyDescent="0.35">
      <c r="A5" s="21" t="s">
        <v>18</v>
      </c>
      <c r="B5" s="7">
        <f>B3*0.125</f>
        <v>262.5</v>
      </c>
      <c r="X5" s="31"/>
      <c r="AA5" s="21"/>
      <c r="AB5" s="7"/>
      <c r="AC5" s="7"/>
      <c r="AD5" s="7"/>
      <c r="AE5" s="7"/>
      <c r="AF5" s="7"/>
      <c r="AG5" s="7"/>
      <c r="AH5" s="7"/>
      <c r="AI5" s="7"/>
      <c r="AJ5" s="7"/>
      <c r="AK5" s="38"/>
      <c r="AM5" s="21"/>
      <c r="AN5" s="7"/>
      <c r="AO5" s="7"/>
      <c r="AP5" s="7"/>
      <c r="AQ5" s="7"/>
      <c r="AR5" s="7"/>
      <c r="AS5" s="7"/>
      <c r="AT5" s="7"/>
      <c r="AU5" s="7"/>
      <c r="AV5" s="7"/>
      <c r="AW5" s="38"/>
    </row>
    <row r="6" spans="1:49" x14ac:dyDescent="0.35">
      <c r="A6" s="21" t="s">
        <v>19</v>
      </c>
      <c r="B6" s="7">
        <f>B3-B5-B4</f>
        <v>472.5</v>
      </c>
      <c r="C6" s="23" t="s">
        <v>0</v>
      </c>
      <c r="D6" s="7" t="s">
        <v>67</v>
      </c>
      <c r="O6" s="39" t="s">
        <v>1</v>
      </c>
      <c r="P6" s="7" t="s">
        <v>67</v>
      </c>
      <c r="AA6" s="39" t="s">
        <v>2</v>
      </c>
      <c r="AB6" s="7" t="s">
        <v>68</v>
      </c>
      <c r="AC6" s="7"/>
      <c r="AD6" s="7"/>
      <c r="AE6" s="7"/>
      <c r="AF6" s="7"/>
      <c r="AG6" s="7"/>
      <c r="AH6" s="7"/>
      <c r="AI6" s="7"/>
      <c r="AJ6" s="7"/>
      <c r="AK6" s="38"/>
      <c r="AM6" s="39" t="s">
        <v>3</v>
      </c>
      <c r="AN6" s="7" t="s">
        <v>69</v>
      </c>
      <c r="AO6" s="7"/>
      <c r="AP6" s="7"/>
      <c r="AQ6" s="7"/>
      <c r="AR6" s="7"/>
      <c r="AS6" s="7"/>
      <c r="AT6" s="7"/>
      <c r="AU6" s="7"/>
      <c r="AV6" s="7"/>
      <c r="AW6" s="38"/>
    </row>
    <row r="7" spans="1:49" x14ac:dyDescent="0.35">
      <c r="AA7" s="21"/>
      <c r="AB7" s="7"/>
      <c r="AC7" s="7"/>
      <c r="AD7" s="7"/>
      <c r="AE7" s="7"/>
      <c r="AF7" s="7"/>
      <c r="AG7" s="7"/>
      <c r="AH7" s="7"/>
      <c r="AI7" s="7"/>
      <c r="AJ7" s="7"/>
      <c r="AK7" s="38"/>
      <c r="AM7" s="21"/>
      <c r="AN7" s="7"/>
      <c r="AO7" s="7"/>
      <c r="AP7" s="7"/>
      <c r="AQ7" s="7"/>
      <c r="AR7" s="7"/>
      <c r="AS7" s="7"/>
      <c r="AT7" s="7"/>
      <c r="AU7" s="7"/>
      <c r="AV7" s="7"/>
      <c r="AW7" s="38"/>
    </row>
    <row r="8" spans="1:49" x14ac:dyDescent="0.35">
      <c r="V8" s="31"/>
      <c r="AA8" s="21"/>
      <c r="AB8" s="7"/>
      <c r="AC8" s="7"/>
      <c r="AD8" s="7"/>
      <c r="AE8" s="7"/>
      <c r="AF8" s="7"/>
      <c r="AG8" s="7"/>
      <c r="AH8" s="7"/>
      <c r="AI8" s="7"/>
      <c r="AJ8" s="7"/>
      <c r="AK8" s="38"/>
      <c r="AM8" s="21"/>
      <c r="AN8" s="7"/>
      <c r="AO8" s="7"/>
      <c r="AP8" s="7"/>
      <c r="AQ8" s="7"/>
      <c r="AR8" s="7"/>
      <c r="AS8" s="7"/>
      <c r="AT8" s="7"/>
      <c r="AU8" s="7"/>
      <c r="AV8" s="7"/>
      <c r="AW8" s="38"/>
    </row>
    <row r="9" spans="1:49" x14ac:dyDescent="0.35">
      <c r="B9" s="1"/>
      <c r="E9" s="23"/>
      <c r="F9" s="23"/>
      <c r="G9" s="23"/>
      <c r="H9" s="23"/>
      <c r="I9" s="24"/>
      <c r="J9" s="23"/>
      <c r="K9" s="23"/>
      <c r="L9" s="23"/>
      <c r="M9" s="25"/>
      <c r="N9" s="2"/>
      <c r="P9" s="23"/>
      <c r="R9" s="23"/>
      <c r="S9" s="23"/>
      <c r="T9" s="23"/>
      <c r="V9" s="23"/>
      <c r="W9" s="23"/>
      <c r="AB9" s="23"/>
      <c r="AC9" s="7"/>
      <c r="AD9" s="23"/>
      <c r="AE9" s="23"/>
      <c r="AF9" s="23"/>
      <c r="AG9" s="7"/>
      <c r="AH9" s="53"/>
      <c r="AI9" s="23"/>
      <c r="AJ9" s="7"/>
      <c r="AK9" s="38"/>
      <c r="AN9" s="23"/>
      <c r="AO9" s="7"/>
      <c r="AP9" s="23"/>
      <c r="AQ9" s="23"/>
      <c r="AR9" s="23"/>
      <c r="AS9" s="7"/>
      <c r="AT9" s="23"/>
      <c r="AU9" s="53"/>
      <c r="AV9" s="7"/>
      <c r="AW9" s="38"/>
    </row>
    <row r="10" spans="1:49" x14ac:dyDescent="0.35">
      <c r="B10" s="1"/>
      <c r="C10" s="26" t="s">
        <v>7</v>
      </c>
      <c r="D10" s="27" t="s">
        <v>11</v>
      </c>
      <c r="E10" s="27" t="s">
        <v>12</v>
      </c>
      <c r="F10" s="27" t="s">
        <v>8</v>
      </c>
      <c r="G10" s="27" t="s">
        <v>38</v>
      </c>
      <c r="H10" s="27"/>
      <c r="I10" s="28" t="s">
        <v>15</v>
      </c>
      <c r="J10" s="27" t="s">
        <v>14</v>
      </c>
      <c r="K10" s="27" t="s">
        <v>16</v>
      </c>
      <c r="L10" s="27" t="s">
        <v>13</v>
      </c>
      <c r="M10" s="29" t="s">
        <v>20</v>
      </c>
      <c r="N10" s="3"/>
      <c r="O10" s="26" t="s">
        <v>7</v>
      </c>
      <c r="P10" s="27" t="s">
        <v>11</v>
      </c>
      <c r="Q10" s="27" t="s">
        <v>12</v>
      </c>
      <c r="R10" s="27" t="s">
        <v>8</v>
      </c>
      <c r="S10" s="27" t="s">
        <v>38</v>
      </c>
      <c r="T10" s="27"/>
      <c r="U10" s="28" t="s">
        <v>15</v>
      </c>
      <c r="V10" s="27" t="s">
        <v>14</v>
      </c>
      <c r="W10" s="27" t="s">
        <v>16</v>
      </c>
      <c r="X10" s="27" t="s">
        <v>13</v>
      </c>
      <c r="Y10" s="29" t="s">
        <v>20</v>
      </c>
      <c r="AA10" s="26" t="s">
        <v>7</v>
      </c>
      <c r="AB10" s="27" t="s">
        <v>11</v>
      </c>
      <c r="AC10" s="27" t="s">
        <v>12</v>
      </c>
      <c r="AD10" s="27" t="s">
        <v>8</v>
      </c>
      <c r="AE10" s="27" t="s">
        <v>38</v>
      </c>
      <c r="AF10" s="27"/>
      <c r="AG10" s="28" t="s">
        <v>15</v>
      </c>
      <c r="AH10" s="27" t="s">
        <v>14</v>
      </c>
      <c r="AI10" s="27" t="s">
        <v>16</v>
      </c>
      <c r="AJ10" s="27" t="s">
        <v>13</v>
      </c>
      <c r="AK10" s="29" t="s">
        <v>20</v>
      </c>
      <c r="AM10" s="26" t="s">
        <v>7</v>
      </c>
      <c r="AN10" s="27" t="s">
        <v>11</v>
      </c>
      <c r="AO10" s="27" t="s">
        <v>12</v>
      </c>
      <c r="AP10" s="27" t="s">
        <v>8</v>
      </c>
      <c r="AQ10" s="27" t="s">
        <v>38</v>
      </c>
      <c r="AR10" s="27"/>
      <c r="AS10" s="28" t="s">
        <v>15</v>
      </c>
      <c r="AT10" s="27" t="s">
        <v>14</v>
      </c>
      <c r="AU10" s="27" t="s">
        <v>16</v>
      </c>
      <c r="AV10" s="27" t="s">
        <v>13</v>
      </c>
      <c r="AW10" s="29" t="s">
        <v>20</v>
      </c>
    </row>
    <row r="11" spans="1:49" x14ac:dyDescent="0.35">
      <c r="B11" s="1" t="s">
        <v>40</v>
      </c>
      <c r="C11" s="26"/>
      <c r="D11" s="27"/>
      <c r="E11" s="27"/>
      <c r="F11" s="27"/>
      <c r="G11" s="27"/>
      <c r="H11" s="27"/>
      <c r="I11" s="30">
        <f>I12/$L12</f>
        <v>0.12499799537529584</v>
      </c>
      <c r="J11" s="30">
        <f t="shared" ref="J11:L11" si="0">J12/$L12</f>
        <v>0.6111708196993304</v>
      </c>
      <c r="K11" s="30">
        <f t="shared" si="0"/>
        <v>0.26314937767787216</v>
      </c>
      <c r="L11" s="30">
        <f t="shared" si="0"/>
        <v>1</v>
      </c>
      <c r="M11" s="29"/>
      <c r="N11" s="3"/>
      <c r="O11" s="26"/>
      <c r="P11" s="27"/>
      <c r="Q11" s="27"/>
      <c r="R11" s="27"/>
      <c r="S11" s="27"/>
      <c r="T11" s="27"/>
      <c r="U11" s="30">
        <f t="shared" ref="U11:V11" si="1">U12/$X12</f>
        <v>0.1249786586934251</v>
      </c>
      <c r="V11" s="30">
        <f t="shared" si="1"/>
        <v>0.64317756251649316</v>
      </c>
      <c r="W11" s="30">
        <f>W12/$X12</f>
        <v>0.23184377879008194</v>
      </c>
      <c r="X11" s="30">
        <f>X12/X12</f>
        <v>1</v>
      </c>
      <c r="Y11" s="29"/>
      <c r="AA11" s="26"/>
      <c r="AB11" s="27"/>
      <c r="AC11" s="27"/>
      <c r="AD11" s="27"/>
      <c r="AE11" s="27"/>
      <c r="AF11" s="27"/>
      <c r="AG11" s="30">
        <f>AG12/$AJ12</f>
        <v>0.12500143867869984</v>
      </c>
      <c r="AH11" s="30">
        <f t="shared" ref="AH11:AI11" si="2">AH12/$AJ12</f>
        <v>0.63716774531655929</v>
      </c>
      <c r="AI11" s="30">
        <f t="shared" si="2"/>
        <v>0.23783081600474063</v>
      </c>
      <c r="AJ11" s="30">
        <f>AJ12/AJ12</f>
        <v>1</v>
      </c>
      <c r="AK11" s="29"/>
      <c r="AL11" s="5"/>
      <c r="AM11" s="26"/>
      <c r="AN11" s="27"/>
      <c r="AO11" s="27"/>
      <c r="AP11" s="27"/>
      <c r="AQ11" s="27"/>
      <c r="AR11" s="27"/>
      <c r="AS11" s="30">
        <f>AS12/$AJ12</f>
        <v>0.12500143867869984</v>
      </c>
      <c r="AT11" s="30">
        <f t="shared" ref="AT11" si="3">AT12/$AJ12</f>
        <v>0.62375884983642549</v>
      </c>
      <c r="AU11" s="30">
        <f t="shared" ref="AU11" si="4">AU12/$AJ12</f>
        <v>0.25128827066660586</v>
      </c>
      <c r="AV11" s="30">
        <f>AV12/AV12</f>
        <v>1</v>
      </c>
      <c r="AW11" s="29"/>
    </row>
    <row r="12" spans="1:49" x14ac:dyDescent="0.35">
      <c r="B12" s="1" t="s">
        <v>39</v>
      </c>
      <c r="C12" s="26"/>
      <c r="D12" s="27"/>
      <c r="E12" s="27"/>
      <c r="F12" s="27"/>
      <c r="G12" s="57">
        <f>SUM(G13:G35)</f>
        <v>2.6179750322588298</v>
      </c>
      <c r="H12" s="57">
        <f>SUM(H13:H35)</f>
        <v>1.0801764983099931</v>
      </c>
      <c r="I12" s="28">
        <f>SUM(I13:I35)</f>
        <v>262.5</v>
      </c>
      <c r="J12" s="28">
        <f t="shared" ref="J12:K12" si="5">SUM(J13:J35)</f>
        <v>1283.4793045231629</v>
      </c>
      <c r="K12" s="28">
        <f t="shared" si="5"/>
        <v>552.62255553014677</v>
      </c>
      <c r="L12" s="28">
        <f>SUM(L13:L35)</f>
        <v>2100.0336782351278</v>
      </c>
      <c r="M12" s="29">
        <f>SUM(M14:M35)</f>
        <v>1287.1582211066079</v>
      </c>
      <c r="N12" s="3"/>
      <c r="O12" s="26"/>
      <c r="P12" s="27"/>
      <c r="Q12" s="27"/>
      <c r="R12" s="27"/>
      <c r="S12" s="28">
        <f>SUM(S13:S35)</f>
        <v>28.546694274546482</v>
      </c>
      <c r="T12" s="57">
        <f>SUM(T14:T35)</f>
        <v>1.0094111095479636</v>
      </c>
      <c r="U12" s="28">
        <f t="shared" ref="U12" si="6">SUM(U13:U35)</f>
        <v>262.49999999999994</v>
      </c>
      <c r="V12" s="28">
        <f t="shared" ref="V12" si="7">SUM(V13:V35)</f>
        <v>1350.9035216543052</v>
      </c>
      <c r="W12" s="28">
        <f t="shared" ref="W12" si="8">SUM(W13:W35)</f>
        <v>486.95507351926938</v>
      </c>
      <c r="X12" s="28">
        <f>SUM(X13:X35)</f>
        <v>2100.358595173574</v>
      </c>
      <c r="Y12" s="29">
        <f>SUM(Y14:Y35)</f>
        <v>1505.8003906388144</v>
      </c>
      <c r="AA12" s="26"/>
      <c r="AB12" s="27"/>
      <c r="AC12" s="27"/>
      <c r="AD12" s="27"/>
      <c r="AE12" s="28">
        <f>SUM(AE13:AE35)</f>
        <v>28.219906493492029</v>
      </c>
      <c r="AF12" s="57">
        <f>AE12*0.02207</f>
        <v>0.62281333631136904</v>
      </c>
      <c r="AG12" s="28">
        <f t="shared" ref="AG12" si="9">SUM(AG13:AG35)</f>
        <v>262.5</v>
      </c>
      <c r="AH12" s="28">
        <f t="shared" ref="AH12" si="10">SUM(AH13:AH35)</f>
        <v>1338.0368651236749</v>
      </c>
      <c r="AI12" s="28">
        <f t="shared" ref="AI12" si="11">SUM(AI13:AI35)</f>
        <v>499.43896535234478</v>
      </c>
      <c r="AJ12" s="28">
        <f>SUM(AJ13:AJ35)</f>
        <v>2099.9758304760203</v>
      </c>
      <c r="AK12" s="29">
        <f>SUM(AK14:AK35)</f>
        <v>1256.5678638228635</v>
      </c>
      <c r="AM12" s="26"/>
      <c r="AN12" s="27"/>
      <c r="AO12" s="27"/>
      <c r="AP12" s="27"/>
      <c r="AQ12" s="28">
        <f>SUM(AQ13:AQ35)</f>
        <v>6.9526573170074215</v>
      </c>
      <c r="AR12" s="10">
        <f t="shared" ref="AR12" si="12">AQ12*0.12205</f>
        <v>0.84857182554075583</v>
      </c>
      <c r="AS12" s="28">
        <f t="shared" ref="AS12" si="13">SUM(AS13:AS35)</f>
        <v>262.5</v>
      </c>
      <c r="AT12" s="28">
        <f t="shared" ref="AT12" si="14">SUM(AT13:AT35)</f>
        <v>1309.8785087020149</v>
      </c>
      <c r="AU12" s="28">
        <f t="shared" ref="AU12" si="15">SUM(AU13:AU35)</f>
        <v>527.69929488198864</v>
      </c>
      <c r="AV12" s="28">
        <f>SUM(AV13:AV35)</f>
        <v>2100.077803584003</v>
      </c>
      <c r="AW12" s="29">
        <f>SUM(AW14:AW35)</f>
        <v>1230.2624259244244</v>
      </c>
    </row>
    <row r="13" spans="1:49" x14ac:dyDescent="0.35">
      <c r="B13" s="1"/>
      <c r="C13" s="26"/>
      <c r="D13" s="27"/>
      <c r="E13" s="27"/>
      <c r="F13" s="27"/>
      <c r="G13" s="27"/>
      <c r="H13" s="57"/>
      <c r="I13" s="28"/>
      <c r="J13" s="28"/>
      <c r="K13" s="28"/>
      <c r="L13" s="28"/>
      <c r="M13" s="29"/>
      <c r="N13" s="3"/>
      <c r="O13" s="26"/>
      <c r="P13" s="27"/>
      <c r="Q13" s="27"/>
      <c r="R13" s="27"/>
      <c r="S13" s="27"/>
      <c r="T13" s="27"/>
      <c r="U13" s="28"/>
      <c r="V13" s="28"/>
      <c r="W13" s="28"/>
      <c r="X13" s="28"/>
      <c r="Y13" s="29"/>
      <c r="AA13" s="26"/>
      <c r="AB13" s="27"/>
      <c r="AC13" s="27"/>
      <c r="AD13" s="27"/>
      <c r="AE13" s="27"/>
      <c r="AF13" s="57"/>
      <c r="AG13" s="28"/>
      <c r="AH13" s="28"/>
      <c r="AI13" s="28"/>
      <c r="AJ13" s="28"/>
      <c r="AK13" s="29"/>
      <c r="AM13" s="26"/>
      <c r="AN13" s="27"/>
      <c r="AO13" s="27"/>
      <c r="AP13" s="27"/>
      <c r="AQ13" s="27"/>
      <c r="AR13" s="10"/>
      <c r="AS13" s="28"/>
      <c r="AT13" s="28"/>
      <c r="AU13" s="28"/>
      <c r="AV13" s="28"/>
      <c r="AW13" s="29"/>
    </row>
    <row r="14" spans="1:49" x14ac:dyDescent="0.35">
      <c r="B14" s="1" t="s">
        <v>4</v>
      </c>
      <c r="C14" s="21" t="s">
        <v>5</v>
      </c>
      <c r="D14" s="31">
        <v>0.49</v>
      </c>
      <c r="F14" s="32">
        <v>1.0399999999999999E-3</v>
      </c>
      <c r="G14" s="10">
        <f>F14*M14</f>
        <v>0.19521177589181954</v>
      </c>
      <c r="H14" s="57">
        <f t="shared" ref="H14:H33" si="16">G14*0.4126</f>
        <v>8.0544378732964744E-2</v>
      </c>
      <c r="I14" s="15">
        <f>M14*FoodKcal!D5</f>
        <v>53.962982005141384</v>
      </c>
      <c r="J14" s="15">
        <f>M14*FoodKcal!D4</f>
        <v>442.68161953727503</v>
      </c>
      <c r="K14" s="15">
        <f>M14*FoodKcal!D6</f>
        <v>17.855398457583547</v>
      </c>
      <c r="L14" s="15">
        <f>$B$3/2*D14</f>
        <v>514.5</v>
      </c>
      <c r="M14" s="22">
        <f>L14*FoodKcal!G5</f>
        <v>187.70363066521111</v>
      </c>
      <c r="O14" s="21" t="s">
        <v>5</v>
      </c>
      <c r="P14" s="31">
        <v>0.94</v>
      </c>
      <c r="R14" s="32">
        <v>1.2699999999999999E-2</v>
      </c>
      <c r="S14" s="10">
        <f>R14*Y14</f>
        <v>4.4074128932928032</v>
      </c>
      <c r="T14" s="10">
        <f>S14*0.03536</f>
        <v>0.15584611990683353</v>
      </c>
      <c r="U14" s="15">
        <f>Y14*FoodKcal!K5</f>
        <v>117.94697406340059</v>
      </c>
      <c r="V14" s="15">
        <f>Y14*FoodKcal!K4</f>
        <v>841.74697406340067</v>
      </c>
      <c r="W14" s="15">
        <f>Y14*FoodKcal!K6</f>
        <v>27.30605187319885</v>
      </c>
      <c r="X14" s="15">
        <f>$B$3/2*P14</f>
        <v>987</v>
      </c>
      <c r="Y14" s="22">
        <f>X14*FoodKcal!N5</f>
        <v>347.04038529864596</v>
      </c>
      <c r="AA14" s="21" t="s">
        <v>5</v>
      </c>
      <c r="AB14" s="31">
        <v>0.4</v>
      </c>
      <c r="AC14" s="7"/>
      <c r="AD14" s="32">
        <v>1.2999999999999999E-2</v>
      </c>
      <c r="AE14" s="10">
        <f>AD14*AK14</f>
        <v>1.7531454497862311</v>
      </c>
      <c r="AF14" s="57">
        <f t="shared" ref="AF14:AF35" si="17">AE14*0.02207</f>
        <v>3.869192007678212E-2</v>
      </c>
      <c r="AG14" s="15">
        <f>AK14*FoodKcal!R5</f>
        <v>49.222929936305732</v>
      </c>
      <c r="AH14" s="15">
        <f>AK14*FoodKcal!R4</f>
        <v>353.12101910828017</v>
      </c>
      <c r="AI14" s="15">
        <f>AK14*FoodKcal!R6</f>
        <v>17.656050955414013</v>
      </c>
      <c r="AJ14" s="15">
        <v>420</v>
      </c>
      <c r="AK14" s="22">
        <f>AJ14*FoodKcal!U5</f>
        <v>134.85734229124856</v>
      </c>
      <c r="AM14" s="21" t="s">
        <v>5</v>
      </c>
      <c r="AN14" s="31">
        <v>0.43</v>
      </c>
      <c r="AO14" s="7"/>
      <c r="AP14" s="32">
        <v>2.63E-3</v>
      </c>
      <c r="AQ14" s="10">
        <f>AP14*AW14</f>
        <v>0.37282851129148542</v>
      </c>
      <c r="AR14" s="10">
        <f>AQ14*0.12205</f>
        <v>4.55037198031258E-2</v>
      </c>
      <c r="AS14" s="15">
        <f>AW14*FoodKcal!Y5</f>
        <v>57.951443123938873</v>
      </c>
      <c r="AT14" s="15">
        <f>AW14*FoodKcal!Y4</f>
        <v>372.16171477079797</v>
      </c>
      <c r="AU14" s="15">
        <f>AW14*FoodKcal!Y6</f>
        <v>21.38684210526316</v>
      </c>
      <c r="AV14" s="15">
        <f>B3/2*AN14</f>
        <v>451.5</v>
      </c>
      <c r="AW14" s="22">
        <f>AV14*FoodKcal!AB5</f>
        <v>141.75989022489941</v>
      </c>
    </row>
    <row r="15" spans="1:49" x14ac:dyDescent="0.35">
      <c r="C15" s="21" t="s">
        <v>6</v>
      </c>
      <c r="D15" s="31">
        <v>0.51</v>
      </c>
      <c r="F15" s="32">
        <v>1.4E-3</v>
      </c>
      <c r="G15" s="10">
        <f>F15*M15</f>
        <v>0.20230857966834892</v>
      </c>
      <c r="H15" s="57">
        <f t="shared" si="16"/>
        <v>8.3472519971160772E-2</v>
      </c>
      <c r="I15" s="15">
        <f>M15*FoodKcal!D11</f>
        <v>42.410526315789468</v>
      </c>
      <c r="J15" s="15">
        <f>M15*FoodKcal!D10</f>
        <v>484.63421052631571</v>
      </c>
      <c r="K15" s="15">
        <f>M15*FoodKcal!D12</f>
        <v>8.4552631578947341</v>
      </c>
      <c r="L15" s="15">
        <f>$B$3/2*D15</f>
        <v>535.5</v>
      </c>
      <c r="M15" s="22">
        <f>L15*FoodKcal!G11</f>
        <v>144.50612833453494</v>
      </c>
      <c r="N15" s="4"/>
      <c r="O15" s="21" t="s">
        <v>6</v>
      </c>
      <c r="P15" s="31">
        <v>0.06</v>
      </c>
      <c r="R15" s="32">
        <v>1.4200000000000001E-2</v>
      </c>
      <c r="S15" s="10">
        <f>R15*Y15</f>
        <v>0.25552550276887204</v>
      </c>
      <c r="T15" s="10">
        <f t="shared" ref="T15:T35" si="18">S15*0.03536</f>
        <v>9.0353817779073153E-3</v>
      </c>
      <c r="U15" s="15">
        <f>Y15*FoodKcal!K11</f>
        <v>4.8255319148936167</v>
      </c>
      <c r="V15" s="15">
        <f>Y15*FoodKcal!K10</f>
        <v>56.968085106382979</v>
      </c>
      <c r="W15" s="15">
        <f>Y15*FoodKcal!K12</f>
        <v>1.2063829787234042</v>
      </c>
      <c r="X15" s="15">
        <f>$B$3/2*P15</f>
        <v>63</v>
      </c>
      <c r="Y15" s="22">
        <f>X15*FoodKcal!N11</f>
        <v>17.994753716117749</v>
      </c>
      <c r="AA15" s="21" t="s">
        <v>6</v>
      </c>
      <c r="AB15" s="31">
        <v>0.6</v>
      </c>
      <c r="AC15" s="7"/>
      <c r="AD15" s="32">
        <v>3.27E-2</v>
      </c>
      <c r="AE15" s="10">
        <f>AD15*AK15</f>
        <v>5.6998342253221788</v>
      </c>
      <c r="AF15" s="57">
        <f t="shared" si="17"/>
        <v>0.12579534135286047</v>
      </c>
      <c r="AG15" s="15">
        <f>AK15*FoodKcal!R11</f>
        <v>47.272214386459808</v>
      </c>
      <c r="AH15" s="15">
        <f>AK15*FoodKcal!R10</f>
        <v>569.93229901269387</v>
      </c>
      <c r="AI15" s="15">
        <f>AK15*FoodKcal!R12</f>
        <v>12.795486600846262</v>
      </c>
      <c r="AJ15" s="15">
        <v>630</v>
      </c>
      <c r="AK15" s="22">
        <f>AJ15*FoodKcal!U11</f>
        <v>174.3068570434917</v>
      </c>
      <c r="AM15" s="21" t="s">
        <v>6</v>
      </c>
      <c r="AN15" s="31">
        <v>0.56999999999999995</v>
      </c>
      <c r="AO15" s="7"/>
      <c r="AP15" s="32">
        <v>2.7799999999999999E-3</v>
      </c>
      <c r="AQ15" s="10">
        <f>AP15*AW15</f>
        <v>0.43960512391508938</v>
      </c>
      <c r="AR15" s="10">
        <f>AQ15*0.12205</f>
        <v>5.3653805373836662E-2</v>
      </c>
      <c r="AS15" s="15">
        <f>AW15*FoodKcal!Y11</f>
        <v>44.164122137404583</v>
      </c>
      <c r="AT15" s="15">
        <f>AW15*FoodKcal!Y10</f>
        <v>533.77671755725191</v>
      </c>
      <c r="AU15" s="15">
        <f>AW15*FoodKcal!Y12</f>
        <v>20.559160305343511</v>
      </c>
      <c r="AV15" s="15">
        <f>B3/2*AN15</f>
        <v>598.5</v>
      </c>
      <c r="AW15" s="22">
        <f>AV15*FoodKcal!AB11</f>
        <v>158.13133953780195</v>
      </c>
    </row>
    <row r="16" spans="1:49" x14ac:dyDescent="0.35">
      <c r="G16" s="10"/>
      <c r="H16" s="57"/>
      <c r="L16" s="15"/>
      <c r="R16" s="32"/>
      <c r="S16" s="10"/>
      <c r="T16" s="10"/>
      <c r="U16" s="15"/>
      <c r="X16" s="15"/>
      <c r="Y16" s="22"/>
      <c r="AA16" s="21"/>
      <c r="AB16" s="7"/>
      <c r="AC16" s="7"/>
      <c r="AD16" s="32"/>
      <c r="AE16" s="10"/>
      <c r="AF16" s="57"/>
      <c r="AG16" s="15"/>
      <c r="AH16" s="7"/>
      <c r="AI16" s="7"/>
      <c r="AJ16" s="7"/>
      <c r="AK16" s="22"/>
      <c r="AM16" s="21"/>
      <c r="AN16" s="7"/>
      <c r="AO16" s="7"/>
      <c r="AP16" s="32"/>
      <c r="AQ16" s="10"/>
      <c r="AR16" s="10"/>
      <c r="AS16" s="15"/>
      <c r="AT16" s="7"/>
      <c r="AU16" s="7"/>
      <c r="AV16" s="7"/>
      <c r="AW16" s="22"/>
    </row>
    <row r="17" spans="2:49" x14ac:dyDescent="0.35">
      <c r="B17" s="1" t="s">
        <v>9</v>
      </c>
      <c r="C17" s="21" t="s">
        <v>10</v>
      </c>
      <c r="E17" s="31">
        <v>0.05</v>
      </c>
      <c r="F17" s="32">
        <v>8.8000000000000003E-4</v>
      </c>
      <c r="G17" s="10">
        <f t="shared" ref="G17" si="19">F17*M17</f>
        <v>0.1374246575342466</v>
      </c>
      <c r="H17" s="57">
        <f t="shared" si="16"/>
        <v>5.6701413698630146E-2</v>
      </c>
      <c r="I17" s="15">
        <f>M17*FoodKcal!D17</f>
        <v>15.000000000000002</v>
      </c>
      <c r="J17" s="15">
        <f>M17*FoodKcal!D16</f>
        <v>86.625000000000014</v>
      </c>
      <c r="K17" s="15">
        <f>M17*FoodKcal!D18</f>
        <v>3.3750000000000004</v>
      </c>
      <c r="L17" s="33">
        <f>B3*E17</f>
        <v>105</v>
      </c>
      <c r="M17" s="22">
        <f>L17*FoodKcal!G17</f>
        <v>156.16438356164386</v>
      </c>
      <c r="N17" s="4"/>
      <c r="O17" s="21" t="s">
        <v>10</v>
      </c>
      <c r="Q17" s="31">
        <v>0.08</v>
      </c>
      <c r="R17" s="32">
        <v>1.4300000000000001E-3</v>
      </c>
      <c r="S17" s="10">
        <f t="shared" ref="S17" si="20">R17*Y17</f>
        <v>0.3587471042994711</v>
      </c>
      <c r="T17" s="10">
        <f t="shared" si="18"/>
        <v>1.2685297608029299E-2</v>
      </c>
      <c r="U17" s="15">
        <f>Y17*FoodKcal!K17</f>
        <v>15.96831683168317</v>
      </c>
      <c r="V17" s="15">
        <f>Y17*FoodKcal!K16</f>
        <v>149.7861386138614</v>
      </c>
      <c r="W17" s="15">
        <f>Y17*FoodKcal!K18</f>
        <v>2.2455445544554458</v>
      </c>
      <c r="X17" s="33">
        <f>$B$3*Q17</f>
        <v>168</v>
      </c>
      <c r="Y17" s="22">
        <f>X17*FoodKcal!N17</f>
        <v>250.87210090872105</v>
      </c>
      <c r="AA17" s="21" t="s">
        <v>10</v>
      </c>
      <c r="AB17" s="7"/>
      <c r="AC17" s="31">
        <v>0.02</v>
      </c>
      <c r="AD17" s="32">
        <v>1.01E-2</v>
      </c>
      <c r="AE17" s="10">
        <f t="shared" ref="AE17" si="21">AD17*AK17</f>
        <v>0.62758356164383555</v>
      </c>
      <c r="AF17" s="57">
        <f t="shared" si="17"/>
        <v>1.385076920547945E-2</v>
      </c>
      <c r="AG17" s="15">
        <f>AK17*FoodKcal!R17</f>
        <v>3.8400000000000003</v>
      </c>
      <c r="AH17" s="15">
        <f>AK17*FoodKcal!R16</f>
        <v>37.079999999999991</v>
      </c>
      <c r="AI17" s="15">
        <f>AK17*FoodKcal!R18</f>
        <v>1.08</v>
      </c>
      <c r="AJ17" s="33">
        <f>$B$3*AC17</f>
        <v>42</v>
      </c>
      <c r="AK17" s="22">
        <f>AJ17*FoodKcal!U17</f>
        <v>62.136986301369859</v>
      </c>
      <c r="AM17" s="21" t="s">
        <v>63</v>
      </c>
      <c r="AN17" s="7"/>
      <c r="AO17" s="31">
        <v>7.0000000000000007E-2</v>
      </c>
      <c r="AP17" s="32">
        <v>1.47E-3</v>
      </c>
      <c r="AQ17" s="10">
        <f t="shared" ref="AQ17" si="22">AP17*AW17</f>
        <v>0.21765713134568895</v>
      </c>
      <c r="AR17" s="10">
        <f t="shared" ref="AR17:AR35" si="23">AQ17*0.12205</f>
        <v>2.656505288074134E-2</v>
      </c>
      <c r="AS17" s="15">
        <f>AW17*FoodKcal!Y17</f>
        <v>5.7647058823529411</v>
      </c>
      <c r="AT17" s="15">
        <f>AW17*FoodKcal!Y16</f>
        <v>137.34411764705882</v>
      </c>
      <c r="AU17" s="15">
        <f>AW17*FoodKcal!Y18</f>
        <v>3.8911764705882352</v>
      </c>
      <c r="AV17" s="33">
        <f>$B$3*AO17</f>
        <v>147</v>
      </c>
      <c r="AW17" s="22">
        <f>AV17*FoodKcal!AB17</f>
        <v>148.06607574536665</v>
      </c>
    </row>
    <row r="18" spans="2:49" x14ac:dyDescent="0.35">
      <c r="G18" s="10"/>
      <c r="H18" s="57">
        <f t="shared" si="16"/>
        <v>0</v>
      </c>
      <c r="R18" s="32"/>
      <c r="S18" s="10"/>
      <c r="T18" s="10"/>
      <c r="U18" s="15"/>
      <c r="Y18" s="22"/>
      <c r="AA18" s="21"/>
      <c r="AB18" s="7"/>
      <c r="AC18" s="7"/>
      <c r="AD18" s="32"/>
      <c r="AE18" s="10"/>
      <c r="AF18" s="57"/>
      <c r="AG18" s="15"/>
      <c r="AH18" s="7"/>
      <c r="AI18" s="7"/>
      <c r="AJ18" s="7"/>
      <c r="AK18" s="22"/>
      <c r="AM18" s="21"/>
      <c r="AN18" s="7"/>
      <c r="AO18" s="7"/>
      <c r="AP18" s="32"/>
      <c r="AQ18" s="10"/>
      <c r="AR18" s="10"/>
      <c r="AS18" s="15"/>
      <c r="AT18" s="7"/>
      <c r="AU18" s="7"/>
      <c r="AV18" s="7"/>
      <c r="AW18" s="22"/>
    </row>
    <row r="19" spans="2:49" x14ac:dyDescent="0.35">
      <c r="B19" s="1" t="s">
        <v>24</v>
      </c>
      <c r="G19" s="10">
        <f t="shared" ref="G19" si="24">M19*F19</f>
        <v>0</v>
      </c>
      <c r="H19" s="57"/>
      <c r="I19" s="15">
        <v>0</v>
      </c>
      <c r="R19" s="32">
        <f>X19*Q19</f>
        <v>0</v>
      </c>
      <c r="S19" s="10">
        <f>Y19*R19</f>
        <v>0</v>
      </c>
      <c r="T19" s="10"/>
      <c r="U19" s="15"/>
      <c r="Y19" s="22"/>
      <c r="AA19" s="21" t="s">
        <v>53</v>
      </c>
      <c r="AB19" s="7"/>
      <c r="AC19" s="42">
        <v>0.06</v>
      </c>
      <c r="AD19" s="32">
        <v>3.0599999999999999E-2</v>
      </c>
      <c r="AE19" s="10">
        <f t="shared" ref="AE19" si="25">AK19*AD19</f>
        <v>1.2483885429638855</v>
      </c>
      <c r="AF19" s="57">
        <f t="shared" si="17"/>
        <v>2.7551935143212952E-2</v>
      </c>
      <c r="AG19" s="15">
        <f>AK19*FoodKcal!R71</f>
        <v>36.654545454545463</v>
      </c>
      <c r="AH19" s="15">
        <f>AK19*FoodKcal!R70</f>
        <v>79.036363636363632</v>
      </c>
      <c r="AI19" s="15">
        <f>AK19*FoodKcal!R72</f>
        <v>10.30909090909091</v>
      </c>
      <c r="AJ19" s="33">
        <f>$B$3*AC19</f>
        <v>126</v>
      </c>
      <c r="AK19" s="22">
        <f>AJ19*FoodKcal!U71</f>
        <v>40.797011207970115</v>
      </c>
      <c r="AM19" s="46" t="s">
        <v>62</v>
      </c>
      <c r="AN19" s="7"/>
      <c r="AO19" s="42">
        <v>0.03</v>
      </c>
      <c r="AP19" s="32">
        <v>1.99E-3</v>
      </c>
      <c r="AQ19" s="10">
        <f t="shared" ref="AQ19" si="26">AW19*AP19</f>
        <v>3.7059625090122568E-2</v>
      </c>
      <c r="AR19" s="10">
        <f t="shared" si="23"/>
        <v>4.5231272422494593E-3</v>
      </c>
      <c r="AS19" s="15">
        <f>AW19*FoodKcal!Y71</f>
        <v>23.873684210526317</v>
      </c>
      <c r="AT19" s="15">
        <f>AW19*FoodKcal!Y70</f>
        <v>19.72894736842105</v>
      </c>
      <c r="AU19" s="15">
        <f>AW19*FoodKcal!Y72</f>
        <v>19.397368421052636</v>
      </c>
      <c r="AV19" s="33">
        <f>$B$3*AO19</f>
        <v>63</v>
      </c>
      <c r="AW19" s="22">
        <f>AV19*FoodKcal!AB71</f>
        <v>18.622927180966116</v>
      </c>
    </row>
    <row r="20" spans="2:49" x14ac:dyDescent="0.35">
      <c r="G20" s="10"/>
      <c r="H20" s="57"/>
      <c r="R20" s="32"/>
      <c r="S20" s="10"/>
      <c r="T20" s="10"/>
      <c r="U20" s="15"/>
      <c r="Y20" s="22"/>
      <c r="AA20" s="21"/>
      <c r="AB20" s="7"/>
      <c r="AC20" s="7"/>
      <c r="AD20" s="32"/>
      <c r="AE20" s="10"/>
      <c r="AF20" s="57"/>
      <c r="AG20" s="15"/>
      <c r="AH20" s="7"/>
      <c r="AI20" s="7"/>
      <c r="AJ20" s="7"/>
      <c r="AK20" s="22"/>
      <c r="AM20" s="21"/>
      <c r="AN20" s="7"/>
      <c r="AO20" s="7"/>
      <c r="AP20" s="32"/>
      <c r="AQ20" s="10"/>
      <c r="AR20" s="10"/>
      <c r="AS20" s="15"/>
      <c r="AT20" s="7"/>
      <c r="AU20" s="7"/>
      <c r="AV20" s="7"/>
      <c r="AW20" s="22"/>
    </row>
    <row r="21" spans="2:49" x14ac:dyDescent="0.35">
      <c r="B21" s="1" t="s">
        <v>25</v>
      </c>
      <c r="C21" s="21" t="s">
        <v>27</v>
      </c>
      <c r="F21" s="32">
        <v>2.2000000000000001E-3</v>
      </c>
      <c r="G21" s="10">
        <f t="shared" ref="G21:G23" si="27">M21*F21</f>
        <v>5.2027939149075199E-2</v>
      </c>
      <c r="H21" s="57">
        <f t="shared" si="16"/>
        <v>2.1466727692908427E-2</v>
      </c>
      <c r="I21" s="15">
        <v>0</v>
      </c>
      <c r="J21" s="7">
        <v>0</v>
      </c>
      <c r="K21" s="15">
        <v>213.5</v>
      </c>
      <c r="L21" s="15">
        <f>K21</f>
        <v>213.5</v>
      </c>
      <c r="M21" s="22">
        <f>L21*FoodKcal!E24</f>
        <v>23.649063249579633</v>
      </c>
      <c r="O21" s="21" t="s">
        <v>27</v>
      </c>
      <c r="R21" s="32">
        <v>3.9699999999999999E-2</v>
      </c>
      <c r="S21" s="10">
        <f t="shared" ref="S21:S24" si="28">Y21*R21</f>
        <v>1.3981253028234153</v>
      </c>
      <c r="T21" s="10">
        <f t="shared" si="18"/>
        <v>4.9437710707835966E-2</v>
      </c>
      <c r="U21" s="15">
        <v>0</v>
      </c>
      <c r="V21" s="7">
        <v>0</v>
      </c>
      <c r="W21" s="15">
        <f>X21</f>
        <v>310.5</v>
      </c>
      <c r="X21" s="15">
        <v>310.5</v>
      </c>
      <c r="Y21" s="22">
        <f>X21*FoodKcal!N23</f>
        <v>35.21726203585429</v>
      </c>
      <c r="AA21" s="21" t="s">
        <v>54</v>
      </c>
      <c r="AB21" s="7"/>
      <c r="AC21" s="7"/>
      <c r="AD21" s="32">
        <v>5.45E-2</v>
      </c>
      <c r="AE21" s="10">
        <f t="shared" ref="AE21" si="29">AK21*AD21</f>
        <v>2.4232591324200916</v>
      </c>
      <c r="AF21" s="57">
        <f t="shared" si="17"/>
        <v>5.348132905251142E-2</v>
      </c>
      <c r="AG21" s="15">
        <v>0</v>
      </c>
      <c r="AH21" s="7">
        <v>0</v>
      </c>
      <c r="AI21" s="15">
        <f>AJ21</f>
        <v>389.5</v>
      </c>
      <c r="AJ21" s="15">
        <v>389.5</v>
      </c>
      <c r="AK21" s="22">
        <f>AJ21*FoodKcal!U23</f>
        <v>44.463470319634709</v>
      </c>
      <c r="AM21" s="21" t="s">
        <v>54</v>
      </c>
      <c r="AN21" s="7"/>
      <c r="AO21" s="7"/>
      <c r="AP21" s="32">
        <v>8.9700000000000005E-3</v>
      </c>
      <c r="AQ21" s="10">
        <f t="shared" ref="AQ21" si="30">AW21*AP21</f>
        <v>0.38778763499311447</v>
      </c>
      <c r="AR21" s="10">
        <f t="shared" si="23"/>
        <v>4.7329480850909621E-2</v>
      </c>
      <c r="AS21" s="15">
        <v>0</v>
      </c>
      <c r="AT21" s="7">
        <v>0</v>
      </c>
      <c r="AU21" s="15">
        <f>AV21</f>
        <v>389</v>
      </c>
      <c r="AV21" s="15">
        <v>389</v>
      </c>
      <c r="AW21" s="22">
        <f>AV21*FoodKcal!AB23</f>
        <v>43.231620400570172</v>
      </c>
    </row>
    <row r="22" spans="2:49" x14ac:dyDescent="0.35">
      <c r="G22" s="10"/>
      <c r="H22" s="57"/>
      <c r="R22" s="32"/>
      <c r="S22" s="10"/>
      <c r="T22" s="10"/>
      <c r="U22" s="15"/>
      <c r="Y22" s="22"/>
      <c r="AA22" s="21"/>
      <c r="AB22" s="7"/>
      <c r="AC22" s="7"/>
      <c r="AD22" s="32"/>
      <c r="AE22" s="10"/>
      <c r="AF22" s="57"/>
      <c r="AG22" s="15"/>
      <c r="AH22" s="7"/>
      <c r="AI22" s="7"/>
      <c r="AJ22" s="7"/>
      <c r="AK22" s="22"/>
      <c r="AM22" s="21"/>
      <c r="AN22" s="7"/>
      <c r="AO22" s="7"/>
      <c r="AP22" s="32"/>
      <c r="AQ22" s="10"/>
      <c r="AR22" s="10"/>
      <c r="AS22" s="15"/>
      <c r="AT22" s="7"/>
      <c r="AU22" s="7"/>
      <c r="AV22" s="7"/>
      <c r="AW22" s="22"/>
    </row>
    <row r="23" spans="2:49" x14ac:dyDescent="0.35">
      <c r="B23" s="1" t="s">
        <v>26</v>
      </c>
      <c r="C23" s="21" t="s">
        <v>98</v>
      </c>
      <c r="F23" s="32">
        <v>4.47E-3</v>
      </c>
      <c r="G23" s="10">
        <f t="shared" si="27"/>
        <v>1.2448555731660247</v>
      </c>
      <c r="H23" s="57">
        <f t="shared" si="16"/>
        <v>0.51362740948830177</v>
      </c>
      <c r="I23" s="15">
        <f>262.5-I14-I15-I17-I21-I29-I30-I31-I32-I33-I35-I24</f>
        <v>131.58961413641916</v>
      </c>
      <c r="J23" s="15">
        <f>M23*FoodKcal!D28</f>
        <v>8.5015761942067929</v>
      </c>
      <c r="K23" s="15">
        <f>M23*FoodKcal!D30</f>
        <v>296.07663180694317</v>
      </c>
      <c r="L23" s="15">
        <f>SUM(I23:K23)</f>
        <v>436.16782213756915</v>
      </c>
      <c r="M23" s="22">
        <f>I23*FoodKcal!E29</f>
        <v>278.49117967920017</v>
      </c>
      <c r="O23" s="21" t="s">
        <v>99</v>
      </c>
      <c r="R23" s="32">
        <v>6.5600000000000006E-2</v>
      </c>
      <c r="S23" s="10">
        <f t="shared" si="28"/>
        <v>8.9744804482159601</v>
      </c>
      <c r="T23" s="10">
        <f t="shared" si="18"/>
        <v>0.31733762864891635</v>
      </c>
      <c r="U23" s="15">
        <f>B5-U14-U15-U17-U21-U24-U29-U30-U31-U32-U33-U35</f>
        <v>69.353094588389766</v>
      </c>
      <c r="V23" s="15">
        <f>Y23*FoodKcal!K28</f>
        <v>6.2417785129550696</v>
      </c>
      <c r="W23" s="15">
        <f>Y23*FoodKcal!K30</f>
        <v>56.176006616595707</v>
      </c>
      <c r="X23" s="15">
        <f>SUM(U23:W23)</f>
        <v>131.77087971794055</v>
      </c>
      <c r="Y23" s="22">
        <f>U23*FoodKcal!L29</f>
        <v>136.80610439353597</v>
      </c>
      <c r="AA23" s="21" t="s">
        <v>98</v>
      </c>
      <c r="AB23" s="7"/>
      <c r="AC23" s="7"/>
      <c r="AD23" s="32">
        <v>4.5600000000000002E-2</v>
      </c>
      <c r="AE23" s="10">
        <f t="shared" ref="AE23:AE24" si="31">AK23*AD23</f>
        <v>2.3212422545456324</v>
      </c>
      <c r="AF23" s="57">
        <f t="shared" si="17"/>
        <v>5.1229816557822105E-2</v>
      </c>
      <c r="AG23" s="15">
        <f>262.5-AG14-AG15-AG17-AG19-AG21-AG24-AG29-AG30-AG31-AG32-AG33</f>
        <v>61.457316439091926</v>
      </c>
      <c r="AH23" s="15">
        <f>AK23*FoodKcal!V28</f>
        <v>0</v>
      </c>
      <c r="AI23" s="15">
        <f>AK23*FoodKcal!V30</f>
        <v>0</v>
      </c>
      <c r="AJ23" s="15">
        <f>SUM(AG23:AI23)</f>
        <v>61.457316439091926</v>
      </c>
      <c r="AK23" s="22">
        <f>AG23*FoodKcal!U29</f>
        <v>50.904435406702461</v>
      </c>
      <c r="AM23" s="21" t="s">
        <v>61</v>
      </c>
      <c r="AN23" s="7"/>
      <c r="AO23" s="7"/>
      <c r="AP23" s="32">
        <v>9.6299999999999997E-3</v>
      </c>
      <c r="AQ23" s="10">
        <f t="shared" ref="AQ23:AQ24" si="32">AW23*AP23</f>
        <v>2.3863788794130163</v>
      </c>
      <c r="AR23" s="10">
        <f t="shared" si="23"/>
        <v>0.29125754223235867</v>
      </c>
      <c r="AS23" s="15">
        <f>262.5-AS14-AS15-AS17-AS19-AS21-AS24-AS29-AS30-AS31-AS32-AS33</f>
        <v>109.16314027464921</v>
      </c>
      <c r="AT23" s="15">
        <f>AW23*FoodKcal!Y28</f>
        <v>6.2378937299799606</v>
      </c>
      <c r="AU23" s="15">
        <f>AW23*FoodKcal!Y30</f>
        <v>56.141043569819594</v>
      </c>
      <c r="AV23" s="15">
        <f>SUM(AS23:AU23)</f>
        <v>171.54207757444877</v>
      </c>
      <c r="AW23" s="22">
        <f>AS23*FoodKcal!Z29</f>
        <v>247.80673721838176</v>
      </c>
    </row>
    <row r="24" spans="2:49" x14ac:dyDescent="0.35">
      <c r="B24" s="1" t="s">
        <v>70</v>
      </c>
      <c r="C24" s="21" t="s">
        <v>70</v>
      </c>
      <c r="E24" s="31">
        <v>0.01</v>
      </c>
      <c r="F24" s="32">
        <f>'[1]Common Classification per gram'!$J$45</f>
        <v>1.5400000000000001E-3</v>
      </c>
      <c r="G24" s="10">
        <f>M24*F24</f>
        <v>4.8731506849315084E-2</v>
      </c>
      <c r="H24" s="57">
        <f t="shared" si="16"/>
        <v>2.0106619726027404E-2</v>
      </c>
      <c r="I24" s="15">
        <f>M24*FoodKcal!D77</f>
        <v>4.0854545454545459</v>
      </c>
      <c r="J24" s="7">
        <f>M24*FoodKcal!D76</f>
        <v>6.1186363636363623</v>
      </c>
      <c r="K24" s="7">
        <f>M24*FoodKcal!D78</f>
        <v>9.3640909090909101</v>
      </c>
      <c r="L24" s="7">
        <f>B3*0.01</f>
        <v>21</v>
      </c>
      <c r="M24" s="22">
        <f>L24*FoodKcal!AB77</f>
        <v>31.643835616438363</v>
      </c>
      <c r="O24" s="21" t="s">
        <v>72</v>
      </c>
      <c r="Q24" s="31">
        <v>0.08</v>
      </c>
      <c r="R24" s="32">
        <v>1.38E-2</v>
      </c>
      <c r="S24" s="10">
        <f t="shared" si="28"/>
        <v>3.8208030231459609</v>
      </c>
      <c r="T24" s="10">
        <f t="shared" si="18"/>
        <v>0.13510359489844118</v>
      </c>
      <c r="U24" s="15">
        <f>Y24*FoodKcal!K77</f>
        <v>40.165517241379305</v>
      </c>
      <c r="V24" s="7">
        <f>Y24*FoodKcal!K76</f>
        <v>44.41379310344827</v>
      </c>
      <c r="W24" s="7">
        <f>Y24*FoodKcal!K78</f>
        <v>83.42068965517241</v>
      </c>
      <c r="X24" s="7">
        <f>B3*0.08</f>
        <v>168</v>
      </c>
      <c r="Y24" s="22">
        <f>X24*FoodKcal!N77</f>
        <v>276.8697842859392</v>
      </c>
      <c r="AA24" s="21" t="s">
        <v>100</v>
      </c>
      <c r="AB24" s="7"/>
      <c r="AC24" s="7"/>
      <c r="AD24" s="32">
        <v>2.46E-2</v>
      </c>
      <c r="AE24" s="10">
        <f t="shared" si="31"/>
        <v>7.5793033268101748</v>
      </c>
      <c r="AF24" s="57">
        <f t="shared" si="17"/>
        <v>0.16727522442270054</v>
      </c>
      <c r="AG24" s="15">
        <f>AK24*FoodKcal!R77</f>
        <v>43.885714285714279</v>
      </c>
      <c r="AH24" s="7">
        <f>AK24*FoodKcal!R76</f>
        <v>60.857142857142868</v>
      </c>
      <c r="AI24" s="7">
        <f>AK24*FoodKcal!R78</f>
        <v>63.257142857142846</v>
      </c>
      <c r="AJ24" s="7">
        <f>B3*0.08</f>
        <v>168</v>
      </c>
      <c r="AK24" s="22">
        <f>AJ24*FoodKcal!U77</f>
        <v>308.10176125244612</v>
      </c>
      <c r="AM24" s="21" t="s">
        <v>71</v>
      </c>
      <c r="AN24" s="7"/>
      <c r="AO24" s="7"/>
      <c r="AP24" s="32">
        <v>4.0699999999999998E-3</v>
      </c>
      <c r="AQ24" s="10">
        <f t="shared" si="32"/>
        <v>0.12879041095890414</v>
      </c>
      <c r="AR24" s="10">
        <f t="shared" si="23"/>
        <v>1.5718869657534253E-2</v>
      </c>
      <c r="AS24" s="15">
        <f>AW24*FoodKcal!Y77</f>
        <v>4.4000000000000012</v>
      </c>
      <c r="AT24" s="7">
        <f>AW24*FoodKcal!Y76</f>
        <v>5.8000000000000034</v>
      </c>
      <c r="AU24" s="7">
        <f>AW24*FoodKcal!Y78</f>
        <v>10.799999999999999</v>
      </c>
      <c r="AV24" s="7">
        <f>B3*0.01</f>
        <v>21</v>
      </c>
      <c r="AW24" s="22">
        <f>AV24*FoodKcal!AB77</f>
        <v>31.643835616438363</v>
      </c>
    </row>
    <row r="25" spans="2:49" x14ac:dyDescent="0.35">
      <c r="B25" s="1" t="s">
        <v>28</v>
      </c>
      <c r="F25" s="32">
        <v>8.1499999999999997E-4</v>
      </c>
      <c r="G25" s="56">
        <f>M25*F25</f>
        <v>4.0749999999999996E-3</v>
      </c>
      <c r="H25" s="57">
        <f t="shared" si="16"/>
        <v>1.6813449999999999E-3</v>
      </c>
      <c r="M25" s="22">
        <v>5</v>
      </c>
      <c r="O25" s="21" t="s">
        <v>28</v>
      </c>
      <c r="R25" s="32">
        <v>5.0000000000000001E-3</v>
      </c>
      <c r="S25" s="10">
        <f>Y25*R25</f>
        <v>2.5000000000000001E-2</v>
      </c>
      <c r="T25" s="10">
        <f t="shared" si="18"/>
        <v>8.8400000000000013E-4</v>
      </c>
      <c r="U25" s="15"/>
      <c r="Y25" s="22">
        <v>5</v>
      </c>
      <c r="AA25" s="21" t="s">
        <v>28</v>
      </c>
      <c r="AB25" s="7"/>
      <c r="AC25" s="7"/>
      <c r="AD25" s="32">
        <v>4.2300000000000003E-3</v>
      </c>
      <c r="AE25" s="10">
        <f>AK25*AD25</f>
        <v>2.1150000000000002E-2</v>
      </c>
      <c r="AF25" s="57">
        <f t="shared" si="17"/>
        <v>4.6678050000000003E-4</v>
      </c>
      <c r="AG25" s="15"/>
      <c r="AH25" s="7"/>
      <c r="AI25" s="7"/>
      <c r="AJ25" s="7"/>
      <c r="AK25" s="22">
        <v>5</v>
      </c>
      <c r="AM25" s="21" t="s">
        <v>28</v>
      </c>
      <c r="AN25" s="7"/>
      <c r="AO25" s="7"/>
      <c r="AP25" s="32">
        <v>1.7899999999999999E-3</v>
      </c>
      <c r="AQ25" s="10">
        <f>AW25*AP25</f>
        <v>8.9499999999999996E-3</v>
      </c>
      <c r="AR25" s="10">
        <f t="shared" si="23"/>
        <v>1.0923475E-3</v>
      </c>
      <c r="AS25" s="15"/>
      <c r="AT25" s="7"/>
      <c r="AU25" s="15"/>
      <c r="AV25" s="7"/>
      <c r="AW25" s="22">
        <v>5</v>
      </c>
    </row>
    <row r="26" spans="2:49" x14ac:dyDescent="0.35">
      <c r="G26" s="10"/>
      <c r="H26" s="57"/>
      <c r="S26" s="10"/>
      <c r="T26" s="10"/>
      <c r="U26" s="15"/>
      <c r="Y26" s="22"/>
      <c r="AA26" s="21"/>
      <c r="AB26" s="7"/>
      <c r="AC26" s="7"/>
      <c r="AD26" s="7"/>
      <c r="AE26" s="10"/>
      <c r="AF26" s="57"/>
      <c r="AG26" s="15"/>
      <c r="AH26" s="7"/>
      <c r="AI26" s="7"/>
      <c r="AJ26" s="7"/>
      <c r="AK26" s="22"/>
      <c r="AM26" s="21"/>
      <c r="AN26" s="7"/>
      <c r="AO26" s="7"/>
      <c r="AP26" s="7"/>
      <c r="AQ26" s="10"/>
      <c r="AR26" s="10"/>
      <c r="AS26" s="15"/>
      <c r="AT26" s="7"/>
      <c r="AU26" s="7"/>
      <c r="AV26" s="7"/>
      <c r="AW26" s="22"/>
    </row>
    <row r="27" spans="2:49" x14ac:dyDescent="0.35">
      <c r="B27" s="1" t="s">
        <v>29</v>
      </c>
      <c r="C27" s="21" t="s">
        <v>30</v>
      </c>
      <c r="F27" s="32">
        <v>1.01E-2</v>
      </c>
      <c r="G27" s="10">
        <f>M27*F27</f>
        <v>0.30299999999999999</v>
      </c>
      <c r="H27" s="57">
        <f t="shared" si="16"/>
        <v>0.12501780000000001</v>
      </c>
      <c r="M27" s="22">
        <v>30</v>
      </c>
      <c r="O27" s="21" t="s">
        <v>50</v>
      </c>
      <c r="R27" s="32">
        <v>0.192</v>
      </c>
      <c r="S27" s="10">
        <f>Y27*R27</f>
        <v>1.1520000000000001</v>
      </c>
      <c r="T27" s="10">
        <f t="shared" si="18"/>
        <v>4.0734720000000009E-2</v>
      </c>
      <c r="U27" s="15"/>
      <c r="Y27" s="22">
        <v>6</v>
      </c>
      <c r="AA27" s="21" t="s">
        <v>50</v>
      </c>
      <c r="AB27" s="7"/>
      <c r="AC27" s="7"/>
      <c r="AD27" s="32">
        <v>0.17399999999999999</v>
      </c>
      <c r="AE27" s="10">
        <f>AK27*AD27</f>
        <v>1.044</v>
      </c>
      <c r="AF27" s="57">
        <f t="shared" si="17"/>
        <v>2.3041079999999999E-2</v>
      </c>
      <c r="AG27" s="15"/>
      <c r="AH27" s="7"/>
      <c r="AI27" s="7"/>
      <c r="AJ27" s="7"/>
      <c r="AK27" s="22">
        <v>6</v>
      </c>
      <c r="AM27" s="21" t="s">
        <v>64</v>
      </c>
      <c r="AN27" s="7"/>
      <c r="AO27" s="7"/>
      <c r="AP27" s="32">
        <v>0.26700000000000002</v>
      </c>
      <c r="AQ27" s="10">
        <f>AW27*AP27</f>
        <v>1.6020000000000001</v>
      </c>
      <c r="AR27" s="10">
        <f t="shared" si="23"/>
        <v>0.19552410000000003</v>
      </c>
      <c r="AS27" s="15"/>
      <c r="AT27" s="7"/>
      <c r="AU27" s="7"/>
      <c r="AV27" s="7"/>
      <c r="AW27" s="22">
        <v>6</v>
      </c>
    </row>
    <row r="28" spans="2:49" x14ac:dyDescent="0.35">
      <c r="G28" s="10"/>
      <c r="H28" s="57"/>
      <c r="S28" s="10"/>
      <c r="T28" s="10"/>
      <c r="U28" s="15"/>
      <c r="Y28" s="22"/>
      <c r="AA28" s="21"/>
      <c r="AB28" s="7"/>
      <c r="AC28" s="7"/>
      <c r="AD28" s="7"/>
      <c r="AE28" s="10"/>
      <c r="AF28" s="57"/>
      <c r="AG28" s="15"/>
      <c r="AH28" s="7"/>
      <c r="AI28" s="7"/>
      <c r="AJ28" s="7"/>
      <c r="AK28" s="22"/>
      <c r="AM28" s="21"/>
      <c r="AN28" s="7"/>
      <c r="AO28" s="7"/>
      <c r="AP28" s="7"/>
      <c r="AQ28" s="10"/>
      <c r="AR28" s="10"/>
      <c r="AS28" s="15"/>
      <c r="AT28" s="7"/>
      <c r="AU28" s="7"/>
      <c r="AV28" s="7"/>
      <c r="AW28" s="22"/>
    </row>
    <row r="29" spans="2:49" x14ac:dyDescent="0.35">
      <c r="B29" s="1" t="s">
        <v>31</v>
      </c>
      <c r="C29" s="21" t="s">
        <v>32</v>
      </c>
      <c r="F29" s="32">
        <v>9.0300000000000005E-4</v>
      </c>
      <c r="G29" s="10">
        <f>M29*F29</f>
        <v>7.2239999999999999E-2</v>
      </c>
      <c r="H29" s="57">
        <f t="shared" si="16"/>
        <v>2.9806224000000003E-2</v>
      </c>
      <c r="I29" s="15">
        <f>M29*FoodKcal!D35</f>
        <v>4.16</v>
      </c>
      <c r="J29" s="15">
        <f>M29*FoodKcal!D34</f>
        <v>19.2</v>
      </c>
      <c r="K29" s="15">
        <f>M29*FoodKcal!D36</f>
        <v>0.72000000000000008</v>
      </c>
      <c r="L29" s="15">
        <f>SUM(I29:K29)</f>
        <v>24.08</v>
      </c>
      <c r="M29" s="22">
        <v>80</v>
      </c>
      <c r="O29" s="21" t="s">
        <v>32</v>
      </c>
      <c r="R29" s="32">
        <v>8.8699999999999994E-3</v>
      </c>
      <c r="S29" s="10">
        <f>Y29*R29</f>
        <v>0.70960000000000001</v>
      </c>
      <c r="T29" s="10">
        <f t="shared" si="18"/>
        <v>2.5091456000000002E-2</v>
      </c>
      <c r="U29" s="15">
        <f>Y29*FoodKcal!K35</f>
        <v>4.16</v>
      </c>
      <c r="V29" s="15">
        <f>Y29*FoodKcal!K34</f>
        <v>19.2</v>
      </c>
      <c r="W29" s="15">
        <f>Y29*FoodKcal!K36</f>
        <v>0.72000000000000008</v>
      </c>
      <c r="X29" s="15">
        <f>SUM(U29:W29)</f>
        <v>24.08</v>
      </c>
      <c r="Y29" s="22">
        <v>80</v>
      </c>
      <c r="AA29" s="21" t="s">
        <v>56</v>
      </c>
      <c r="AB29" s="7"/>
      <c r="AC29" s="7"/>
      <c r="AD29" s="32">
        <v>1.5900000000000001E-2</v>
      </c>
      <c r="AE29" s="10">
        <f>AK29*AD29</f>
        <v>1.272</v>
      </c>
      <c r="AF29" s="57">
        <f t="shared" si="17"/>
        <v>2.807304E-2</v>
      </c>
      <c r="AG29" s="15">
        <f>AK29*FoodKcal!R35</f>
        <v>3.3371428571428572</v>
      </c>
      <c r="AH29" s="15">
        <f>AK29*FoodKcal!R34</f>
        <v>9.1771428571428579</v>
      </c>
      <c r="AI29" s="15">
        <f>AK29*FoodKcal!R36</f>
        <v>0</v>
      </c>
      <c r="AJ29" s="15">
        <f>SUM(AG29:AI29)</f>
        <v>12.514285714285716</v>
      </c>
      <c r="AK29" s="22">
        <v>80</v>
      </c>
      <c r="AM29" s="21" t="s">
        <v>32</v>
      </c>
      <c r="AN29" s="7"/>
      <c r="AO29" s="7"/>
      <c r="AP29" s="32">
        <v>1.48E-3</v>
      </c>
      <c r="AQ29" s="10">
        <f>AW29*AP29</f>
        <v>0.11840000000000001</v>
      </c>
      <c r="AR29" s="10">
        <f t="shared" si="23"/>
        <v>1.4450720000000002E-2</v>
      </c>
      <c r="AS29" s="15">
        <f>AW29*FoodKcal!Y35</f>
        <v>4.16</v>
      </c>
      <c r="AT29" s="15">
        <f>AW29*FoodKcal!Y34</f>
        <v>19.2</v>
      </c>
      <c r="AU29" s="15">
        <f>AW29*FoodKcal!Y36</f>
        <v>0.72000000000000008</v>
      </c>
      <c r="AV29" s="15">
        <f>SUM(AS29:AU29)</f>
        <v>24.08</v>
      </c>
      <c r="AW29" s="22">
        <v>80</v>
      </c>
    </row>
    <row r="30" spans="2:49" x14ac:dyDescent="0.35">
      <c r="C30" s="21" t="s">
        <v>33</v>
      </c>
      <c r="F30" s="32">
        <v>1.09E-3</v>
      </c>
      <c r="G30" s="10">
        <f t="shared" ref="G30:G33" si="33">M30*F30</f>
        <v>8.72E-2</v>
      </c>
      <c r="H30" s="57">
        <f t="shared" si="16"/>
        <v>3.5978719999999999E-2</v>
      </c>
      <c r="I30" s="15">
        <f>M30*FoodKcal!D41</f>
        <v>2.8800000000000003</v>
      </c>
      <c r="J30" s="15">
        <f>M30*FoodKcal!D40</f>
        <v>32</v>
      </c>
      <c r="K30" s="15">
        <f>M30*FoodKcal!D42</f>
        <v>1.4400000000000002</v>
      </c>
      <c r="L30" s="15">
        <f t="shared" ref="L30:L33" si="34">SUM(I30:K30)</f>
        <v>36.32</v>
      </c>
      <c r="M30" s="22">
        <v>80</v>
      </c>
      <c r="O30" s="21" t="s">
        <v>33</v>
      </c>
      <c r="R30" s="32">
        <v>1.18E-2</v>
      </c>
      <c r="S30" s="10">
        <f t="shared" ref="S30:S33" si="35">Y30*R30</f>
        <v>0.94399999999999995</v>
      </c>
      <c r="T30" s="10">
        <f t="shared" si="18"/>
        <v>3.3379840000000001E-2</v>
      </c>
      <c r="U30" s="15">
        <f>Y30*FoodKcal!K41</f>
        <v>2.8800000000000003</v>
      </c>
      <c r="V30" s="15">
        <f>Y30*FoodKcal!K40</f>
        <v>32</v>
      </c>
      <c r="W30" s="15">
        <f>Y30*FoodKcal!K42</f>
        <v>1.4400000000000002</v>
      </c>
      <c r="X30" s="15">
        <f t="shared" ref="X30:X33" si="36">SUM(U30:W30)</f>
        <v>36.32</v>
      </c>
      <c r="Y30" s="22">
        <v>80</v>
      </c>
      <c r="AA30" s="21" t="s">
        <v>57</v>
      </c>
      <c r="AB30" s="7"/>
      <c r="AC30" s="7"/>
      <c r="AD30" s="32">
        <v>1.1769999999999999E-2</v>
      </c>
      <c r="AE30" s="10">
        <f t="shared" ref="AE30:AE33" si="37">AK30*AD30</f>
        <v>0.94159999999999999</v>
      </c>
      <c r="AF30" s="57">
        <f t="shared" si="17"/>
        <v>2.0781112000000001E-2</v>
      </c>
      <c r="AG30" s="15">
        <f>AK30*FoodKcal!R41</f>
        <v>9.2799999999999994</v>
      </c>
      <c r="AH30" s="15">
        <f>AK30*FoodKcal!R40</f>
        <v>11.520000000000001</v>
      </c>
      <c r="AI30" s="15">
        <f>AK30*FoodKcal!R42</f>
        <v>2.8800000000000003</v>
      </c>
      <c r="AJ30" s="15">
        <f t="shared" ref="AJ30:AJ33" si="38">SUM(AG30:AI30)</f>
        <v>23.68</v>
      </c>
      <c r="AK30" s="22">
        <v>80</v>
      </c>
      <c r="AM30" s="21" t="s">
        <v>34</v>
      </c>
      <c r="AN30" s="7"/>
      <c r="AO30" s="7"/>
      <c r="AP30" s="32">
        <v>1.66E-3</v>
      </c>
      <c r="AQ30" s="10">
        <f t="shared" ref="AQ30:AQ33" si="39">AW30*AP30</f>
        <v>0.1328</v>
      </c>
      <c r="AR30" s="10">
        <f t="shared" si="23"/>
        <v>1.6208240000000002E-2</v>
      </c>
      <c r="AS30" s="15">
        <f>AW30*FoodKcal!Y41</f>
        <v>4.7479674796747968</v>
      </c>
      <c r="AT30" s="15">
        <f>AW30*FoodKcal!Y40</f>
        <v>23.977235772357723</v>
      </c>
      <c r="AU30" s="15">
        <f>AW30*FoodKcal!Y42</f>
        <v>2.1365853658536587</v>
      </c>
      <c r="AV30" s="15">
        <f t="shared" ref="AV30:AV33" si="40">SUM(AS30:AU30)</f>
        <v>30.86178861788618</v>
      </c>
      <c r="AW30" s="22">
        <v>80</v>
      </c>
    </row>
    <row r="31" spans="2:49" x14ac:dyDescent="0.35">
      <c r="C31" s="21" t="s">
        <v>34</v>
      </c>
      <c r="F31" s="32">
        <v>1.33E-3</v>
      </c>
      <c r="G31" s="10">
        <f t="shared" si="33"/>
        <v>0.10639999999999999</v>
      </c>
      <c r="H31" s="57">
        <f t="shared" si="16"/>
        <v>4.3900639999999998E-2</v>
      </c>
      <c r="I31" s="15">
        <f>M31*FoodKcal!D47</f>
        <v>3.9593220338983053</v>
      </c>
      <c r="J31" s="15">
        <f>M31*FoodKcal!D46</f>
        <v>30.68474576271187</v>
      </c>
      <c r="K31" s="15">
        <f>M31*FoodKcal!D48</f>
        <v>0</v>
      </c>
      <c r="L31" s="15">
        <f t="shared" si="34"/>
        <v>34.644067796610173</v>
      </c>
      <c r="M31" s="22">
        <v>80</v>
      </c>
      <c r="O31" s="21" t="s">
        <v>34</v>
      </c>
      <c r="R31" s="32">
        <v>1.12E-2</v>
      </c>
      <c r="S31" s="10">
        <f t="shared" si="35"/>
        <v>0.89600000000000002</v>
      </c>
      <c r="T31" s="10">
        <f t="shared" si="18"/>
        <v>3.1682560000000005E-2</v>
      </c>
      <c r="U31" s="15">
        <f>Y31*FoodKcal!K47</f>
        <v>3.8421052631578947</v>
      </c>
      <c r="V31" s="15">
        <f>Y31*FoodKcal!K46</f>
        <v>19.402631578947368</v>
      </c>
      <c r="W31" s="15">
        <f>Y31*FoodKcal!K48</f>
        <v>1.7289473684210526</v>
      </c>
      <c r="X31" s="15">
        <f t="shared" si="36"/>
        <v>24.973684210526315</v>
      </c>
      <c r="Y31" s="22">
        <v>80</v>
      </c>
      <c r="AA31" s="21" t="s">
        <v>34</v>
      </c>
      <c r="AB31" s="7"/>
      <c r="AC31" s="7"/>
      <c r="AD31" s="32">
        <v>1.8200000000000001E-2</v>
      </c>
      <c r="AE31" s="10">
        <f t="shared" si="37"/>
        <v>1.456</v>
      </c>
      <c r="AF31" s="57">
        <f t="shared" si="17"/>
        <v>3.2133919999999996E-2</v>
      </c>
      <c r="AG31" s="15">
        <f>AK31*FoodKcal!R47</f>
        <v>4.9352112676056334</v>
      </c>
      <c r="AH31" s="15">
        <f>AK31*FoodKcal!R46</f>
        <v>23.853521126760562</v>
      </c>
      <c r="AI31" s="15">
        <f>AK31*FoodKcal!R48</f>
        <v>0</v>
      </c>
      <c r="AJ31" s="15">
        <f t="shared" si="38"/>
        <v>28.788732394366196</v>
      </c>
      <c r="AK31" s="22">
        <v>80</v>
      </c>
      <c r="AM31" s="21" t="s">
        <v>60</v>
      </c>
      <c r="AN31" s="7"/>
      <c r="AO31" s="7"/>
      <c r="AP31" s="32">
        <v>1.32E-3</v>
      </c>
      <c r="AQ31" s="10">
        <f t="shared" si="39"/>
        <v>0.1056</v>
      </c>
      <c r="AR31" s="10">
        <f t="shared" si="23"/>
        <v>1.2888480000000001E-2</v>
      </c>
      <c r="AS31" s="15">
        <f>AW31*FoodKcal!Y47</f>
        <v>4.8</v>
      </c>
      <c r="AT31" s="15">
        <f>AW31*FoodKcal!Y46</f>
        <v>7.0400000000000009</v>
      </c>
      <c r="AU31" s="15">
        <f>AW31*FoodKcal!Y48</f>
        <v>1.4400000000000002</v>
      </c>
      <c r="AV31" s="15">
        <f t="shared" si="40"/>
        <v>13.28</v>
      </c>
      <c r="AW31" s="22">
        <v>80</v>
      </c>
    </row>
    <row r="32" spans="2:49" x14ac:dyDescent="0.35">
      <c r="C32" s="21" t="s">
        <v>35</v>
      </c>
      <c r="F32" s="32">
        <v>8.6499999999999999E-4</v>
      </c>
      <c r="G32" s="10">
        <f t="shared" si="33"/>
        <v>6.9199999999999998E-2</v>
      </c>
      <c r="H32" s="57">
        <f t="shared" si="16"/>
        <v>2.8551920000000001E-2</v>
      </c>
      <c r="I32" s="15">
        <f>M32*FoodKcal!D53</f>
        <v>2.7715254237288134</v>
      </c>
      <c r="J32" s="15">
        <f>M32*FoodKcal!D52</f>
        <v>46.81898305084745</v>
      </c>
      <c r="K32" s="15">
        <f>M32*FoodKcal!D54</f>
        <v>0.89084745762711859</v>
      </c>
      <c r="L32" s="15">
        <f t="shared" si="34"/>
        <v>50.481355932203378</v>
      </c>
      <c r="M32" s="22">
        <v>80</v>
      </c>
      <c r="O32" s="21" t="s">
        <v>35</v>
      </c>
      <c r="R32" s="32">
        <v>2.92E-2</v>
      </c>
      <c r="S32" s="10">
        <f t="shared" si="35"/>
        <v>2.3359999999999999</v>
      </c>
      <c r="T32" s="10">
        <f t="shared" si="18"/>
        <v>8.2600960000000001E-2</v>
      </c>
      <c r="U32" s="15">
        <f>Y32*FoodKcal!K53</f>
        <v>2.7715254237288134</v>
      </c>
      <c r="V32" s="15">
        <f>Y32*FoodKcal!K52</f>
        <v>46.81898305084745</v>
      </c>
      <c r="W32" s="15">
        <f>Y32*FoodKcal!K54</f>
        <v>0.89084745762711859</v>
      </c>
      <c r="X32" s="15">
        <f t="shared" si="36"/>
        <v>50.481355932203378</v>
      </c>
      <c r="Y32" s="22">
        <v>80</v>
      </c>
      <c r="AA32" s="21" t="s">
        <v>35</v>
      </c>
      <c r="AB32" s="7"/>
      <c r="AC32" s="7"/>
      <c r="AD32" s="32">
        <v>7.3600000000000002E-3</v>
      </c>
      <c r="AE32" s="10">
        <f t="shared" si="37"/>
        <v>0.58879999999999999</v>
      </c>
      <c r="AF32" s="57">
        <f t="shared" si="17"/>
        <v>1.2994815999999999E-2</v>
      </c>
      <c r="AG32" s="15">
        <f>AK32*FoodKcal!R53</f>
        <v>2.6149253731343283</v>
      </c>
      <c r="AH32" s="15">
        <f>AK32*FoodKcal!R52</f>
        <v>45.543283582089551</v>
      </c>
      <c r="AI32" s="15">
        <f>AK32*FoodKcal!R54</f>
        <v>1.9611940298507462</v>
      </c>
      <c r="AJ32" s="15">
        <f t="shared" si="38"/>
        <v>50.119402985074622</v>
      </c>
      <c r="AK32" s="22">
        <v>80</v>
      </c>
      <c r="AM32" s="21" t="s">
        <v>35</v>
      </c>
      <c r="AN32" s="7"/>
      <c r="AO32" s="7"/>
      <c r="AP32" s="32">
        <v>6.3400000000000001E-3</v>
      </c>
      <c r="AQ32" s="10">
        <f t="shared" si="39"/>
        <v>0.50719999999999998</v>
      </c>
      <c r="AR32" s="10">
        <f t="shared" si="23"/>
        <v>6.1903760000000002E-2</v>
      </c>
      <c r="AS32" s="15">
        <f>AW32*FoodKcal!Y53</f>
        <v>2.4851063829787234</v>
      </c>
      <c r="AT32" s="15">
        <f>AW32*FoodKcal!Y52</f>
        <v>47.217021276595744</v>
      </c>
      <c r="AU32" s="15">
        <f>AW32*FoodKcal!Y54</f>
        <v>0</v>
      </c>
      <c r="AV32" s="15">
        <f t="shared" si="40"/>
        <v>49.702127659574465</v>
      </c>
      <c r="AW32" s="22">
        <v>80</v>
      </c>
    </row>
    <row r="33" spans="2:49" x14ac:dyDescent="0.35">
      <c r="C33" s="21" t="s">
        <v>36</v>
      </c>
      <c r="F33" s="32">
        <v>7.45E-4</v>
      </c>
      <c r="G33" s="10">
        <f t="shared" si="33"/>
        <v>5.96E-2</v>
      </c>
      <c r="H33" s="57">
        <f t="shared" si="16"/>
        <v>2.4590960000000002E-2</v>
      </c>
      <c r="I33" s="15">
        <f>M33*FoodKcal!D59</f>
        <v>1.6805755395683455</v>
      </c>
      <c r="J33" s="15">
        <f>M33*FoodKcal!D58</f>
        <v>19.431654676258994</v>
      </c>
      <c r="K33" s="15">
        <f>M33*FoodKcal!D60</f>
        <v>0.94532374100719441</v>
      </c>
      <c r="L33" s="15">
        <f t="shared" si="34"/>
        <v>22.057553956834532</v>
      </c>
      <c r="M33" s="22">
        <v>80</v>
      </c>
      <c r="O33" s="21" t="s">
        <v>51</v>
      </c>
      <c r="R33" s="32">
        <v>3.3399999999999999E-2</v>
      </c>
      <c r="S33" s="10">
        <f t="shared" si="35"/>
        <v>2.6719999999999997</v>
      </c>
      <c r="T33" s="10">
        <f t="shared" si="18"/>
        <v>9.4481919999999997E-2</v>
      </c>
      <c r="U33" s="15">
        <f>Y33*FoodKcal!K59</f>
        <v>0.58693467336683425</v>
      </c>
      <c r="V33" s="15">
        <f>Y33*FoodKcal!K58</f>
        <v>27.439195979899495</v>
      </c>
      <c r="W33" s="15">
        <f>Y33*FoodKcal!K60</f>
        <v>1.3206030150753769</v>
      </c>
      <c r="X33" s="15">
        <f t="shared" si="36"/>
        <v>29.346733668341706</v>
      </c>
      <c r="Y33" s="22">
        <v>80</v>
      </c>
      <c r="AA33" s="21" t="s">
        <v>58</v>
      </c>
      <c r="AB33" s="7"/>
      <c r="AC33" s="7"/>
      <c r="AD33" s="32">
        <v>7.6699999999999997E-3</v>
      </c>
      <c r="AE33" s="10">
        <f t="shared" si="37"/>
        <v>0.61359999999999992</v>
      </c>
      <c r="AF33" s="57">
        <f t="shared" si="17"/>
        <v>1.3542151999999998E-2</v>
      </c>
      <c r="AG33" s="15">
        <f>AK33*FoodKcal!R59</f>
        <v>0</v>
      </c>
      <c r="AH33" s="15">
        <f>AK33*FoodKcal!R58</f>
        <v>41.714285714285715</v>
      </c>
      <c r="AI33" s="15">
        <f>AK33*FoodKcal!R60</f>
        <v>0</v>
      </c>
      <c r="AJ33" s="15">
        <f t="shared" si="38"/>
        <v>41.714285714285715</v>
      </c>
      <c r="AK33" s="22">
        <v>80</v>
      </c>
      <c r="AM33" s="21" t="s">
        <v>51</v>
      </c>
      <c r="AN33" s="7"/>
      <c r="AO33" s="7"/>
      <c r="AP33" s="32">
        <v>3.96E-3</v>
      </c>
      <c r="AQ33" s="10">
        <f t="shared" si="39"/>
        <v>0.31679999999999997</v>
      </c>
      <c r="AR33" s="10">
        <f t="shared" si="23"/>
        <v>3.8665439999999995E-2</v>
      </c>
      <c r="AS33" s="15">
        <f>AW33*FoodKcal!Y59</f>
        <v>0.98983050847457632</v>
      </c>
      <c r="AT33" s="15">
        <f>AW33*FoodKcal!Y58</f>
        <v>31.427118644067797</v>
      </c>
      <c r="AU33" s="15">
        <f>AW33*FoodKcal!Y60</f>
        <v>2.2271186440677968</v>
      </c>
      <c r="AV33" s="15">
        <f t="shared" si="40"/>
        <v>34.644067796610166</v>
      </c>
      <c r="AW33" s="22">
        <v>80</v>
      </c>
    </row>
    <row r="34" spans="2:49" x14ac:dyDescent="0.35">
      <c r="H34" s="57"/>
      <c r="L34" s="15"/>
      <c r="S34" s="10"/>
      <c r="T34" s="10"/>
      <c r="U34" s="15"/>
      <c r="X34" s="15"/>
      <c r="Y34" s="22"/>
      <c r="AA34" s="21"/>
      <c r="AB34" s="7"/>
      <c r="AC34" s="7"/>
      <c r="AD34" s="7"/>
      <c r="AE34" s="10"/>
      <c r="AF34" s="57"/>
      <c r="AG34" s="15"/>
      <c r="AH34" s="7"/>
      <c r="AI34" s="7"/>
      <c r="AJ34" s="15"/>
      <c r="AK34" s="22"/>
      <c r="AM34" s="21"/>
      <c r="AN34" s="7"/>
      <c r="AO34" s="7"/>
      <c r="AP34" s="7"/>
      <c r="AQ34" s="10"/>
      <c r="AR34" s="10"/>
      <c r="AS34" s="15"/>
      <c r="AT34" s="7"/>
      <c r="AU34" s="7"/>
      <c r="AV34" s="15"/>
      <c r="AW34" s="22"/>
    </row>
    <row r="35" spans="2:49" x14ac:dyDescent="0.35">
      <c r="B35" s="1" t="s">
        <v>41</v>
      </c>
      <c r="C35" s="21" t="s">
        <v>42</v>
      </c>
      <c r="F35" s="32">
        <v>1.1900000000000001E-3</v>
      </c>
      <c r="G35" s="10">
        <f>F35*M35</f>
        <v>3.5700000000000003E-2</v>
      </c>
      <c r="H35" s="57">
        <f>G35*0.4126</f>
        <v>1.4729820000000001E-2</v>
      </c>
      <c r="I35" s="15">
        <v>0</v>
      </c>
      <c r="J35" s="7">
        <f>M35*FoodKcal!D64</f>
        <v>106.78287841191067</v>
      </c>
      <c r="K35" s="7">
        <v>0</v>
      </c>
      <c r="L35" s="15">
        <f>SUM(I35:K35)</f>
        <v>106.78287841191067</v>
      </c>
      <c r="M35" s="22">
        <v>30</v>
      </c>
      <c r="O35" s="21" t="s">
        <v>42</v>
      </c>
      <c r="R35" s="32">
        <v>1.9900000000000001E-2</v>
      </c>
      <c r="S35" s="10">
        <f>R35*Y35</f>
        <v>0.59699999999999998</v>
      </c>
      <c r="T35" s="10">
        <f t="shared" si="18"/>
        <v>2.1109920000000001E-2</v>
      </c>
      <c r="U35" s="15">
        <v>0</v>
      </c>
      <c r="V35" s="40">
        <f>Y35*FoodKcal!K64</f>
        <v>106.88594164456232</v>
      </c>
      <c r="W35" s="7">
        <v>0</v>
      </c>
      <c r="X35" s="15">
        <f>SUM(U35:W35)</f>
        <v>106.88594164456232</v>
      </c>
      <c r="Y35" s="22">
        <v>30</v>
      </c>
      <c r="AA35" s="21" t="s">
        <v>42</v>
      </c>
      <c r="AB35" s="7"/>
      <c r="AC35" s="7"/>
      <c r="AD35" s="32">
        <v>2.1000000000000001E-2</v>
      </c>
      <c r="AE35" s="10">
        <f>AD35*AK35</f>
        <v>0.63</v>
      </c>
      <c r="AF35" s="57">
        <f t="shared" si="17"/>
        <v>1.3904099999999999E-2</v>
      </c>
      <c r="AG35" s="15">
        <v>0</v>
      </c>
      <c r="AH35" s="40">
        <f>AK35*FoodKcal!R64</f>
        <v>106.20180722891567</v>
      </c>
      <c r="AI35" s="7">
        <v>0</v>
      </c>
      <c r="AJ35" s="15">
        <f>SUM(AG35:AI35)</f>
        <v>106.20180722891567</v>
      </c>
      <c r="AK35" s="22">
        <v>30</v>
      </c>
      <c r="AM35" s="21" t="s">
        <v>42</v>
      </c>
      <c r="AN35" s="7"/>
      <c r="AO35" s="7"/>
      <c r="AP35" s="32">
        <v>6.3600000000000002E-3</v>
      </c>
      <c r="AQ35" s="10">
        <f>AP35*AW35</f>
        <v>0.1908</v>
      </c>
      <c r="AR35" s="10">
        <f t="shared" si="23"/>
        <v>2.3287140000000001E-2</v>
      </c>
      <c r="AS35" s="15">
        <v>0</v>
      </c>
      <c r="AT35" s="40">
        <f>AW35*FoodKcal!Y64</f>
        <v>105.96774193548387</v>
      </c>
      <c r="AU35" s="7">
        <v>0</v>
      </c>
      <c r="AV35" s="15">
        <f>SUM(AS35:AU35)</f>
        <v>105.96774193548387</v>
      </c>
      <c r="AW35" s="22">
        <v>30</v>
      </c>
    </row>
    <row r="36" spans="2:49" x14ac:dyDescent="0.35">
      <c r="U36" s="15"/>
      <c r="Y36" s="22"/>
      <c r="AA36" s="21"/>
      <c r="AB36" s="7"/>
      <c r="AC36" s="7"/>
      <c r="AD36" s="7"/>
      <c r="AE36" s="7"/>
      <c r="AF36" s="7"/>
      <c r="AG36" s="15"/>
      <c r="AH36" s="7"/>
      <c r="AI36" s="7"/>
      <c r="AJ36" s="7"/>
      <c r="AK36" s="22"/>
      <c r="AM36" s="21"/>
      <c r="AN36" s="7"/>
      <c r="AO36" s="7"/>
      <c r="AP36" s="7"/>
      <c r="AQ36" s="7"/>
      <c r="AR36" s="7"/>
      <c r="AS36" s="15"/>
      <c r="AT36" s="7"/>
      <c r="AU36" s="7"/>
      <c r="AV36" s="7"/>
      <c r="AW36" s="22"/>
    </row>
    <row r="37" spans="2:49" x14ac:dyDescent="0.35">
      <c r="F37" s="45"/>
      <c r="U37" s="15"/>
      <c r="X37" s="42"/>
      <c r="Y37" s="22"/>
      <c r="AA37" s="21"/>
      <c r="AB37" s="7"/>
      <c r="AC37" s="7"/>
      <c r="AD37" s="7"/>
      <c r="AE37" s="7"/>
      <c r="AF37" s="7"/>
      <c r="AG37" s="15"/>
      <c r="AH37" s="7"/>
      <c r="AI37" s="7"/>
      <c r="AJ37" s="7"/>
      <c r="AK37" s="22"/>
      <c r="AM37" s="21"/>
      <c r="AN37" s="7"/>
      <c r="AO37" s="7"/>
      <c r="AP37" s="7"/>
      <c r="AQ37" s="7"/>
      <c r="AR37" s="7"/>
      <c r="AS37" s="15"/>
      <c r="AT37" s="7"/>
      <c r="AU37" s="7"/>
      <c r="AV37" s="7"/>
      <c r="AW37" s="22"/>
    </row>
    <row r="38" spans="2:49" x14ac:dyDescent="0.35">
      <c r="B38" s="1" t="s">
        <v>44</v>
      </c>
      <c r="C38" s="34">
        <v>0.5</v>
      </c>
      <c r="F38" s="45"/>
      <c r="O38" s="34">
        <v>0.5</v>
      </c>
      <c r="R38" s="7">
        <f>O38*4+2.37*0.5</f>
        <v>3.1850000000000001</v>
      </c>
      <c r="U38" s="15"/>
      <c r="Y38" s="22"/>
      <c r="AA38" s="34">
        <v>0.7</v>
      </c>
      <c r="AB38" s="7"/>
      <c r="AC38" s="7"/>
      <c r="AD38" s="7"/>
      <c r="AE38" s="7"/>
      <c r="AF38" s="7"/>
      <c r="AG38" s="15"/>
      <c r="AH38" s="7"/>
      <c r="AI38" s="7"/>
      <c r="AJ38" s="7"/>
      <c r="AK38" s="22"/>
      <c r="AM38" s="34">
        <v>0.6</v>
      </c>
      <c r="AN38" s="7"/>
      <c r="AO38" s="7"/>
      <c r="AP38" s="7"/>
      <c r="AQ38" s="7"/>
      <c r="AR38" s="7"/>
      <c r="AS38" s="15"/>
      <c r="AT38" s="7"/>
      <c r="AU38" s="7"/>
      <c r="AV38" s="7"/>
      <c r="AW38" s="22"/>
    </row>
    <row r="39" spans="2:49" x14ac:dyDescent="0.35">
      <c r="C39" s="35"/>
      <c r="F39" s="45"/>
      <c r="O39" s="35"/>
      <c r="U39" s="15"/>
      <c r="Y39" s="22"/>
      <c r="AA39" s="35"/>
      <c r="AB39" s="7"/>
      <c r="AC39" s="7"/>
      <c r="AD39" s="7"/>
      <c r="AE39" s="7"/>
      <c r="AF39" s="7"/>
      <c r="AG39" s="15"/>
      <c r="AH39" s="7"/>
      <c r="AI39" s="7"/>
      <c r="AJ39" s="7"/>
      <c r="AK39" s="22"/>
      <c r="AM39" s="35"/>
      <c r="AN39" s="7"/>
      <c r="AO39" s="7"/>
      <c r="AP39" s="7"/>
      <c r="AQ39" s="7"/>
      <c r="AR39" s="7"/>
      <c r="AS39" s="15"/>
      <c r="AT39" s="7"/>
      <c r="AU39" s="7"/>
      <c r="AV39" s="7"/>
      <c r="AW39" s="22"/>
    </row>
    <row r="40" spans="2:49" x14ac:dyDescent="0.35">
      <c r="B40" t="s">
        <v>45</v>
      </c>
      <c r="C40" s="35">
        <f>G12/C38</f>
        <v>5.2359500645176595</v>
      </c>
      <c r="D40" s="15"/>
      <c r="F40" s="45"/>
      <c r="O40" s="35">
        <f>S12*(1+1-O38)</f>
        <v>42.820041411819723</v>
      </c>
      <c r="U40" s="15"/>
      <c r="Y40" s="22"/>
      <c r="AA40" s="35">
        <f>AE12/AA38</f>
        <v>40.314152133560043</v>
      </c>
      <c r="AB40" s="43"/>
      <c r="AC40" s="7"/>
      <c r="AD40" s="7"/>
      <c r="AE40" s="7"/>
      <c r="AF40" s="7"/>
      <c r="AG40" s="15"/>
      <c r="AH40" s="7"/>
      <c r="AI40" s="7"/>
      <c r="AJ40" s="7"/>
      <c r="AK40" s="22"/>
      <c r="AM40" s="35">
        <f>AQ12/AM38</f>
        <v>11.58776219501237</v>
      </c>
      <c r="AN40" s="43"/>
      <c r="AO40" s="7"/>
      <c r="AP40" s="7"/>
      <c r="AQ40" s="7"/>
      <c r="AR40" s="7"/>
      <c r="AS40" s="15"/>
      <c r="AT40" s="7"/>
      <c r="AU40" s="7"/>
      <c r="AV40" s="7"/>
      <c r="AW40" s="22"/>
    </row>
    <row r="41" spans="2:49" x14ac:dyDescent="0.35">
      <c r="B41" t="s">
        <v>102</v>
      </c>
      <c r="C41" s="35"/>
      <c r="F41" s="45"/>
      <c r="O41" s="35"/>
      <c r="U41" s="15"/>
      <c r="Y41" s="22"/>
      <c r="AA41" s="35"/>
      <c r="AB41" s="7"/>
      <c r="AC41" s="7"/>
      <c r="AD41" s="7"/>
      <c r="AE41" s="10"/>
      <c r="AF41" s="7"/>
      <c r="AG41" s="15"/>
      <c r="AH41" s="7"/>
      <c r="AI41" s="7"/>
      <c r="AJ41" s="7"/>
      <c r="AK41" s="22"/>
      <c r="AM41" s="35"/>
      <c r="AN41" s="7"/>
      <c r="AO41" s="7"/>
      <c r="AP41" s="7"/>
      <c r="AQ41" s="7"/>
      <c r="AR41" s="7"/>
      <c r="AS41" s="15"/>
      <c r="AT41" s="7"/>
      <c r="AU41" s="7"/>
      <c r="AV41" s="7"/>
      <c r="AW41" s="22"/>
    </row>
    <row r="42" spans="2:49" x14ac:dyDescent="0.35">
      <c r="C42" s="35"/>
      <c r="F42" s="45"/>
      <c r="O42" s="35"/>
      <c r="U42" s="15"/>
      <c r="Y42" s="22"/>
      <c r="AA42" s="35"/>
      <c r="AB42" s="7"/>
      <c r="AC42" s="7"/>
      <c r="AD42" s="7"/>
      <c r="AE42" s="7"/>
      <c r="AF42" s="7"/>
      <c r="AG42" s="15"/>
      <c r="AH42" s="7"/>
      <c r="AI42" s="7"/>
      <c r="AJ42" s="7"/>
      <c r="AK42" s="22"/>
      <c r="AM42" s="35"/>
      <c r="AN42" s="7"/>
      <c r="AO42" s="7"/>
      <c r="AP42" s="7"/>
      <c r="AQ42" s="7"/>
      <c r="AR42" s="7"/>
      <c r="AS42" s="15"/>
      <c r="AT42" s="7"/>
      <c r="AU42" s="7"/>
      <c r="AV42" s="7"/>
      <c r="AW42" s="22"/>
    </row>
    <row r="43" spans="2:49" x14ac:dyDescent="0.35">
      <c r="B43" t="s">
        <v>52</v>
      </c>
      <c r="C43" s="35">
        <v>3.1850000000000001</v>
      </c>
      <c r="F43" s="45"/>
      <c r="O43" s="35">
        <v>3.1850000000000001</v>
      </c>
      <c r="U43" s="15"/>
      <c r="Y43" s="22"/>
      <c r="AA43" s="35">
        <v>3.51</v>
      </c>
      <c r="AB43" s="7"/>
      <c r="AC43" s="7"/>
      <c r="AD43" s="7"/>
      <c r="AE43" s="7"/>
      <c r="AF43" s="7"/>
      <c r="AG43" s="15"/>
      <c r="AH43" s="7"/>
      <c r="AI43" s="7"/>
      <c r="AJ43" s="7"/>
      <c r="AK43" s="22"/>
      <c r="AM43" s="35">
        <v>3.35</v>
      </c>
      <c r="AN43" s="7"/>
      <c r="AO43" s="7"/>
      <c r="AP43" s="7"/>
      <c r="AQ43" s="7"/>
      <c r="AR43" s="7"/>
      <c r="AS43" s="15"/>
      <c r="AT43" s="7"/>
      <c r="AU43" s="7"/>
      <c r="AV43" s="7"/>
      <c r="AW43" s="22"/>
    </row>
    <row r="44" spans="2:49" x14ac:dyDescent="0.35">
      <c r="C44" s="35"/>
      <c r="F44" s="45"/>
      <c r="O44" s="35"/>
      <c r="U44" s="15"/>
      <c r="Y44" s="22"/>
      <c r="AA44" s="35"/>
      <c r="AB44" s="7"/>
      <c r="AC44" s="7"/>
      <c r="AD44" s="7"/>
      <c r="AE44" s="7"/>
      <c r="AF44" s="7"/>
      <c r="AG44" s="15"/>
      <c r="AH44" s="7"/>
      <c r="AI44" s="7"/>
      <c r="AJ44" s="7"/>
      <c r="AK44" s="22"/>
      <c r="AM44" s="35"/>
      <c r="AN44" s="7"/>
      <c r="AO44" s="7"/>
      <c r="AP44" s="7"/>
      <c r="AQ44" s="7"/>
      <c r="AR44" s="7"/>
      <c r="AS44" s="15"/>
      <c r="AT44" s="7"/>
      <c r="AU44" s="7"/>
      <c r="AV44" s="7"/>
      <c r="AW44" s="22"/>
    </row>
    <row r="45" spans="2:49" x14ac:dyDescent="0.35">
      <c r="C45" s="35">
        <f>C40*C43</f>
        <v>16.676500955488745</v>
      </c>
      <c r="F45" s="45"/>
      <c r="O45" s="35">
        <f>O43*O40</f>
        <v>136.38183189664582</v>
      </c>
      <c r="U45" s="15"/>
      <c r="Y45" s="22"/>
      <c r="AA45" s="35">
        <f>AA43*AA40</f>
        <v>141.50267398879575</v>
      </c>
      <c r="AB45" s="7"/>
      <c r="AC45" s="7"/>
      <c r="AD45" s="7"/>
      <c r="AE45" s="7"/>
      <c r="AF45" s="7"/>
      <c r="AG45" s="15"/>
      <c r="AH45" s="7"/>
      <c r="AI45" s="7"/>
      <c r="AJ45" s="7"/>
      <c r="AK45" s="22"/>
      <c r="AM45" s="35">
        <f>AM43*AM40</f>
        <v>38.819003353291443</v>
      </c>
      <c r="AN45" s="7"/>
      <c r="AO45" s="7"/>
      <c r="AP45" s="7"/>
      <c r="AQ45" s="7"/>
      <c r="AR45" s="7"/>
      <c r="AS45" s="15"/>
      <c r="AT45" s="7"/>
      <c r="AU45" s="7"/>
      <c r="AV45" s="7"/>
      <c r="AW45" s="22"/>
    </row>
    <row r="46" spans="2:49" x14ac:dyDescent="0.35">
      <c r="C46" s="35"/>
      <c r="F46" s="45"/>
      <c r="O46" s="35"/>
      <c r="U46" s="15"/>
      <c r="Y46" s="22"/>
      <c r="AA46" s="35"/>
      <c r="AB46" s="7"/>
      <c r="AC46" s="7"/>
      <c r="AD46" s="43"/>
      <c r="AE46" s="43"/>
      <c r="AF46" s="43"/>
      <c r="AG46" s="15"/>
      <c r="AH46" s="7"/>
      <c r="AI46" s="7"/>
      <c r="AJ46" s="7"/>
      <c r="AK46" s="22"/>
      <c r="AM46" s="35"/>
      <c r="AN46" s="7"/>
      <c r="AO46" s="7"/>
      <c r="AP46" s="43"/>
      <c r="AQ46" s="43"/>
      <c r="AR46" s="43"/>
      <c r="AS46" s="15"/>
      <c r="AT46" s="7"/>
      <c r="AU46" s="7"/>
      <c r="AV46" s="7"/>
      <c r="AW46" s="22"/>
    </row>
    <row r="47" spans="2:49" x14ac:dyDescent="0.35">
      <c r="B47" t="s">
        <v>46</v>
      </c>
      <c r="C47" s="36">
        <v>0.1</v>
      </c>
      <c r="F47" s="45"/>
      <c r="O47" s="36">
        <v>0.1</v>
      </c>
      <c r="U47" s="15"/>
      <c r="Y47" s="22"/>
      <c r="AA47" s="36">
        <v>0.1</v>
      </c>
      <c r="AB47" s="7"/>
      <c r="AC47" s="7"/>
      <c r="AD47" s="7"/>
      <c r="AE47" s="7"/>
      <c r="AF47" s="7"/>
      <c r="AG47" s="15"/>
      <c r="AH47" s="7"/>
      <c r="AI47" s="7"/>
      <c r="AJ47" s="7"/>
      <c r="AK47" s="22"/>
      <c r="AM47" s="36">
        <v>0.1</v>
      </c>
      <c r="AN47" s="7"/>
      <c r="AO47" s="7"/>
      <c r="AP47" s="7"/>
      <c r="AQ47" s="7"/>
      <c r="AR47" s="7"/>
      <c r="AS47" s="15"/>
      <c r="AT47" s="7"/>
      <c r="AU47" s="7"/>
      <c r="AV47" s="7"/>
      <c r="AW47" s="22"/>
    </row>
    <row r="48" spans="2:49" x14ac:dyDescent="0.35">
      <c r="C48" s="35"/>
      <c r="F48" s="45"/>
      <c r="O48" s="35"/>
      <c r="U48" s="15"/>
      <c r="Y48" s="22"/>
      <c r="AA48" s="35"/>
      <c r="AB48" s="7"/>
      <c r="AC48" s="7"/>
      <c r="AD48" s="7"/>
      <c r="AE48" s="7"/>
      <c r="AF48" s="7"/>
      <c r="AG48" s="15"/>
      <c r="AH48" s="7"/>
      <c r="AI48" s="7"/>
      <c r="AJ48" s="7"/>
      <c r="AK48" s="22"/>
      <c r="AM48" s="35"/>
      <c r="AN48" s="7"/>
      <c r="AO48" s="7"/>
      <c r="AP48" s="7"/>
      <c r="AQ48" s="7"/>
      <c r="AR48" s="7"/>
      <c r="AS48" s="15"/>
      <c r="AT48" s="7"/>
      <c r="AU48" s="7"/>
      <c r="AV48" s="7"/>
      <c r="AW48" s="22"/>
    </row>
    <row r="49" spans="2:49" x14ac:dyDescent="0.35">
      <c r="B49" t="s">
        <v>65</v>
      </c>
      <c r="C49" s="35">
        <f>C45*(1+C47)</f>
        <v>18.34415105103762</v>
      </c>
      <c r="F49" s="45"/>
      <c r="O49" s="35">
        <f>O45*(1+O47)</f>
        <v>150.02001508631042</v>
      </c>
      <c r="U49" s="15"/>
      <c r="Y49" s="22"/>
      <c r="AA49" s="35">
        <f>AA45*(1+AA47)</f>
        <v>155.65294138767533</v>
      </c>
      <c r="AB49" s="7"/>
      <c r="AC49" s="7"/>
      <c r="AD49" s="7"/>
      <c r="AE49" s="7"/>
      <c r="AF49" s="7"/>
      <c r="AG49" s="15"/>
      <c r="AH49" s="7"/>
      <c r="AI49" s="7"/>
      <c r="AJ49" s="7"/>
      <c r="AK49" s="22"/>
      <c r="AM49" s="35">
        <f>AM45*(1+AM47)</f>
        <v>42.700903688620592</v>
      </c>
      <c r="AN49" s="44"/>
      <c r="AO49" s="7"/>
      <c r="AP49" s="7"/>
      <c r="AQ49" s="7"/>
      <c r="AR49" s="7"/>
      <c r="AS49" s="15"/>
      <c r="AT49" s="7"/>
      <c r="AU49" s="7"/>
      <c r="AV49" s="7"/>
      <c r="AW49" s="22"/>
    </row>
    <row r="50" spans="2:49" x14ac:dyDescent="0.35">
      <c r="F50" s="45"/>
      <c r="U50" s="15"/>
      <c r="Y50" s="22"/>
      <c r="AA50" s="21"/>
      <c r="AB50" s="7"/>
      <c r="AC50" s="7"/>
      <c r="AD50" s="7"/>
      <c r="AE50" s="7"/>
      <c r="AF50" s="7"/>
      <c r="AG50" s="15"/>
      <c r="AH50" s="7"/>
      <c r="AI50" s="7"/>
      <c r="AJ50" s="7"/>
      <c r="AK50" s="22"/>
      <c r="AM50" s="21"/>
      <c r="AN50" s="7"/>
      <c r="AO50" s="7"/>
      <c r="AP50" s="7"/>
      <c r="AQ50" s="7"/>
      <c r="AR50" s="7"/>
      <c r="AS50" s="15"/>
      <c r="AT50" s="7"/>
      <c r="AU50" s="7"/>
      <c r="AV50" s="7"/>
      <c r="AW50" s="22"/>
    </row>
    <row r="51" spans="2:49" x14ac:dyDescent="0.35">
      <c r="B51" t="s">
        <v>66</v>
      </c>
      <c r="C51" s="41">
        <f>C49*365</f>
        <v>6695.6151336287312</v>
      </c>
      <c r="D51" s="44">
        <f>C51/2400</f>
        <v>2.7898396390119715</v>
      </c>
      <c r="E51" s="44"/>
      <c r="F51" s="45"/>
      <c r="O51" s="41">
        <f>O49*365</f>
        <v>54757.305506503304</v>
      </c>
      <c r="P51" s="44">
        <f>O51/2400</f>
        <v>22.815543961043044</v>
      </c>
      <c r="U51" s="15"/>
      <c r="Y51" s="22"/>
      <c r="AA51" s="41">
        <f>AA49*365</f>
        <v>56813.323606501493</v>
      </c>
      <c r="AB51" s="44">
        <f>AA51/2400</f>
        <v>23.672218169375622</v>
      </c>
      <c r="AC51" s="7"/>
      <c r="AD51" s="7"/>
      <c r="AE51" s="7"/>
      <c r="AF51" s="7"/>
      <c r="AG51" s="15"/>
      <c r="AH51" s="7"/>
      <c r="AI51" s="7"/>
      <c r="AJ51" s="7"/>
      <c r="AK51" s="22"/>
      <c r="AM51" s="41">
        <f>AM49*365</f>
        <v>15585.829846346516</v>
      </c>
      <c r="AN51" s="44">
        <f>AM51/2400</f>
        <v>6.4940957693110484</v>
      </c>
      <c r="AO51" s="7"/>
      <c r="AP51" s="7"/>
      <c r="AQ51" s="7"/>
      <c r="AR51" s="7"/>
      <c r="AS51" s="15"/>
      <c r="AT51" s="7"/>
      <c r="AU51" s="7"/>
      <c r="AV51" s="7"/>
      <c r="AW51" s="22"/>
    </row>
    <row r="52" spans="2:49" x14ac:dyDescent="0.35">
      <c r="B52" t="s">
        <v>101</v>
      </c>
      <c r="C52" s="54">
        <f>C51*0.4126</f>
        <v>2762.6108041352145</v>
      </c>
      <c r="D52" s="44">
        <f>D51*0.4126</f>
        <v>1.1510878350563396</v>
      </c>
      <c r="F52" s="45"/>
      <c r="O52" s="54">
        <f>O51* 0.03536</f>
        <v>1936.218322709957</v>
      </c>
      <c r="P52" s="54">
        <f>P51* 0.03536</f>
        <v>0.80675763446248205</v>
      </c>
      <c r="U52" s="15"/>
      <c r="Y52" s="22"/>
      <c r="AA52" s="55">
        <f>AA51*0.0226828</f>
        <v>1288.6852567015521</v>
      </c>
      <c r="AB52" s="55">
        <f>AA52/2400</f>
        <v>0.53695219029231334</v>
      </c>
      <c r="AE52" s="58"/>
      <c r="AM52" s="55">
        <f>AM51*0.12205</f>
        <v>1902.2505327465924</v>
      </c>
      <c r="AN52" s="44">
        <f>AM52/2400</f>
        <v>0.79260438864441352</v>
      </c>
    </row>
    <row r="53" spans="2:49" x14ac:dyDescent="0.35">
      <c r="AE53" s="5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T19" sqref="T19"/>
    </sheetView>
  </sheetViews>
  <sheetFormatPr defaultRowHeight="14.5" x14ac:dyDescent="0.35"/>
  <cols>
    <col min="2" max="2" width="24.26953125" bestFit="1" customWidth="1"/>
    <col min="3" max="3" width="9.81640625" bestFit="1" customWidth="1"/>
    <col min="4" max="4" width="12.81640625" bestFit="1" customWidth="1"/>
    <col min="5" max="5" width="18" bestFit="1" customWidth="1"/>
    <col min="6" max="6" width="20.1796875" style="51" bestFit="1" customWidth="1"/>
    <col min="7" max="7" width="9.81640625" bestFit="1" customWidth="1"/>
    <col min="8" max="8" width="12.81640625" bestFit="1" customWidth="1"/>
    <col min="9" max="9" width="18" bestFit="1" customWidth="1"/>
    <col min="10" max="10" width="20.1796875" style="47" bestFit="1" customWidth="1"/>
    <col min="11" max="11" width="9.81640625" bestFit="1" customWidth="1"/>
    <col min="12" max="12" width="12.81640625" bestFit="1" customWidth="1"/>
    <col min="13" max="13" width="18" bestFit="1" customWidth="1"/>
    <col min="14" max="14" width="20.1796875" style="47" bestFit="1" customWidth="1"/>
    <col min="15" max="15" width="9.81640625" bestFit="1" customWidth="1"/>
    <col min="16" max="16" width="12.81640625" bestFit="1" customWidth="1"/>
    <col min="17" max="17" width="18" bestFit="1" customWidth="1"/>
    <col min="18" max="18" width="20.1796875" style="51" bestFit="1" customWidth="1"/>
  </cols>
  <sheetData>
    <row r="1" spans="2:18" x14ac:dyDescent="0.35">
      <c r="C1" s="65" t="s">
        <v>0</v>
      </c>
      <c r="D1" s="65"/>
      <c r="E1" s="65"/>
      <c r="F1" s="65"/>
      <c r="G1" s="65" t="s">
        <v>1</v>
      </c>
      <c r="H1" s="65"/>
      <c r="I1" s="65"/>
      <c r="J1" s="65"/>
      <c r="K1" s="65" t="s">
        <v>2</v>
      </c>
      <c r="L1" s="65"/>
      <c r="M1" s="65"/>
      <c r="N1" s="65"/>
      <c r="O1" s="65" t="s">
        <v>3</v>
      </c>
      <c r="P1" s="65"/>
      <c r="Q1" s="65"/>
      <c r="R1" s="65"/>
    </row>
    <row r="2" spans="2:18" x14ac:dyDescent="0.35">
      <c r="B2" t="s">
        <v>73</v>
      </c>
      <c r="C2" t="s">
        <v>95</v>
      </c>
      <c r="D2" t="s">
        <v>96</v>
      </c>
      <c r="E2" t="s">
        <v>97</v>
      </c>
      <c r="F2" s="51" t="s">
        <v>74</v>
      </c>
      <c r="G2" t="s">
        <v>95</v>
      </c>
      <c r="H2" t="s">
        <v>96</v>
      </c>
      <c r="I2" t="s">
        <v>97</v>
      </c>
      <c r="J2" s="47" t="s">
        <v>74</v>
      </c>
      <c r="K2" t="s">
        <v>95</v>
      </c>
      <c r="L2" t="s">
        <v>96</v>
      </c>
      <c r="M2" t="s">
        <v>97</v>
      </c>
      <c r="N2" s="47" t="s">
        <v>74</v>
      </c>
      <c r="O2" t="s">
        <v>95</v>
      </c>
      <c r="P2" t="s">
        <v>96</v>
      </c>
      <c r="Q2" t="s">
        <v>97</v>
      </c>
      <c r="R2" s="51" t="s">
        <v>74</v>
      </c>
    </row>
    <row r="3" spans="2:18" x14ac:dyDescent="0.35">
      <c r="B3" s="48" t="s">
        <v>75</v>
      </c>
      <c r="C3">
        <v>9.8650000000000005E-3</v>
      </c>
      <c r="D3">
        <v>0.54598337950138498</v>
      </c>
      <c r="E3">
        <f t="shared" ref="E3:E5" si="0">1/D3</f>
        <v>1.8315575849822427</v>
      </c>
      <c r="F3" s="51">
        <f>E3*C3</f>
        <v>1.8068315575849824E-2</v>
      </c>
      <c r="G3">
        <v>0</v>
      </c>
      <c r="I3" t="e">
        <f t="shared" ref="I3:I5" si="1">1/H3</f>
        <v>#DIV/0!</v>
      </c>
      <c r="J3" s="47" t="e">
        <f>I3*G3</f>
        <v>#DIV/0!</v>
      </c>
      <c r="K3">
        <v>0</v>
      </c>
      <c r="M3" t="e">
        <f t="shared" ref="M3:M5" si="2">1/L3</f>
        <v>#DIV/0!</v>
      </c>
      <c r="N3" s="47" t="e">
        <f>M3*K3</f>
        <v>#DIV/0!</v>
      </c>
      <c r="O3">
        <v>0</v>
      </c>
      <c r="Q3" t="e">
        <f t="shared" ref="Q3:Q5" si="3">1/P3</f>
        <v>#DIV/0!</v>
      </c>
      <c r="R3" s="51" t="e">
        <f>Q3*O3</f>
        <v>#DIV/0!</v>
      </c>
    </row>
    <row r="4" spans="2:18" x14ac:dyDescent="0.35">
      <c r="B4" s="48" t="s">
        <v>76</v>
      </c>
      <c r="C4">
        <v>5.3800000000000002E-3</v>
      </c>
      <c r="D4">
        <v>0.54598337950138498</v>
      </c>
      <c r="E4">
        <f t="shared" si="0"/>
        <v>1.8315575849822427</v>
      </c>
      <c r="F4" s="51">
        <f t="shared" ref="F4:F22" si="4">E4*C4</f>
        <v>9.8537798072044665E-3</v>
      </c>
      <c r="G4">
        <v>0</v>
      </c>
      <c r="I4" t="e">
        <f t="shared" si="1"/>
        <v>#DIV/0!</v>
      </c>
      <c r="J4" s="47" t="e">
        <f t="shared" ref="J4:J22" si="5">I4*G4</f>
        <v>#DIV/0!</v>
      </c>
      <c r="K4">
        <v>0</v>
      </c>
      <c r="M4" t="e">
        <f t="shared" si="2"/>
        <v>#DIV/0!</v>
      </c>
      <c r="N4" s="47" t="e">
        <f t="shared" ref="N4:N22" si="6">M4*K4</f>
        <v>#DIV/0!</v>
      </c>
      <c r="O4">
        <v>0</v>
      </c>
      <c r="Q4" t="e">
        <f t="shared" si="3"/>
        <v>#DIV/0!</v>
      </c>
      <c r="R4" s="51" t="e">
        <f t="shared" ref="R4:R22" si="7">Q4*O4</f>
        <v>#DIV/0!</v>
      </c>
    </row>
    <row r="5" spans="2:18" x14ac:dyDescent="0.35">
      <c r="B5" s="48" t="s">
        <v>77</v>
      </c>
      <c r="C5">
        <v>0</v>
      </c>
      <c r="D5">
        <v>0.54598337950138498</v>
      </c>
      <c r="E5">
        <f t="shared" si="0"/>
        <v>1.8315575849822427</v>
      </c>
      <c r="F5" s="51">
        <f t="shared" si="4"/>
        <v>0</v>
      </c>
      <c r="G5">
        <v>0</v>
      </c>
      <c r="I5" t="e">
        <f t="shared" si="1"/>
        <v>#DIV/0!</v>
      </c>
      <c r="J5" s="47" t="e">
        <f t="shared" si="5"/>
        <v>#DIV/0!</v>
      </c>
      <c r="K5">
        <v>0</v>
      </c>
      <c r="M5" t="e">
        <f t="shared" si="2"/>
        <v>#DIV/0!</v>
      </c>
      <c r="N5" s="47" t="e">
        <f t="shared" si="6"/>
        <v>#DIV/0!</v>
      </c>
      <c r="O5">
        <v>0</v>
      </c>
      <c r="Q5" t="e">
        <f t="shared" si="3"/>
        <v>#DIV/0!</v>
      </c>
      <c r="R5" s="51" t="e">
        <f t="shared" si="7"/>
        <v>#DIV/0!</v>
      </c>
    </row>
    <row r="6" spans="2:18" x14ac:dyDescent="0.35">
      <c r="B6" s="49" t="s">
        <v>78</v>
      </c>
      <c r="C6">
        <v>4.4700000000000009E-3</v>
      </c>
      <c r="D6">
        <v>0.54598337950138498</v>
      </c>
      <c r="E6">
        <f>1/D6</f>
        <v>1.8315575849822427</v>
      </c>
      <c r="F6" s="51">
        <f t="shared" si="4"/>
        <v>8.1870624048706268E-3</v>
      </c>
      <c r="G6">
        <v>0.11334000000000001</v>
      </c>
      <c r="H6">
        <v>0.58708994708994711</v>
      </c>
      <c r="I6">
        <f>1/H6</f>
        <v>1.7033165104542176</v>
      </c>
      <c r="J6" s="47">
        <f t="shared" si="5"/>
        <v>0.19305389329488104</v>
      </c>
      <c r="K6">
        <v>4.3999999999999997E-2</v>
      </c>
      <c r="L6">
        <v>0.51529411764705879</v>
      </c>
      <c r="M6">
        <f>1/L6</f>
        <v>1.9406392694063928</v>
      </c>
      <c r="N6" s="47">
        <f t="shared" si="6"/>
        <v>8.5388127853881279E-2</v>
      </c>
      <c r="O6">
        <v>0</v>
      </c>
      <c r="P6">
        <v>0.53956521739130425</v>
      </c>
      <c r="Q6">
        <f>1/P6</f>
        <v>1.8533440773569705</v>
      </c>
      <c r="R6" s="51">
        <f t="shared" si="7"/>
        <v>0</v>
      </c>
    </row>
    <row r="7" spans="2:18" ht="25" x14ac:dyDescent="0.35">
      <c r="B7" s="49" t="s">
        <v>79</v>
      </c>
      <c r="C7">
        <v>5.5999999999999999E-3</v>
      </c>
      <c r="D7">
        <v>0.54598337950138498</v>
      </c>
      <c r="E7">
        <f t="shared" ref="E7:E22" si="8">1/D7</f>
        <v>1.8315575849822427</v>
      </c>
      <c r="F7" s="51">
        <f t="shared" si="4"/>
        <v>1.025672247590056E-2</v>
      </c>
      <c r="G7">
        <v>0.16418000000000002</v>
      </c>
      <c r="H7">
        <v>0.58708994708994711</v>
      </c>
      <c r="I7">
        <f t="shared" ref="I7:I22" si="9">1/H7</f>
        <v>1.7033165104542176</v>
      </c>
      <c r="J7" s="47">
        <f t="shared" si="5"/>
        <v>0.27965050468637348</v>
      </c>
      <c r="K7">
        <v>0</v>
      </c>
      <c r="L7">
        <v>0.51529411764705879</v>
      </c>
      <c r="M7">
        <f t="shared" ref="M7:M22" si="10">1/L7</f>
        <v>1.9406392694063928</v>
      </c>
      <c r="N7" s="47">
        <f t="shared" si="6"/>
        <v>0</v>
      </c>
      <c r="O7">
        <v>1.3080260999999999E-2</v>
      </c>
      <c r="P7">
        <v>0.53956521739130425</v>
      </c>
      <c r="Q7">
        <f t="shared" ref="Q7:Q22" si="11">1/P7</f>
        <v>1.8533440773569705</v>
      </c>
      <c r="R7" s="51">
        <f t="shared" si="7"/>
        <v>2.4242224254633363E-2</v>
      </c>
    </row>
    <row r="8" spans="2:18" x14ac:dyDescent="0.35">
      <c r="B8" s="48" t="s">
        <v>80</v>
      </c>
      <c r="C8">
        <v>0</v>
      </c>
      <c r="E8" t="e">
        <f t="shared" si="8"/>
        <v>#DIV/0!</v>
      </c>
      <c r="F8" s="51" t="e">
        <f t="shared" si="4"/>
        <v>#DIV/0!</v>
      </c>
      <c r="G8">
        <v>0</v>
      </c>
      <c r="I8" t="e">
        <f t="shared" si="9"/>
        <v>#DIV/0!</v>
      </c>
      <c r="J8" s="47" t="e">
        <f t="shared" si="5"/>
        <v>#DIV/0!</v>
      </c>
      <c r="K8">
        <v>0</v>
      </c>
      <c r="M8" t="e">
        <f t="shared" si="10"/>
        <v>#DIV/0!</v>
      </c>
      <c r="N8" s="47" t="e">
        <f t="shared" si="6"/>
        <v>#DIV/0!</v>
      </c>
      <c r="O8">
        <v>0</v>
      </c>
      <c r="Q8" t="e">
        <f t="shared" si="11"/>
        <v>#DIV/0!</v>
      </c>
      <c r="R8" s="51" t="e">
        <f t="shared" si="7"/>
        <v>#DIV/0!</v>
      </c>
    </row>
    <row r="9" spans="2:18" x14ac:dyDescent="0.35">
      <c r="B9" s="48" t="s">
        <v>81</v>
      </c>
      <c r="C9">
        <v>0</v>
      </c>
      <c r="E9" t="e">
        <f t="shared" si="8"/>
        <v>#DIV/0!</v>
      </c>
      <c r="F9" s="51" t="e">
        <f t="shared" si="4"/>
        <v>#DIV/0!</v>
      </c>
      <c r="G9">
        <v>0</v>
      </c>
      <c r="I9" t="e">
        <f t="shared" si="9"/>
        <v>#DIV/0!</v>
      </c>
      <c r="J9" s="47" t="e">
        <f t="shared" si="5"/>
        <v>#DIV/0!</v>
      </c>
      <c r="K9">
        <v>0</v>
      </c>
      <c r="M9" t="e">
        <f t="shared" si="10"/>
        <v>#DIV/0!</v>
      </c>
      <c r="N9" s="47" t="e">
        <f t="shared" si="6"/>
        <v>#DIV/0!</v>
      </c>
      <c r="O9">
        <v>0</v>
      </c>
      <c r="Q9" t="e">
        <f t="shared" si="11"/>
        <v>#DIV/0!</v>
      </c>
      <c r="R9" s="51" t="e">
        <f t="shared" si="7"/>
        <v>#DIV/0!</v>
      </c>
    </row>
    <row r="10" spans="2:18" x14ac:dyDescent="0.35">
      <c r="B10" s="50" t="s">
        <v>82</v>
      </c>
      <c r="C10">
        <v>2.0924999999999999E-2</v>
      </c>
      <c r="E10" t="e">
        <f t="shared" si="8"/>
        <v>#DIV/0!</v>
      </c>
      <c r="F10" s="51" t="e">
        <f t="shared" si="4"/>
        <v>#DIV/0!</v>
      </c>
      <c r="G10">
        <v>0</v>
      </c>
      <c r="I10" t="e">
        <f t="shared" si="9"/>
        <v>#DIV/0!</v>
      </c>
      <c r="J10" s="47" t="e">
        <f t="shared" si="5"/>
        <v>#DIV/0!</v>
      </c>
      <c r="K10">
        <v>0</v>
      </c>
      <c r="M10" t="e">
        <f t="shared" si="10"/>
        <v>#DIV/0!</v>
      </c>
      <c r="N10" s="47" t="e">
        <f t="shared" si="6"/>
        <v>#DIV/0!</v>
      </c>
      <c r="O10">
        <v>0</v>
      </c>
      <c r="Q10" t="e">
        <f t="shared" si="11"/>
        <v>#DIV/0!</v>
      </c>
      <c r="R10" s="51" t="e">
        <f t="shared" si="7"/>
        <v>#DIV/0!</v>
      </c>
    </row>
    <row r="11" spans="2:18" x14ac:dyDescent="0.35">
      <c r="B11" s="50" t="s">
        <v>83</v>
      </c>
      <c r="C11">
        <v>0</v>
      </c>
      <c r="D11">
        <v>0.48666666666666675</v>
      </c>
      <c r="E11">
        <f t="shared" si="8"/>
        <v>2.054794520547945</v>
      </c>
      <c r="F11" s="52"/>
      <c r="G11">
        <v>0.13613999999999998</v>
      </c>
      <c r="H11">
        <v>0.56153846153846154</v>
      </c>
      <c r="I11">
        <f t="shared" si="9"/>
        <v>1.7808219178082192</v>
      </c>
      <c r="J11" s="47">
        <f t="shared" si="5"/>
        <v>0.24244109589041093</v>
      </c>
      <c r="K11">
        <v>0.13846</v>
      </c>
      <c r="L11">
        <v>0.62571428571428578</v>
      </c>
      <c r="M11">
        <f t="shared" si="10"/>
        <v>1.598173515981735</v>
      </c>
      <c r="N11" s="47">
        <f t="shared" si="6"/>
        <v>0.22128310502283102</v>
      </c>
      <c r="O11">
        <v>1.8244562499999999E-2</v>
      </c>
      <c r="P11">
        <v>0.57357142857142862</v>
      </c>
      <c r="Q11">
        <f t="shared" si="11"/>
        <v>1.74346201743462</v>
      </c>
      <c r="R11" s="51">
        <f t="shared" si="7"/>
        <v>3.1808701743462016E-2</v>
      </c>
    </row>
    <row r="12" spans="2:18" ht="25" x14ac:dyDescent="0.35">
      <c r="B12" s="48" t="s">
        <v>84</v>
      </c>
      <c r="C12">
        <v>8.1150000000000007E-3</v>
      </c>
      <c r="E12" t="e">
        <f t="shared" si="8"/>
        <v>#DIV/0!</v>
      </c>
      <c r="F12" s="51" t="e">
        <f t="shared" si="4"/>
        <v>#DIV/0!</v>
      </c>
      <c r="G12">
        <v>0</v>
      </c>
      <c r="I12" t="e">
        <f t="shared" si="9"/>
        <v>#DIV/0!</v>
      </c>
      <c r="J12" s="47" t="e">
        <f t="shared" si="5"/>
        <v>#DIV/0!</v>
      </c>
      <c r="K12">
        <v>0</v>
      </c>
      <c r="M12" t="e">
        <f t="shared" si="10"/>
        <v>#DIV/0!</v>
      </c>
      <c r="N12" s="47" t="e">
        <f t="shared" si="6"/>
        <v>#DIV/0!</v>
      </c>
      <c r="O12">
        <v>0</v>
      </c>
      <c r="Q12" t="e">
        <f t="shared" si="11"/>
        <v>#DIV/0!</v>
      </c>
      <c r="R12" s="51" t="e">
        <f t="shared" si="7"/>
        <v>#DIV/0!</v>
      </c>
    </row>
    <row r="13" spans="2:18" x14ac:dyDescent="0.35">
      <c r="B13" s="48" t="s">
        <v>85</v>
      </c>
      <c r="C13">
        <v>0</v>
      </c>
      <c r="E13" t="e">
        <f t="shared" si="8"/>
        <v>#DIV/0!</v>
      </c>
      <c r="F13" s="51" t="e">
        <f t="shared" si="4"/>
        <v>#DIV/0!</v>
      </c>
      <c r="G13">
        <v>0</v>
      </c>
      <c r="I13" t="e">
        <f t="shared" si="9"/>
        <v>#DIV/0!</v>
      </c>
      <c r="J13" s="47" t="e">
        <f t="shared" si="5"/>
        <v>#DIV/0!</v>
      </c>
      <c r="K13">
        <v>0</v>
      </c>
      <c r="M13" t="e">
        <f t="shared" si="10"/>
        <v>#DIV/0!</v>
      </c>
      <c r="N13" s="47" t="e">
        <f t="shared" si="6"/>
        <v>#DIV/0!</v>
      </c>
      <c r="O13">
        <v>0</v>
      </c>
      <c r="Q13" t="e">
        <f t="shared" si="11"/>
        <v>#DIV/0!</v>
      </c>
      <c r="R13" s="51" t="e">
        <f t="shared" si="7"/>
        <v>#DIV/0!</v>
      </c>
    </row>
    <row r="14" spans="2:18" x14ac:dyDescent="0.35">
      <c r="B14" s="49" t="s">
        <v>86</v>
      </c>
      <c r="C14">
        <v>8.0150000000000013E-3</v>
      </c>
      <c r="D14">
        <v>0.38647058823529412</v>
      </c>
      <c r="E14">
        <f t="shared" si="8"/>
        <v>2.5875190258751903</v>
      </c>
      <c r="F14" s="51">
        <f t="shared" si="4"/>
        <v>2.0738964992389655E-2</v>
      </c>
      <c r="G14">
        <v>0.1293</v>
      </c>
      <c r="H14">
        <v>0.37229999999999996</v>
      </c>
      <c r="I14">
        <f t="shared" si="9"/>
        <v>2.6860059092130006</v>
      </c>
      <c r="J14" s="47">
        <f t="shared" si="5"/>
        <v>0.34730056406124099</v>
      </c>
      <c r="K14">
        <v>0</v>
      </c>
      <c r="L14">
        <v>0.48666666666666675</v>
      </c>
      <c r="M14">
        <f t="shared" si="10"/>
        <v>2.054794520547945</v>
      </c>
      <c r="N14" s="47">
        <f t="shared" si="6"/>
        <v>0</v>
      </c>
      <c r="O14">
        <v>0</v>
      </c>
      <c r="P14">
        <v>0.43929203539823003</v>
      </c>
      <c r="Q14">
        <f t="shared" si="11"/>
        <v>2.2763900080580179</v>
      </c>
      <c r="R14" s="51">
        <f t="shared" si="7"/>
        <v>0</v>
      </c>
    </row>
    <row r="15" spans="2:18" ht="25" x14ac:dyDescent="0.35">
      <c r="B15" s="49" t="s">
        <v>87</v>
      </c>
      <c r="C15">
        <v>1.1140000000000001E-2</v>
      </c>
      <c r="D15">
        <v>0.38647058823529412</v>
      </c>
      <c r="E15">
        <f t="shared" si="8"/>
        <v>2.5875190258751903</v>
      </c>
      <c r="F15" s="51">
        <f t="shared" si="4"/>
        <v>2.8824961948249621E-2</v>
      </c>
      <c r="G15">
        <v>0.18036000000000002</v>
      </c>
      <c r="H15">
        <v>0.37229999999999996</v>
      </c>
      <c r="I15">
        <f t="shared" si="9"/>
        <v>2.6860059092130006</v>
      </c>
      <c r="J15" s="47">
        <f t="shared" si="5"/>
        <v>0.48444802578565688</v>
      </c>
      <c r="K15">
        <v>0</v>
      </c>
      <c r="L15">
        <v>0.48666666666666675</v>
      </c>
      <c r="M15">
        <f t="shared" si="10"/>
        <v>2.054794520547945</v>
      </c>
      <c r="N15" s="47">
        <f t="shared" si="6"/>
        <v>0</v>
      </c>
      <c r="O15">
        <v>1.5493486000000001E-2</v>
      </c>
      <c r="P15">
        <v>0.43929203539823003</v>
      </c>
      <c r="Q15">
        <f t="shared" si="11"/>
        <v>2.2763900080580179</v>
      </c>
      <c r="R15" s="51">
        <f t="shared" si="7"/>
        <v>3.5269216720386791E-2</v>
      </c>
    </row>
    <row r="16" spans="2:18" x14ac:dyDescent="0.35">
      <c r="B16" s="48" t="s">
        <v>88</v>
      </c>
      <c r="C16">
        <v>1.2774999999999998E-2</v>
      </c>
      <c r="E16" t="e">
        <f t="shared" si="8"/>
        <v>#DIV/0!</v>
      </c>
      <c r="F16" s="51" t="e">
        <f t="shared" si="4"/>
        <v>#DIV/0!</v>
      </c>
      <c r="G16">
        <v>0</v>
      </c>
      <c r="I16" t="e">
        <f t="shared" si="9"/>
        <v>#DIV/0!</v>
      </c>
      <c r="J16" s="47" t="e">
        <f t="shared" si="5"/>
        <v>#DIV/0!</v>
      </c>
      <c r="K16">
        <v>0</v>
      </c>
      <c r="M16" t="e">
        <f t="shared" si="10"/>
        <v>#DIV/0!</v>
      </c>
      <c r="N16" s="47" t="e">
        <f t="shared" si="6"/>
        <v>#DIV/0!</v>
      </c>
      <c r="O16">
        <v>0</v>
      </c>
      <c r="Q16" t="e">
        <f t="shared" si="11"/>
        <v>#DIV/0!</v>
      </c>
      <c r="R16" s="51" t="e">
        <f t="shared" si="7"/>
        <v>#DIV/0!</v>
      </c>
    </row>
    <row r="17" spans="2:18" x14ac:dyDescent="0.35">
      <c r="B17" s="48" t="s">
        <v>89</v>
      </c>
      <c r="C17">
        <v>1.2684999999999998E-2</v>
      </c>
      <c r="E17" t="e">
        <f t="shared" si="8"/>
        <v>#DIV/0!</v>
      </c>
      <c r="F17" s="51" t="e">
        <f t="shared" si="4"/>
        <v>#DIV/0!</v>
      </c>
      <c r="G17">
        <v>0</v>
      </c>
      <c r="I17" t="e">
        <f t="shared" si="9"/>
        <v>#DIV/0!</v>
      </c>
      <c r="J17" s="47" t="e">
        <f t="shared" si="5"/>
        <v>#DIV/0!</v>
      </c>
      <c r="K17">
        <v>0</v>
      </c>
      <c r="M17" t="e">
        <f t="shared" si="10"/>
        <v>#DIV/0!</v>
      </c>
      <c r="N17" s="47" t="e">
        <f t="shared" si="6"/>
        <v>#DIV/0!</v>
      </c>
      <c r="O17">
        <v>0</v>
      </c>
      <c r="Q17" t="e">
        <f t="shared" si="11"/>
        <v>#DIV/0!</v>
      </c>
      <c r="R17" s="51" t="e">
        <f t="shared" si="7"/>
        <v>#DIV/0!</v>
      </c>
    </row>
    <row r="18" spans="2:18" ht="25" x14ac:dyDescent="0.35">
      <c r="B18" s="48" t="s">
        <v>90</v>
      </c>
      <c r="C18">
        <v>3.5300000000000002E-3</v>
      </c>
      <c r="D18">
        <v>0.47250909090909088</v>
      </c>
      <c r="E18">
        <f t="shared" si="8"/>
        <v>2.1163613975681086</v>
      </c>
      <c r="F18" s="51">
        <f t="shared" si="4"/>
        <v>7.4707557334154238E-3</v>
      </c>
      <c r="G18">
        <v>8.3379999999999996E-2</v>
      </c>
      <c r="H18">
        <v>0.49535714285714288</v>
      </c>
      <c r="I18">
        <f t="shared" si="9"/>
        <v>2.0187454938716654</v>
      </c>
      <c r="J18" s="47">
        <f t="shared" si="5"/>
        <v>0.16832299927901945</v>
      </c>
      <c r="K18">
        <v>0</v>
      </c>
      <c r="M18" t="e">
        <f t="shared" si="10"/>
        <v>#DIV/0!</v>
      </c>
      <c r="N18" s="47" t="e">
        <f t="shared" si="6"/>
        <v>#DIV/0!</v>
      </c>
      <c r="O18">
        <v>1.1242720999999999E-2</v>
      </c>
      <c r="P18">
        <v>0.47096774193548385</v>
      </c>
      <c r="Q18">
        <f t="shared" si="11"/>
        <v>2.1232876712328768</v>
      </c>
      <c r="R18" s="51">
        <f t="shared" si="7"/>
        <v>2.3871530890410959E-2</v>
      </c>
    </row>
    <row r="19" spans="2:18" x14ac:dyDescent="0.35">
      <c r="B19" s="48" t="s">
        <v>91</v>
      </c>
      <c r="C19">
        <v>0</v>
      </c>
      <c r="E19" t="e">
        <f t="shared" si="8"/>
        <v>#DIV/0!</v>
      </c>
      <c r="F19" s="51" t="e">
        <f t="shared" si="4"/>
        <v>#DIV/0!</v>
      </c>
      <c r="G19">
        <v>0</v>
      </c>
      <c r="I19" t="e">
        <f t="shared" si="9"/>
        <v>#DIV/0!</v>
      </c>
      <c r="J19" s="47" t="e">
        <f t="shared" si="5"/>
        <v>#DIV/0!</v>
      </c>
      <c r="K19">
        <v>4.5579999999999996E-2</v>
      </c>
      <c r="L19">
        <v>0.54749999999999999</v>
      </c>
      <c r="M19">
        <f t="shared" si="10"/>
        <v>1.8264840182648403</v>
      </c>
      <c r="N19" s="47">
        <f t="shared" si="6"/>
        <v>8.3251141552511412E-2</v>
      </c>
      <c r="O19">
        <v>0</v>
      </c>
      <c r="P19">
        <v>0.47096774193548385</v>
      </c>
      <c r="Q19">
        <f t="shared" si="11"/>
        <v>2.1232876712328768</v>
      </c>
      <c r="R19" s="51">
        <f t="shared" si="7"/>
        <v>0</v>
      </c>
    </row>
    <row r="20" spans="2:18" x14ac:dyDescent="0.35">
      <c r="B20" s="48" t="s">
        <v>92</v>
      </c>
      <c r="C20">
        <v>0</v>
      </c>
      <c r="E20" t="e">
        <f t="shared" si="8"/>
        <v>#DIV/0!</v>
      </c>
      <c r="F20" s="51" t="e">
        <f t="shared" si="4"/>
        <v>#DIV/0!</v>
      </c>
      <c r="G20">
        <v>0</v>
      </c>
      <c r="I20" t="e">
        <f t="shared" si="9"/>
        <v>#DIV/0!</v>
      </c>
      <c r="J20" s="47" t="e">
        <f t="shared" si="5"/>
        <v>#DIV/0!</v>
      </c>
      <c r="K20">
        <v>0</v>
      </c>
      <c r="M20" t="e">
        <f t="shared" si="10"/>
        <v>#DIV/0!</v>
      </c>
      <c r="N20" s="47" t="e">
        <f t="shared" si="6"/>
        <v>#DIV/0!</v>
      </c>
      <c r="O20">
        <v>0</v>
      </c>
      <c r="Q20" t="e">
        <f t="shared" si="11"/>
        <v>#DIV/0!</v>
      </c>
      <c r="R20" s="51" t="e">
        <f t="shared" si="7"/>
        <v>#DIV/0!</v>
      </c>
    </row>
    <row r="21" spans="2:18" x14ac:dyDescent="0.35">
      <c r="B21" s="48" t="s">
        <v>93</v>
      </c>
      <c r="C21">
        <v>5.0399999999999993E-3</v>
      </c>
      <c r="D21">
        <v>0.39593220338983048</v>
      </c>
      <c r="E21">
        <f t="shared" si="8"/>
        <v>2.5256849315068495</v>
      </c>
      <c r="F21" s="51">
        <f t="shared" si="4"/>
        <v>1.272945205479452E-2</v>
      </c>
      <c r="G21">
        <v>6.5629999999999994E-2</v>
      </c>
      <c r="H21">
        <v>0.58805555555555555</v>
      </c>
      <c r="I21">
        <f t="shared" si="9"/>
        <v>1.7005196032120926</v>
      </c>
      <c r="J21" s="47">
        <f t="shared" si="5"/>
        <v>0.11160510155880962</v>
      </c>
      <c r="K21">
        <v>0.23910000000000001</v>
      </c>
      <c r="L21">
        <v>0.42263157894736841</v>
      </c>
      <c r="M21">
        <f t="shared" si="10"/>
        <v>2.3661270236612704</v>
      </c>
      <c r="N21" s="47">
        <f t="shared" si="6"/>
        <v>0.56574097135740975</v>
      </c>
      <c r="O21">
        <v>9.6300276666666657E-3</v>
      </c>
      <c r="P21">
        <v>0.45885714285714291</v>
      </c>
      <c r="Q21">
        <f t="shared" si="11"/>
        <v>2.179327521793275</v>
      </c>
      <c r="R21" s="51">
        <f t="shared" si="7"/>
        <v>2.0986984329597339E-2</v>
      </c>
    </row>
    <row r="22" spans="2:18" x14ac:dyDescent="0.35">
      <c r="B22" s="48" t="s">
        <v>94</v>
      </c>
      <c r="C22">
        <v>0</v>
      </c>
      <c r="E22" t="e">
        <f t="shared" si="8"/>
        <v>#DIV/0!</v>
      </c>
      <c r="F22" s="51" t="e">
        <f t="shared" si="4"/>
        <v>#DIV/0!</v>
      </c>
      <c r="G22">
        <v>0</v>
      </c>
      <c r="I22" t="e">
        <f t="shared" si="9"/>
        <v>#DIV/0!</v>
      </c>
      <c r="J22" s="47" t="e">
        <f t="shared" si="5"/>
        <v>#DIV/0!</v>
      </c>
      <c r="K22">
        <v>0</v>
      </c>
      <c r="M22" t="e">
        <f t="shared" si="10"/>
        <v>#DIV/0!</v>
      </c>
      <c r="N22" s="47" t="e">
        <f t="shared" si="6"/>
        <v>#DIV/0!</v>
      </c>
      <c r="O22">
        <v>0</v>
      </c>
      <c r="Q22" t="e">
        <f t="shared" si="11"/>
        <v>#DIV/0!</v>
      </c>
      <c r="R22" s="51" t="e">
        <f t="shared" si="7"/>
        <v>#DIV/0!</v>
      </c>
    </row>
  </sheetData>
  <mergeCells count="4">
    <mergeCell ref="C1:F1"/>
    <mergeCell ref="G1:J1"/>
    <mergeCell ref="K1:N1"/>
    <mergeCell ref="O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FoodKcal</vt:lpstr>
      <vt:lpstr>Living Wage</vt:lpstr>
      <vt:lpstr>Cost per unit</vt:lpstr>
    </vt:vector>
  </TitlesOfParts>
  <Company>University of Surrey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 S Mr (PG/R - C, C &amp; E Eng)</dc:creator>
  <cp:lastModifiedBy>Mair SJ Mr (Centre Env. Strategy)</cp:lastModifiedBy>
  <dcterms:created xsi:type="dcterms:W3CDTF">2015-01-28T11:06:47Z</dcterms:created>
  <dcterms:modified xsi:type="dcterms:W3CDTF">2016-09-27T11:15:55Z</dcterms:modified>
</cp:coreProperties>
</file>