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mc:AlternateContent xmlns:mc="http://schemas.openxmlformats.org/markup-compatibility/2006">
    <mc:Choice Requires="x15">
      <x15ac:absPath xmlns:x15ac="http://schemas.microsoft.com/office/spreadsheetml/2010/11/ac" url="\\fantomen.int.ivf.net\homedir$\sandra.roos\Mina dokument\Artiklar\Accepterad_Life cycle inventory of textile chemicals\Inskick copy-editing\"/>
    </mc:Choice>
  </mc:AlternateContent>
  <xr:revisionPtr revIDLastSave="0" documentId="13_ncr:1_{48D6EAB3-1737-4563-9BD6-134EEE6C3BC9}" xr6:coauthVersionLast="37" xr6:coauthVersionMax="37" xr10:uidLastSave="{00000000-0000-0000-0000-000000000000}"/>
  <bookViews>
    <workbookView xWindow="-120" yWindow="6225" windowWidth="18855" windowHeight="3255" tabRatio="568" xr2:uid="{00000000-000D-0000-FFFF-FFFF00000000}"/>
  </bookViews>
  <sheets>
    <sheet name="Overview" sheetId="17" r:id="rId1"/>
    <sheet name="Guide to the sheets" sheetId="82" r:id="rId2"/>
    <sheet name="1.Cotton fibre production" sheetId="23" r:id="rId3"/>
    <sheet name="2.Polyester fibre production" sheetId="22" r:id="rId4"/>
    <sheet name="3.Polyamide 6 fibre production" sheetId="25" r:id="rId5"/>
    <sheet name="4.Polyamide 6,6 fibre prod." sheetId="36" r:id="rId6"/>
    <sheet name="5.Elastane fibre production" sheetId="26" r:id="rId7"/>
    <sheet name="6.Ring spinning CO-EL 150" sheetId="27" r:id="rId8"/>
    <sheet name="7.Ring spinning CO 300" sheetId="38" r:id="rId9"/>
    <sheet name="8.Air-jet spinning CO-PES 150" sheetId="30" r:id="rId10"/>
    <sheet name="9.Air-jet spinning PES 150" sheetId="39" r:id="rId11"/>
    <sheet name="10.Filament yarn production" sheetId="28" r:id="rId12"/>
    <sheet name="11.Circular knitting" sheetId="61" r:id="rId13"/>
    <sheet name="12.Flat knitting" sheetId="71" r:id="rId14"/>
    <sheet name="13.Weaving, 150 dtex" sheetId="63" r:id="rId15"/>
    <sheet name="14.Weaving, 300 dtex" sheetId="64" r:id="rId16"/>
    <sheet name="15.Non woven production" sheetId="65" r:id="rId17"/>
    <sheet name="16.Bleaching cotton fabric" sheetId="18" r:id="rId18"/>
    <sheet name="17.Bleaching cotton yarn" sheetId="52" r:id="rId19"/>
    <sheet name="18.Dyeing denim cotton yarn" sheetId="53" r:id="rId20"/>
    <sheet name="19.Dyeing polyester tricot" sheetId="54" r:id="rId21"/>
    <sheet name="20.Pretreatment of PES weave" sheetId="55" r:id="rId22"/>
    <sheet name="21.Dispersion print PES weave" sheetId="56" r:id="rId23"/>
    <sheet name="22.Dyeing polyamide weave" sheetId="57" r:id="rId24"/>
    <sheet name="23.Dyeing polyester weave" sheetId="58" r:id="rId25"/>
    <sheet name="24.Dyeing cotton tricot" sheetId="59" r:id="rId26"/>
    <sheet name="25.Dyeing cotton&amp;PES weave" sheetId="60" r:id="rId27"/>
    <sheet name="26.Drying cellulosics" sheetId="66" r:id="rId28"/>
    <sheet name="27.Drying synthetics" sheetId="67" r:id="rId29"/>
    <sheet name="28.Cutting" sheetId="68" r:id="rId30"/>
    <sheet name="29.Sewing" sheetId="69" r:id="rId31"/>
    <sheet name="30.Ironing and packaging" sheetId="70" r:id="rId32"/>
    <sheet name="31. T-shirt" sheetId="12" r:id="rId33"/>
    <sheet name="32.Jeans" sheetId="8" r:id="rId34"/>
    <sheet name="33.Dress" sheetId="14" r:id="rId35"/>
    <sheet name="34.Jacket" sheetId="35" r:id="rId36"/>
    <sheet name="35.Hospital uniform" sheetId="44" r:id="rId37"/>
    <sheet name="36. Generic chemical products" sheetId="24" r:id="rId38"/>
    <sheet name="37.USEtox CFs from Roos 2017" sheetId="40" r:id="rId39"/>
  </sheets>
  <definedNames>
    <definedName name="_xlnm._FilterDatabase" localSheetId="37" hidden="1">'36. Generic chemical products'!$A$1:$AC$113</definedName>
    <definedName name="_xlnm._FilterDatabase" localSheetId="38" hidden="1">'37.USEtox CFs from Roos 2017'!$A$1:$H$1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A6" i="28" l="1"/>
  <c r="U6" i="28"/>
  <c r="O6" i="28"/>
  <c r="I6" i="28"/>
  <c r="C6" i="28"/>
  <c r="AA6" i="30"/>
  <c r="U6" i="30"/>
  <c r="O6" i="30"/>
  <c r="I6" i="30"/>
  <c r="C6" i="30"/>
  <c r="AA6" i="39"/>
  <c r="U6" i="39"/>
  <c r="O6" i="39"/>
  <c r="I6" i="39"/>
  <c r="C6" i="39"/>
  <c r="AA6" i="61"/>
  <c r="U6" i="61"/>
  <c r="O6" i="61"/>
  <c r="I6" i="61"/>
  <c r="C6" i="61"/>
  <c r="AA6" i="71"/>
  <c r="U6" i="71"/>
  <c r="O6" i="71"/>
  <c r="I6" i="71"/>
  <c r="C6" i="71"/>
  <c r="AA6" i="38"/>
  <c r="U6" i="38"/>
  <c r="C6" i="38"/>
  <c r="AB22" i="27"/>
  <c r="O6" i="27"/>
  <c r="I6" i="27"/>
  <c r="I17" i="36"/>
  <c r="I16" i="36"/>
  <c r="I15" i="36"/>
  <c r="O17" i="36"/>
  <c r="O16" i="36"/>
  <c r="O15" i="36"/>
  <c r="AA17" i="36"/>
  <c r="AA16" i="36"/>
  <c r="AA15" i="36"/>
  <c r="U17" i="36"/>
  <c r="U16" i="36"/>
  <c r="U15" i="36"/>
  <c r="C17" i="36"/>
  <c r="C16" i="36"/>
  <c r="C15" i="36"/>
  <c r="O13" i="25"/>
  <c r="I13" i="25"/>
  <c r="H20" i="25"/>
  <c r="AA13" i="25"/>
  <c r="U13" i="25"/>
  <c r="C13" i="25"/>
  <c r="AA14" i="22"/>
  <c r="U14" i="22"/>
  <c r="O14" i="22"/>
  <c r="I14" i="22"/>
  <c r="C14" i="22"/>
  <c r="B100" i="53"/>
  <c r="C100" i="53"/>
  <c r="D100" i="53"/>
  <c r="E100" i="53"/>
  <c r="F100" i="53"/>
  <c r="G100" i="53"/>
  <c r="H100" i="53"/>
  <c r="J100" i="53"/>
  <c r="K100" i="53"/>
  <c r="L100" i="53"/>
  <c r="M100" i="53"/>
  <c r="N100" i="53"/>
  <c r="P100" i="53"/>
  <c r="Q100" i="53"/>
  <c r="R100" i="53"/>
  <c r="S100" i="53"/>
  <c r="T100" i="53"/>
  <c r="U100" i="53"/>
  <c r="V100" i="53"/>
  <c r="W100" i="53"/>
  <c r="X100" i="53"/>
  <c r="Y100" i="53"/>
  <c r="Z100" i="53"/>
  <c r="AA100" i="53"/>
  <c r="A100" i="53"/>
  <c r="B91" i="53"/>
  <c r="C91" i="53"/>
  <c r="D91" i="53"/>
  <c r="E91" i="53"/>
  <c r="F91" i="53"/>
  <c r="G91" i="53"/>
  <c r="H91" i="53"/>
  <c r="I91" i="53"/>
  <c r="AB91" i="53" s="1"/>
  <c r="J91" i="53"/>
  <c r="K91" i="53"/>
  <c r="L91" i="53"/>
  <c r="M91" i="53"/>
  <c r="N91" i="53"/>
  <c r="P91" i="53"/>
  <c r="Q91" i="53"/>
  <c r="R91" i="53"/>
  <c r="S91" i="53"/>
  <c r="T91" i="53"/>
  <c r="U91" i="53"/>
  <c r="V91" i="53"/>
  <c r="W91" i="53"/>
  <c r="X91" i="53"/>
  <c r="Y91" i="53"/>
  <c r="Z91" i="53"/>
  <c r="AA91" i="53"/>
  <c r="A91" i="53"/>
  <c r="B101" i="53"/>
  <c r="C101" i="53"/>
  <c r="D101" i="53"/>
  <c r="E101" i="53"/>
  <c r="F101" i="53"/>
  <c r="G101" i="53"/>
  <c r="H101" i="53"/>
  <c r="J101" i="53"/>
  <c r="K101" i="53"/>
  <c r="L101" i="53"/>
  <c r="M101" i="53"/>
  <c r="N101" i="53"/>
  <c r="P101" i="53"/>
  <c r="Q101" i="53"/>
  <c r="R101" i="53"/>
  <c r="S101" i="53"/>
  <c r="T101" i="53"/>
  <c r="U101" i="53"/>
  <c r="V101" i="53"/>
  <c r="W101" i="53"/>
  <c r="X101" i="53"/>
  <c r="Y101" i="53"/>
  <c r="Z101" i="53"/>
  <c r="AA101" i="53"/>
  <c r="A101" i="53"/>
  <c r="B62" i="60"/>
  <c r="C62" i="60"/>
  <c r="D62" i="60"/>
  <c r="E62" i="60"/>
  <c r="F62" i="60"/>
  <c r="G62" i="60"/>
  <c r="H62" i="60"/>
  <c r="I62" i="60"/>
  <c r="J62" i="60"/>
  <c r="K62" i="60"/>
  <c r="L62" i="60"/>
  <c r="M62" i="60"/>
  <c r="N62" i="60"/>
  <c r="P62" i="60"/>
  <c r="Q62" i="60"/>
  <c r="R62" i="60"/>
  <c r="S62" i="60"/>
  <c r="T62" i="60"/>
  <c r="U62" i="60"/>
  <c r="V62" i="60"/>
  <c r="W62" i="60"/>
  <c r="X62" i="60"/>
  <c r="Y62" i="60"/>
  <c r="Z62" i="60"/>
  <c r="AA62" i="60"/>
  <c r="B63" i="60"/>
  <c r="C63" i="60"/>
  <c r="D63" i="60"/>
  <c r="E63" i="60"/>
  <c r="F63" i="60"/>
  <c r="G63" i="60"/>
  <c r="H63" i="60"/>
  <c r="I63" i="60"/>
  <c r="J63" i="60"/>
  <c r="K63" i="60"/>
  <c r="L63" i="60"/>
  <c r="M63" i="60"/>
  <c r="N63" i="60"/>
  <c r="P63" i="60"/>
  <c r="Q63" i="60"/>
  <c r="R63" i="60"/>
  <c r="S63" i="60"/>
  <c r="T63" i="60"/>
  <c r="U63" i="60"/>
  <c r="V63" i="60"/>
  <c r="W63" i="60"/>
  <c r="X63" i="60"/>
  <c r="Y63" i="60"/>
  <c r="Z63" i="60"/>
  <c r="AA63" i="60"/>
  <c r="B64" i="60"/>
  <c r="C64" i="60"/>
  <c r="D64" i="60"/>
  <c r="E64" i="60"/>
  <c r="F64" i="60"/>
  <c r="G64" i="60"/>
  <c r="H64" i="60"/>
  <c r="I64" i="60"/>
  <c r="J64" i="60"/>
  <c r="K64" i="60"/>
  <c r="L64" i="60"/>
  <c r="M64" i="60"/>
  <c r="N64" i="60"/>
  <c r="P64" i="60"/>
  <c r="Q64" i="60"/>
  <c r="R64" i="60"/>
  <c r="S64" i="60"/>
  <c r="T64" i="60"/>
  <c r="U64" i="60"/>
  <c r="V64" i="60"/>
  <c r="W64" i="60"/>
  <c r="X64" i="60"/>
  <c r="Y64" i="60"/>
  <c r="Z64" i="60"/>
  <c r="AA64" i="60"/>
  <c r="B65" i="60"/>
  <c r="C65" i="60"/>
  <c r="D65" i="60"/>
  <c r="E65" i="60"/>
  <c r="F65" i="60"/>
  <c r="G65" i="60"/>
  <c r="H65" i="60"/>
  <c r="I65" i="60"/>
  <c r="J65" i="60"/>
  <c r="K65" i="60"/>
  <c r="L65" i="60"/>
  <c r="M65" i="60"/>
  <c r="N65" i="60"/>
  <c r="P65" i="60"/>
  <c r="Q65" i="60"/>
  <c r="R65" i="60"/>
  <c r="S65" i="60"/>
  <c r="T65" i="60"/>
  <c r="U65" i="60"/>
  <c r="V65" i="60"/>
  <c r="W65" i="60"/>
  <c r="X65" i="60"/>
  <c r="Y65" i="60"/>
  <c r="Z65" i="60"/>
  <c r="AA65" i="60"/>
  <c r="B66" i="60"/>
  <c r="C66" i="60"/>
  <c r="D66" i="60"/>
  <c r="E66" i="60"/>
  <c r="F66" i="60"/>
  <c r="G66" i="60"/>
  <c r="H66" i="60"/>
  <c r="J66" i="60"/>
  <c r="K66" i="60"/>
  <c r="L66" i="60"/>
  <c r="M66" i="60"/>
  <c r="N66" i="60"/>
  <c r="P66" i="60"/>
  <c r="Q66" i="60"/>
  <c r="R66" i="60"/>
  <c r="S66" i="60"/>
  <c r="T66" i="60"/>
  <c r="U66" i="60"/>
  <c r="V66" i="60"/>
  <c r="W66" i="60"/>
  <c r="X66" i="60"/>
  <c r="Y66" i="60"/>
  <c r="Z66" i="60"/>
  <c r="AA66" i="60"/>
  <c r="B67" i="60"/>
  <c r="C67" i="60"/>
  <c r="D67" i="60"/>
  <c r="E67" i="60"/>
  <c r="F67" i="60"/>
  <c r="G67" i="60"/>
  <c r="H67" i="60"/>
  <c r="J67" i="60"/>
  <c r="K67" i="60"/>
  <c r="L67" i="60"/>
  <c r="M67" i="60"/>
  <c r="N67" i="60"/>
  <c r="P67" i="60"/>
  <c r="Q67" i="60"/>
  <c r="R67" i="60"/>
  <c r="S67" i="60"/>
  <c r="T67" i="60"/>
  <c r="U67" i="60"/>
  <c r="V67" i="60"/>
  <c r="W67" i="60"/>
  <c r="X67" i="60"/>
  <c r="Y67" i="60"/>
  <c r="Z67" i="60"/>
  <c r="AA67" i="60"/>
  <c r="B68" i="60"/>
  <c r="C68" i="60"/>
  <c r="D68" i="60"/>
  <c r="E68" i="60"/>
  <c r="F68" i="60"/>
  <c r="G68" i="60"/>
  <c r="H68" i="60"/>
  <c r="I68" i="60"/>
  <c r="J68" i="60"/>
  <c r="K68" i="60"/>
  <c r="L68" i="60"/>
  <c r="M68" i="60"/>
  <c r="N68" i="60"/>
  <c r="P68" i="60"/>
  <c r="Q68" i="60"/>
  <c r="R68" i="60"/>
  <c r="S68" i="60"/>
  <c r="T68" i="60"/>
  <c r="U68" i="60"/>
  <c r="V68" i="60"/>
  <c r="W68" i="60"/>
  <c r="X68" i="60"/>
  <c r="Y68" i="60"/>
  <c r="Z68" i="60"/>
  <c r="AA68" i="60"/>
  <c r="B69" i="60"/>
  <c r="C69" i="60"/>
  <c r="D69" i="60"/>
  <c r="E69" i="60"/>
  <c r="F69" i="60"/>
  <c r="G69" i="60"/>
  <c r="H69" i="60"/>
  <c r="I69" i="60"/>
  <c r="J69" i="60"/>
  <c r="K69" i="60"/>
  <c r="L69" i="60"/>
  <c r="M69" i="60"/>
  <c r="N69" i="60"/>
  <c r="P69" i="60"/>
  <c r="Q69" i="60"/>
  <c r="R69" i="60"/>
  <c r="S69" i="60"/>
  <c r="T69" i="60"/>
  <c r="U69" i="60"/>
  <c r="V69" i="60"/>
  <c r="W69" i="60"/>
  <c r="X69" i="60"/>
  <c r="Y69" i="60"/>
  <c r="Z69" i="60"/>
  <c r="AA69" i="60"/>
  <c r="B70" i="60"/>
  <c r="C70" i="60"/>
  <c r="D70" i="60"/>
  <c r="E70" i="60"/>
  <c r="F70" i="60"/>
  <c r="G70" i="60"/>
  <c r="H70" i="60"/>
  <c r="J70" i="60"/>
  <c r="K70" i="60"/>
  <c r="L70" i="60"/>
  <c r="M70" i="60"/>
  <c r="N70" i="60"/>
  <c r="P70" i="60"/>
  <c r="Q70" i="60"/>
  <c r="R70" i="60"/>
  <c r="S70" i="60"/>
  <c r="T70" i="60"/>
  <c r="U70" i="60"/>
  <c r="V70" i="60"/>
  <c r="W70" i="60"/>
  <c r="X70" i="60"/>
  <c r="Y70" i="60"/>
  <c r="Z70" i="60"/>
  <c r="AA70" i="60"/>
  <c r="B71" i="60"/>
  <c r="C71" i="60"/>
  <c r="D71" i="60"/>
  <c r="E71" i="60"/>
  <c r="F71" i="60"/>
  <c r="G71" i="60"/>
  <c r="H71" i="60"/>
  <c r="J71" i="60"/>
  <c r="K71" i="60"/>
  <c r="L71" i="60"/>
  <c r="M71" i="60"/>
  <c r="N71" i="60"/>
  <c r="P71" i="60"/>
  <c r="Q71" i="60"/>
  <c r="R71" i="60"/>
  <c r="S71" i="60"/>
  <c r="T71" i="60"/>
  <c r="U71" i="60"/>
  <c r="V71" i="60"/>
  <c r="W71" i="60"/>
  <c r="X71" i="60"/>
  <c r="Y71" i="60"/>
  <c r="Z71" i="60"/>
  <c r="AA71" i="60"/>
  <c r="B72" i="60"/>
  <c r="C72" i="60"/>
  <c r="D72" i="60"/>
  <c r="E72" i="60"/>
  <c r="F72" i="60"/>
  <c r="G72" i="60"/>
  <c r="H72" i="60"/>
  <c r="I72" i="60"/>
  <c r="J72" i="60"/>
  <c r="K72" i="60"/>
  <c r="L72" i="60"/>
  <c r="M72" i="60"/>
  <c r="N72" i="60"/>
  <c r="P72" i="60"/>
  <c r="Q72" i="60"/>
  <c r="R72" i="60"/>
  <c r="S72" i="60"/>
  <c r="T72" i="60"/>
  <c r="U72" i="60"/>
  <c r="V72" i="60"/>
  <c r="W72" i="60"/>
  <c r="X72" i="60"/>
  <c r="Y72" i="60"/>
  <c r="Z72" i="60"/>
  <c r="AA72" i="60"/>
  <c r="B73" i="60"/>
  <c r="C73" i="60"/>
  <c r="D73" i="60"/>
  <c r="E73" i="60"/>
  <c r="F73" i="60"/>
  <c r="G73" i="60"/>
  <c r="H73" i="60"/>
  <c r="J73" i="60"/>
  <c r="K73" i="60"/>
  <c r="L73" i="60"/>
  <c r="M73" i="60"/>
  <c r="N73" i="60"/>
  <c r="P73" i="60"/>
  <c r="Q73" i="60"/>
  <c r="R73" i="60"/>
  <c r="S73" i="60"/>
  <c r="T73" i="60"/>
  <c r="U73" i="60"/>
  <c r="V73" i="60"/>
  <c r="W73" i="60"/>
  <c r="X73" i="60"/>
  <c r="Y73" i="60"/>
  <c r="Z73" i="60"/>
  <c r="AA73" i="60"/>
  <c r="B74" i="60"/>
  <c r="C74" i="60"/>
  <c r="D74" i="60"/>
  <c r="E74" i="60"/>
  <c r="F74" i="60"/>
  <c r="G74" i="60"/>
  <c r="H74" i="60"/>
  <c r="I74" i="60"/>
  <c r="J74" i="60"/>
  <c r="K74" i="60"/>
  <c r="L74" i="60"/>
  <c r="M74" i="60"/>
  <c r="N74" i="60"/>
  <c r="P74" i="60"/>
  <c r="Q74" i="60"/>
  <c r="R74" i="60"/>
  <c r="S74" i="60"/>
  <c r="T74" i="60"/>
  <c r="U74" i="60"/>
  <c r="V74" i="60"/>
  <c r="W74" i="60"/>
  <c r="X74" i="60"/>
  <c r="Y74" i="60"/>
  <c r="Z74" i="60"/>
  <c r="AA74" i="60"/>
  <c r="B75" i="60"/>
  <c r="C75" i="60"/>
  <c r="D75" i="60"/>
  <c r="E75" i="60"/>
  <c r="F75" i="60"/>
  <c r="G75" i="60"/>
  <c r="H75" i="60"/>
  <c r="I75" i="60"/>
  <c r="J75" i="60"/>
  <c r="K75" i="60"/>
  <c r="L75" i="60"/>
  <c r="M75" i="60"/>
  <c r="N75" i="60"/>
  <c r="P75" i="60"/>
  <c r="Q75" i="60"/>
  <c r="R75" i="60"/>
  <c r="S75" i="60"/>
  <c r="T75" i="60"/>
  <c r="U75" i="60"/>
  <c r="V75" i="60"/>
  <c r="W75" i="60"/>
  <c r="X75" i="60"/>
  <c r="Y75" i="60"/>
  <c r="Z75" i="60"/>
  <c r="AA75" i="60"/>
  <c r="B76" i="60"/>
  <c r="C76" i="60"/>
  <c r="D76" i="60"/>
  <c r="E76" i="60"/>
  <c r="F76" i="60"/>
  <c r="G76" i="60"/>
  <c r="H76" i="60"/>
  <c r="J76" i="60"/>
  <c r="K76" i="60"/>
  <c r="L76" i="60"/>
  <c r="M76" i="60"/>
  <c r="N76" i="60"/>
  <c r="P76" i="60"/>
  <c r="Q76" i="60"/>
  <c r="R76" i="60"/>
  <c r="S76" i="60"/>
  <c r="T76" i="60"/>
  <c r="U76" i="60"/>
  <c r="V76" i="60"/>
  <c r="W76" i="60"/>
  <c r="X76" i="60"/>
  <c r="Y76" i="60"/>
  <c r="Z76" i="60"/>
  <c r="AA76" i="60"/>
  <c r="B77" i="60"/>
  <c r="C77" i="60"/>
  <c r="D77" i="60"/>
  <c r="E77" i="60"/>
  <c r="F77" i="60"/>
  <c r="G77" i="60"/>
  <c r="H77" i="60"/>
  <c r="J77" i="60"/>
  <c r="K77" i="60"/>
  <c r="L77" i="60"/>
  <c r="M77" i="60"/>
  <c r="N77" i="60"/>
  <c r="P77" i="60"/>
  <c r="Q77" i="60"/>
  <c r="R77" i="60"/>
  <c r="S77" i="60"/>
  <c r="T77" i="60"/>
  <c r="U77" i="60"/>
  <c r="V77" i="60"/>
  <c r="W77" i="60"/>
  <c r="X77" i="60"/>
  <c r="Y77" i="60"/>
  <c r="Z77" i="60"/>
  <c r="AA77" i="60"/>
  <c r="B78" i="60"/>
  <c r="C78" i="60"/>
  <c r="D78" i="60"/>
  <c r="E78" i="60"/>
  <c r="F78" i="60"/>
  <c r="G78" i="60"/>
  <c r="H78" i="60"/>
  <c r="I78" i="60"/>
  <c r="J78" i="60"/>
  <c r="K78" i="60"/>
  <c r="L78" i="60"/>
  <c r="M78" i="60"/>
  <c r="N78" i="60"/>
  <c r="P78" i="60"/>
  <c r="Q78" i="60"/>
  <c r="R78" i="60"/>
  <c r="S78" i="60"/>
  <c r="T78" i="60"/>
  <c r="U78" i="60"/>
  <c r="V78" i="60"/>
  <c r="W78" i="60"/>
  <c r="X78" i="60"/>
  <c r="Y78" i="60"/>
  <c r="Z78" i="60"/>
  <c r="AA78" i="60"/>
  <c r="B79" i="60"/>
  <c r="C79" i="60"/>
  <c r="D79" i="60"/>
  <c r="E79" i="60"/>
  <c r="F79" i="60"/>
  <c r="G79" i="60"/>
  <c r="H79" i="60"/>
  <c r="J79" i="60"/>
  <c r="K79" i="60"/>
  <c r="L79" i="60"/>
  <c r="M79" i="60"/>
  <c r="N79" i="60"/>
  <c r="P79" i="60"/>
  <c r="Q79" i="60"/>
  <c r="R79" i="60"/>
  <c r="S79" i="60"/>
  <c r="T79" i="60"/>
  <c r="U79" i="60"/>
  <c r="V79" i="60"/>
  <c r="W79" i="60"/>
  <c r="X79" i="60"/>
  <c r="Y79" i="60"/>
  <c r="Z79" i="60"/>
  <c r="AA79" i="60"/>
  <c r="B80" i="60"/>
  <c r="C80" i="60"/>
  <c r="D80" i="60"/>
  <c r="E80" i="60"/>
  <c r="F80" i="60"/>
  <c r="G80" i="60"/>
  <c r="H80" i="60"/>
  <c r="J80" i="60"/>
  <c r="K80" i="60"/>
  <c r="L80" i="60"/>
  <c r="M80" i="60"/>
  <c r="N80" i="60"/>
  <c r="P80" i="60"/>
  <c r="Q80" i="60"/>
  <c r="R80" i="60"/>
  <c r="S80" i="60"/>
  <c r="T80" i="60"/>
  <c r="U80" i="60"/>
  <c r="V80" i="60"/>
  <c r="W80" i="60"/>
  <c r="X80" i="60"/>
  <c r="Y80" i="60"/>
  <c r="Z80" i="60"/>
  <c r="AA80" i="60"/>
  <c r="B81" i="60"/>
  <c r="C81" i="60"/>
  <c r="D81" i="60"/>
  <c r="E81" i="60"/>
  <c r="F81" i="60"/>
  <c r="G81" i="60"/>
  <c r="H81" i="60"/>
  <c r="J81" i="60"/>
  <c r="K81" i="60"/>
  <c r="L81" i="60"/>
  <c r="M81" i="60"/>
  <c r="N81" i="60"/>
  <c r="P81" i="60"/>
  <c r="Q81" i="60"/>
  <c r="R81" i="60"/>
  <c r="S81" i="60"/>
  <c r="T81" i="60"/>
  <c r="U81" i="60"/>
  <c r="V81" i="60"/>
  <c r="W81" i="60"/>
  <c r="X81" i="60"/>
  <c r="Y81" i="60"/>
  <c r="Z81" i="60"/>
  <c r="AA81" i="60"/>
  <c r="B82" i="60"/>
  <c r="C82" i="60"/>
  <c r="D82" i="60"/>
  <c r="E82" i="60"/>
  <c r="F82" i="60"/>
  <c r="G82" i="60"/>
  <c r="H82" i="60"/>
  <c r="J82" i="60"/>
  <c r="K82" i="60"/>
  <c r="L82" i="60"/>
  <c r="M82" i="60"/>
  <c r="N82" i="60"/>
  <c r="P82" i="60"/>
  <c r="Q82" i="60"/>
  <c r="R82" i="60"/>
  <c r="S82" i="60"/>
  <c r="T82" i="60"/>
  <c r="U82" i="60"/>
  <c r="V82" i="60"/>
  <c r="W82" i="60"/>
  <c r="X82" i="60"/>
  <c r="Y82" i="60"/>
  <c r="Z82" i="60"/>
  <c r="AA82" i="60"/>
  <c r="B83" i="60"/>
  <c r="C83" i="60"/>
  <c r="D83" i="60"/>
  <c r="E83" i="60"/>
  <c r="F83" i="60"/>
  <c r="G83" i="60"/>
  <c r="H83" i="60"/>
  <c r="I83" i="60"/>
  <c r="J83" i="60"/>
  <c r="K83" i="60"/>
  <c r="L83" i="60"/>
  <c r="M83" i="60"/>
  <c r="N83" i="60"/>
  <c r="P83" i="60"/>
  <c r="Q83" i="60"/>
  <c r="R83" i="60"/>
  <c r="S83" i="60"/>
  <c r="T83" i="60"/>
  <c r="U83" i="60"/>
  <c r="V83" i="60"/>
  <c r="W83" i="60"/>
  <c r="X83" i="60"/>
  <c r="Y83" i="60"/>
  <c r="Z83" i="60"/>
  <c r="AA83" i="60"/>
  <c r="B84" i="60"/>
  <c r="C84" i="60"/>
  <c r="D84" i="60"/>
  <c r="E84" i="60"/>
  <c r="F84" i="60"/>
  <c r="G84" i="60"/>
  <c r="H84" i="60"/>
  <c r="I84" i="60"/>
  <c r="J84" i="60"/>
  <c r="K84" i="60"/>
  <c r="L84" i="60"/>
  <c r="M84" i="60"/>
  <c r="N84" i="60"/>
  <c r="P84" i="60"/>
  <c r="Q84" i="60"/>
  <c r="R84" i="60"/>
  <c r="S84" i="60"/>
  <c r="T84" i="60"/>
  <c r="U84" i="60"/>
  <c r="V84" i="60"/>
  <c r="W84" i="60"/>
  <c r="X84" i="60"/>
  <c r="Y84" i="60"/>
  <c r="Z84" i="60"/>
  <c r="AA84" i="60"/>
  <c r="B85" i="60"/>
  <c r="C85" i="60"/>
  <c r="D85" i="60"/>
  <c r="E85" i="60"/>
  <c r="F85" i="60"/>
  <c r="G85" i="60"/>
  <c r="H85" i="60"/>
  <c r="I85" i="60"/>
  <c r="J85" i="60"/>
  <c r="K85" i="60"/>
  <c r="L85" i="60"/>
  <c r="M85" i="60"/>
  <c r="N85" i="60"/>
  <c r="P85" i="60"/>
  <c r="Q85" i="60"/>
  <c r="R85" i="60"/>
  <c r="S85" i="60"/>
  <c r="T85" i="60"/>
  <c r="U85" i="60"/>
  <c r="V85" i="60"/>
  <c r="W85" i="60"/>
  <c r="X85" i="60"/>
  <c r="Y85" i="60"/>
  <c r="Z85" i="60"/>
  <c r="AA85" i="60"/>
  <c r="B86" i="60"/>
  <c r="C86" i="60"/>
  <c r="D86" i="60"/>
  <c r="E86" i="60"/>
  <c r="F86" i="60"/>
  <c r="G86" i="60"/>
  <c r="H86" i="60"/>
  <c r="I86" i="60"/>
  <c r="J86" i="60"/>
  <c r="K86" i="60"/>
  <c r="L86" i="60"/>
  <c r="M86" i="60"/>
  <c r="N86" i="60"/>
  <c r="P86" i="60"/>
  <c r="Q86" i="60"/>
  <c r="R86" i="60"/>
  <c r="S86" i="60"/>
  <c r="T86" i="60"/>
  <c r="U86" i="60"/>
  <c r="V86" i="60"/>
  <c r="W86" i="60"/>
  <c r="X86" i="60"/>
  <c r="Y86" i="60"/>
  <c r="Z86" i="60"/>
  <c r="AA86" i="60"/>
  <c r="B87" i="60"/>
  <c r="C87" i="60"/>
  <c r="D87" i="60"/>
  <c r="E87" i="60"/>
  <c r="F87" i="60"/>
  <c r="G87" i="60"/>
  <c r="H87" i="60"/>
  <c r="I87" i="60"/>
  <c r="J87" i="60"/>
  <c r="K87" i="60"/>
  <c r="L87" i="60"/>
  <c r="M87" i="60"/>
  <c r="N87" i="60"/>
  <c r="P87" i="60"/>
  <c r="Q87" i="60"/>
  <c r="R87" i="60"/>
  <c r="S87" i="60"/>
  <c r="T87" i="60"/>
  <c r="U87" i="60"/>
  <c r="V87" i="60"/>
  <c r="W87" i="60"/>
  <c r="X87" i="60"/>
  <c r="Y87" i="60"/>
  <c r="Z87" i="60"/>
  <c r="AA87" i="60"/>
  <c r="B88" i="60"/>
  <c r="C88" i="60"/>
  <c r="D88" i="60"/>
  <c r="E88" i="60"/>
  <c r="F88" i="60"/>
  <c r="G88" i="60"/>
  <c r="H88" i="60"/>
  <c r="I88" i="60"/>
  <c r="J88" i="60"/>
  <c r="K88" i="60"/>
  <c r="L88" i="60"/>
  <c r="M88" i="60"/>
  <c r="N88" i="60"/>
  <c r="P88" i="60"/>
  <c r="Q88" i="60"/>
  <c r="R88" i="60"/>
  <c r="S88" i="60"/>
  <c r="T88" i="60"/>
  <c r="U88" i="60"/>
  <c r="V88" i="60"/>
  <c r="W88" i="60"/>
  <c r="X88" i="60"/>
  <c r="Y88" i="60"/>
  <c r="Z88" i="60"/>
  <c r="AA88" i="60"/>
  <c r="B89" i="60"/>
  <c r="C89" i="60"/>
  <c r="D89" i="60"/>
  <c r="E89" i="60"/>
  <c r="F89" i="60"/>
  <c r="G89" i="60"/>
  <c r="H89" i="60"/>
  <c r="I89" i="60"/>
  <c r="J89" i="60"/>
  <c r="K89" i="60"/>
  <c r="L89" i="60"/>
  <c r="M89" i="60"/>
  <c r="N89" i="60"/>
  <c r="P89" i="60"/>
  <c r="Q89" i="60"/>
  <c r="R89" i="60"/>
  <c r="S89" i="60"/>
  <c r="T89" i="60"/>
  <c r="U89" i="60"/>
  <c r="V89" i="60"/>
  <c r="W89" i="60"/>
  <c r="X89" i="60"/>
  <c r="Y89" i="60"/>
  <c r="Z89" i="60"/>
  <c r="AA89" i="60"/>
  <c r="B90" i="60"/>
  <c r="C90" i="60"/>
  <c r="D90" i="60"/>
  <c r="E90" i="60"/>
  <c r="F90" i="60"/>
  <c r="G90" i="60"/>
  <c r="H90" i="60"/>
  <c r="I90" i="60"/>
  <c r="J90" i="60"/>
  <c r="K90" i="60"/>
  <c r="L90" i="60"/>
  <c r="M90" i="60"/>
  <c r="N90" i="60"/>
  <c r="P90" i="60"/>
  <c r="Q90" i="60"/>
  <c r="R90" i="60"/>
  <c r="S90" i="60"/>
  <c r="T90" i="60"/>
  <c r="U90" i="60"/>
  <c r="V90" i="60"/>
  <c r="W90" i="60"/>
  <c r="X90" i="60"/>
  <c r="Y90" i="60"/>
  <c r="Z90" i="60"/>
  <c r="AA90" i="60"/>
  <c r="B91" i="60"/>
  <c r="C91" i="60"/>
  <c r="D91" i="60"/>
  <c r="E91" i="60"/>
  <c r="F91" i="60"/>
  <c r="G91" i="60"/>
  <c r="H91" i="60"/>
  <c r="J91" i="60"/>
  <c r="K91" i="60"/>
  <c r="L91" i="60"/>
  <c r="M91" i="60"/>
  <c r="N91" i="60"/>
  <c r="P91" i="60"/>
  <c r="Q91" i="60"/>
  <c r="R91" i="60"/>
  <c r="S91" i="60"/>
  <c r="T91" i="60"/>
  <c r="U91" i="60"/>
  <c r="V91" i="60"/>
  <c r="W91" i="60"/>
  <c r="X91" i="60"/>
  <c r="Y91" i="60"/>
  <c r="Z91" i="60"/>
  <c r="AA91" i="60"/>
  <c r="B92" i="60"/>
  <c r="C92" i="60"/>
  <c r="D92" i="60"/>
  <c r="E92" i="60"/>
  <c r="F92" i="60"/>
  <c r="G92" i="60"/>
  <c r="H92" i="60"/>
  <c r="J92" i="60"/>
  <c r="K92" i="60"/>
  <c r="L92" i="60"/>
  <c r="M92" i="60"/>
  <c r="N92" i="60"/>
  <c r="P92" i="60"/>
  <c r="Q92" i="60"/>
  <c r="R92" i="60"/>
  <c r="S92" i="60"/>
  <c r="T92" i="60"/>
  <c r="U92" i="60"/>
  <c r="V92" i="60"/>
  <c r="W92" i="60"/>
  <c r="X92" i="60"/>
  <c r="Y92" i="60"/>
  <c r="Z92" i="60"/>
  <c r="AA92" i="60"/>
  <c r="B93" i="60"/>
  <c r="C93" i="60"/>
  <c r="D93" i="60"/>
  <c r="E93" i="60"/>
  <c r="F93" i="60"/>
  <c r="G93" i="60"/>
  <c r="H93" i="60"/>
  <c r="I93" i="60"/>
  <c r="J93" i="60"/>
  <c r="K93" i="60"/>
  <c r="L93" i="60"/>
  <c r="M93" i="60"/>
  <c r="N93" i="60"/>
  <c r="P93" i="60"/>
  <c r="Q93" i="60"/>
  <c r="R93" i="60"/>
  <c r="S93" i="60"/>
  <c r="T93" i="60"/>
  <c r="U93" i="60"/>
  <c r="V93" i="60"/>
  <c r="W93" i="60"/>
  <c r="X93" i="60"/>
  <c r="Y93" i="60"/>
  <c r="Z93" i="60"/>
  <c r="AA93" i="60"/>
  <c r="B94" i="60"/>
  <c r="C94" i="60"/>
  <c r="D94" i="60"/>
  <c r="E94" i="60"/>
  <c r="F94" i="60"/>
  <c r="G94" i="60"/>
  <c r="H94" i="60"/>
  <c r="I94" i="60"/>
  <c r="J94" i="60"/>
  <c r="K94" i="60"/>
  <c r="L94" i="60"/>
  <c r="M94" i="60"/>
  <c r="N94" i="60"/>
  <c r="P94" i="60"/>
  <c r="Q94" i="60"/>
  <c r="R94" i="60"/>
  <c r="S94" i="60"/>
  <c r="T94" i="60"/>
  <c r="U94" i="60"/>
  <c r="V94" i="60"/>
  <c r="W94" i="60"/>
  <c r="X94" i="60"/>
  <c r="Y94" i="60"/>
  <c r="Z94" i="60"/>
  <c r="AA94" i="60"/>
  <c r="A94" i="60"/>
  <c r="A93" i="60"/>
  <c r="A88" i="60"/>
  <c r="A89" i="60"/>
  <c r="A90" i="60"/>
  <c r="A91" i="60"/>
  <c r="A92" i="60"/>
  <c r="A87" i="60"/>
  <c r="A84" i="60"/>
  <c r="A85" i="60"/>
  <c r="A86" i="60"/>
  <c r="A83" i="60"/>
  <c r="A82" i="60"/>
  <c r="A81" i="60"/>
  <c r="A79" i="60"/>
  <c r="A80" i="60"/>
  <c r="A78" i="60"/>
  <c r="A77" i="60"/>
  <c r="A76" i="60"/>
  <c r="A75" i="60"/>
  <c r="A74" i="60"/>
  <c r="A73" i="60"/>
  <c r="A70" i="60"/>
  <c r="A71" i="60"/>
  <c r="A72" i="60"/>
  <c r="A69" i="60"/>
  <c r="A68" i="60"/>
  <c r="A63" i="60"/>
  <c r="A64" i="60"/>
  <c r="A65" i="60"/>
  <c r="A66" i="60"/>
  <c r="A67" i="60"/>
  <c r="A62" i="60"/>
  <c r="B67" i="59"/>
  <c r="C67" i="59"/>
  <c r="D67" i="59"/>
  <c r="E67" i="59"/>
  <c r="G67" i="59"/>
  <c r="H67" i="59"/>
  <c r="I67" i="59"/>
  <c r="J67" i="59"/>
  <c r="K67" i="59"/>
  <c r="M67" i="59"/>
  <c r="N67" i="59"/>
  <c r="P67" i="59"/>
  <c r="Q67" i="59"/>
  <c r="R67" i="59"/>
  <c r="S67" i="59"/>
  <c r="T67" i="59"/>
  <c r="U67" i="59"/>
  <c r="V67" i="59"/>
  <c r="W67" i="59"/>
  <c r="X67" i="59"/>
  <c r="Y67" i="59"/>
  <c r="Z67" i="59"/>
  <c r="AA67" i="59"/>
  <c r="A67" i="59"/>
  <c r="B53" i="59"/>
  <c r="C53" i="59"/>
  <c r="D53" i="59"/>
  <c r="E53" i="59"/>
  <c r="G53" i="59"/>
  <c r="H53" i="59"/>
  <c r="I53" i="59"/>
  <c r="J53" i="59"/>
  <c r="K53" i="59"/>
  <c r="M53" i="59"/>
  <c r="N53" i="59"/>
  <c r="P53" i="59"/>
  <c r="Q53" i="59"/>
  <c r="R53" i="59"/>
  <c r="S53" i="59"/>
  <c r="T53" i="59"/>
  <c r="U53" i="59"/>
  <c r="V53" i="59"/>
  <c r="W53" i="59"/>
  <c r="X53" i="59"/>
  <c r="Y53" i="59"/>
  <c r="Z53" i="59"/>
  <c r="AA53" i="59"/>
  <c r="B54" i="59"/>
  <c r="C54" i="59"/>
  <c r="D54" i="59"/>
  <c r="E54" i="59"/>
  <c r="G54" i="59"/>
  <c r="H54" i="59"/>
  <c r="J54" i="59"/>
  <c r="K54" i="59"/>
  <c r="M54" i="59"/>
  <c r="N54" i="59"/>
  <c r="P54" i="59"/>
  <c r="Q54" i="59"/>
  <c r="R54" i="59"/>
  <c r="S54" i="59"/>
  <c r="T54" i="59"/>
  <c r="U54" i="59"/>
  <c r="V54" i="59"/>
  <c r="W54" i="59"/>
  <c r="X54" i="59"/>
  <c r="Y54" i="59"/>
  <c r="Z54" i="59"/>
  <c r="AA54" i="59"/>
  <c r="B55" i="59"/>
  <c r="C55" i="59"/>
  <c r="D55" i="59"/>
  <c r="E55" i="59"/>
  <c r="G55" i="59"/>
  <c r="H55" i="59"/>
  <c r="J55" i="59"/>
  <c r="K55" i="59"/>
  <c r="M55" i="59"/>
  <c r="N55" i="59"/>
  <c r="P55" i="59"/>
  <c r="Q55" i="59"/>
  <c r="R55" i="59"/>
  <c r="S55" i="59"/>
  <c r="T55" i="59"/>
  <c r="U55" i="59"/>
  <c r="V55" i="59"/>
  <c r="W55" i="59"/>
  <c r="X55" i="59"/>
  <c r="Y55" i="59"/>
  <c r="Z55" i="59"/>
  <c r="AA55" i="59"/>
  <c r="B56" i="59"/>
  <c r="C56" i="59"/>
  <c r="D56" i="59"/>
  <c r="E56" i="59"/>
  <c r="G56" i="59"/>
  <c r="H56" i="59"/>
  <c r="I56" i="59"/>
  <c r="J56" i="59"/>
  <c r="K56" i="59"/>
  <c r="M56" i="59"/>
  <c r="N56" i="59"/>
  <c r="P56" i="59"/>
  <c r="Q56" i="59"/>
  <c r="R56" i="59"/>
  <c r="S56" i="59"/>
  <c r="T56" i="59"/>
  <c r="U56" i="59"/>
  <c r="V56" i="59"/>
  <c r="W56" i="59"/>
  <c r="X56" i="59"/>
  <c r="Y56" i="59"/>
  <c r="Z56" i="59"/>
  <c r="AA56" i="59"/>
  <c r="B57" i="59"/>
  <c r="C57" i="59"/>
  <c r="D57" i="59"/>
  <c r="E57" i="59"/>
  <c r="G57" i="59"/>
  <c r="H57" i="59"/>
  <c r="I57" i="59"/>
  <c r="J57" i="59"/>
  <c r="K57" i="59"/>
  <c r="M57" i="59"/>
  <c r="N57" i="59"/>
  <c r="P57" i="59"/>
  <c r="Q57" i="59"/>
  <c r="R57" i="59"/>
  <c r="S57" i="59"/>
  <c r="T57" i="59"/>
  <c r="U57" i="59"/>
  <c r="V57" i="59"/>
  <c r="W57" i="59"/>
  <c r="X57" i="59"/>
  <c r="Y57" i="59"/>
  <c r="Z57" i="59"/>
  <c r="AA57" i="59"/>
  <c r="B58" i="59"/>
  <c r="C58" i="59"/>
  <c r="D58" i="59"/>
  <c r="E58" i="59"/>
  <c r="G58" i="59"/>
  <c r="H58" i="59"/>
  <c r="I58" i="59"/>
  <c r="J58" i="59"/>
  <c r="K58" i="59"/>
  <c r="M58" i="59"/>
  <c r="N58" i="59"/>
  <c r="P58" i="59"/>
  <c r="Q58" i="59"/>
  <c r="R58" i="59"/>
  <c r="S58" i="59"/>
  <c r="T58" i="59"/>
  <c r="U58" i="59"/>
  <c r="V58" i="59"/>
  <c r="W58" i="59"/>
  <c r="X58" i="59"/>
  <c r="Y58" i="59"/>
  <c r="Z58" i="59"/>
  <c r="AA58" i="59"/>
  <c r="B59" i="59"/>
  <c r="C59" i="59"/>
  <c r="D59" i="59"/>
  <c r="E59" i="59"/>
  <c r="G59" i="59"/>
  <c r="H59" i="59"/>
  <c r="I59" i="59"/>
  <c r="J59" i="59"/>
  <c r="K59" i="59"/>
  <c r="M59" i="59"/>
  <c r="N59" i="59"/>
  <c r="P59" i="59"/>
  <c r="Q59" i="59"/>
  <c r="R59" i="59"/>
  <c r="S59" i="59"/>
  <c r="T59" i="59"/>
  <c r="U59" i="59"/>
  <c r="V59" i="59"/>
  <c r="W59" i="59"/>
  <c r="X59" i="59"/>
  <c r="Y59" i="59"/>
  <c r="Z59" i="59"/>
  <c r="AA59" i="59"/>
  <c r="B60" i="59"/>
  <c r="C60" i="59"/>
  <c r="D60" i="59"/>
  <c r="E60" i="59"/>
  <c r="G60" i="59"/>
  <c r="H60" i="59"/>
  <c r="J60" i="59"/>
  <c r="K60" i="59"/>
  <c r="M60" i="59"/>
  <c r="N60" i="59"/>
  <c r="P60" i="59"/>
  <c r="Q60" i="59"/>
  <c r="R60" i="59"/>
  <c r="S60" i="59"/>
  <c r="T60" i="59"/>
  <c r="U60" i="59"/>
  <c r="V60" i="59"/>
  <c r="W60" i="59"/>
  <c r="X60" i="59"/>
  <c r="Y60" i="59"/>
  <c r="Z60" i="59"/>
  <c r="AA60" i="59"/>
  <c r="B61" i="59"/>
  <c r="C61" i="59"/>
  <c r="D61" i="59"/>
  <c r="E61" i="59"/>
  <c r="G61" i="59"/>
  <c r="H61" i="59"/>
  <c r="J61" i="59"/>
  <c r="K61" i="59"/>
  <c r="M61" i="59"/>
  <c r="N61" i="59"/>
  <c r="P61" i="59"/>
  <c r="Q61" i="59"/>
  <c r="R61" i="59"/>
  <c r="S61" i="59"/>
  <c r="T61" i="59"/>
  <c r="U61" i="59"/>
  <c r="V61" i="59"/>
  <c r="W61" i="59"/>
  <c r="X61" i="59"/>
  <c r="Y61" i="59"/>
  <c r="Z61" i="59"/>
  <c r="AA61" i="59"/>
  <c r="B62" i="59"/>
  <c r="C62" i="59"/>
  <c r="D62" i="59"/>
  <c r="E62" i="59"/>
  <c r="G62" i="59"/>
  <c r="H62" i="59"/>
  <c r="I62" i="59"/>
  <c r="J62" i="59"/>
  <c r="K62" i="59"/>
  <c r="M62" i="59"/>
  <c r="N62" i="59"/>
  <c r="P62" i="59"/>
  <c r="Q62" i="59"/>
  <c r="R62" i="59"/>
  <c r="S62" i="59"/>
  <c r="T62" i="59"/>
  <c r="U62" i="59"/>
  <c r="V62" i="59"/>
  <c r="W62" i="59"/>
  <c r="X62" i="59"/>
  <c r="Y62" i="59"/>
  <c r="Z62" i="59"/>
  <c r="AA62" i="59"/>
  <c r="B63" i="59"/>
  <c r="C63" i="59"/>
  <c r="D63" i="59"/>
  <c r="E63" i="59"/>
  <c r="G63" i="59"/>
  <c r="H63" i="59"/>
  <c r="I63" i="59"/>
  <c r="J63" i="59"/>
  <c r="K63" i="59"/>
  <c r="M63" i="59"/>
  <c r="N63" i="59"/>
  <c r="P63" i="59"/>
  <c r="Q63" i="59"/>
  <c r="R63" i="59"/>
  <c r="S63" i="59"/>
  <c r="T63" i="59"/>
  <c r="U63" i="59"/>
  <c r="V63" i="59"/>
  <c r="W63" i="59"/>
  <c r="X63" i="59"/>
  <c r="Y63" i="59"/>
  <c r="Z63" i="59"/>
  <c r="AA63" i="59"/>
  <c r="B64" i="59"/>
  <c r="C64" i="59"/>
  <c r="D64" i="59"/>
  <c r="E64" i="59"/>
  <c r="G64" i="59"/>
  <c r="H64" i="59"/>
  <c r="I64" i="59"/>
  <c r="J64" i="59"/>
  <c r="K64" i="59"/>
  <c r="M64" i="59"/>
  <c r="N64" i="59"/>
  <c r="P64" i="59"/>
  <c r="Q64" i="59"/>
  <c r="R64" i="59"/>
  <c r="S64" i="59"/>
  <c r="T64" i="59"/>
  <c r="U64" i="59"/>
  <c r="V64" i="59"/>
  <c r="W64" i="59"/>
  <c r="X64" i="59"/>
  <c r="Y64" i="59"/>
  <c r="Z64" i="59"/>
  <c r="AA64" i="59"/>
  <c r="B65" i="59"/>
  <c r="C65" i="59"/>
  <c r="D65" i="59"/>
  <c r="E65" i="59"/>
  <c r="G65" i="59"/>
  <c r="H65" i="59"/>
  <c r="J65" i="59"/>
  <c r="K65" i="59"/>
  <c r="M65" i="59"/>
  <c r="N65" i="59"/>
  <c r="P65" i="59"/>
  <c r="Q65" i="59"/>
  <c r="R65" i="59"/>
  <c r="S65" i="59"/>
  <c r="T65" i="59"/>
  <c r="U65" i="59"/>
  <c r="V65" i="59"/>
  <c r="W65" i="59"/>
  <c r="X65" i="59"/>
  <c r="Y65" i="59"/>
  <c r="Z65" i="59"/>
  <c r="AA65" i="59"/>
  <c r="B66" i="59"/>
  <c r="C66" i="59"/>
  <c r="D66" i="59"/>
  <c r="E66" i="59"/>
  <c r="G66" i="59"/>
  <c r="H66" i="59"/>
  <c r="I66" i="59"/>
  <c r="J66" i="59"/>
  <c r="K66" i="59"/>
  <c r="M66" i="59"/>
  <c r="N66" i="59"/>
  <c r="P66" i="59"/>
  <c r="Q66" i="59"/>
  <c r="R66" i="59"/>
  <c r="S66" i="59"/>
  <c r="T66" i="59"/>
  <c r="U66" i="59"/>
  <c r="V66" i="59"/>
  <c r="W66" i="59"/>
  <c r="X66" i="59"/>
  <c r="Y66" i="59"/>
  <c r="Z66" i="59"/>
  <c r="AA66" i="59"/>
  <c r="B68" i="59"/>
  <c r="C68" i="59"/>
  <c r="D68" i="59"/>
  <c r="E68" i="59"/>
  <c r="G68" i="59"/>
  <c r="H68" i="59"/>
  <c r="I68" i="59"/>
  <c r="J68" i="59"/>
  <c r="K68" i="59"/>
  <c r="M68" i="59"/>
  <c r="N68" i="59"/>
  <c r="P68" i="59"/>
  <c r="Q68" i="59"/>
  <c r="R68" i="59"/>
  <c r="S68" i="59"/>
  <c r="T68" i="59"/>
  <c r="U68" i="59"/>
  <c r="V68" i="59"/>
  <c r="W68" i="59"/>
  <c r="X68" i="59"/>
  <c r="Y68" i="59"/>
  <c r="Z68" i="59"/>
  <c r="AA68" i="59"/>
  <c r="B69" i="59"/>
  <c r="C69" i="59"/>
  <c r="D69" i="59"/>
  <c r="E69" i="59"/>
  <c r="G69" i="59"/>
  <c r="H69" i="59"/>
  <c r="J69" i="59"/>
  <c r="K69" i="59"/>
  <c r="M69" i="59"/>
  <c r="N69" i="59"/>
  <c r="P69" i="59"/>
  <c r="Q69" i="59"/>
  <c r="R69" i="59"/>
  <c r="S69" i="59"/>
  <c r="T69" i="59"/>
  <c r="U69" i="59"/>
  <c r="V69" i="59"/>
  <c r="W69" i="59"/>
  <c r="X69" i="59"/>
  <c r="Y69" i="59"/>
  <c r="Z69" i="59"/>
  <c r="AA69" i="59"/>
  <c r="B70" i="59"/>
  <c r="C70" i="59"/>
  <c r="D70" i="59"/>
  <c r="E70" i="59"/>
  <c r="G70" i="59"/>
  <c r="H70" i="59"/>
  <c r="J70" i="59"/>
  <c r="K70" i="59"/>
  <c r="M70" i="59"/>
  <c r="N70" i="59"/>
  <c r="P70" i="59"/>
  <c r="Q70" i="59"/>
  <c r="R70" i="59"/>
  <c r="S70" i="59"/>
  <c r="T70" i="59"/>
  <c r="U70" i="59"/>
  <c r="V70" i="59"/>
  <c r="W70" i="59"/>
  <c r="X70" i="59"/>
  <c r="Y70" i="59"/>
  <c r="Z70" i="59"/>
  <c r="AA70" i="59"/>
  <c r="B71" i="59"/>
  <c r="C71" i="59"/>
  <c r="D71" i="59"/>
  <c r="E71" i="59"/>
  <c r="G71" i="59"/>
  <c r="H71" i="59"/>
  <c r="J71" i="59"/>
  <c r="K71" i="59"/>
  <c r="M71" i="59"/>
  <c r="N71" i="59"/>
  <c r="P71" i="59"/>
  <c r="Q71" i="59"/>
  <c r="R71" i="59"/>
  <c r="S71" i="59"/>
  <c r="T71" i="59"/>
  <c r="U71" i="59"/>
  <c r="V71" i="59"/>
  <c r="W71" i="59"/>
  <c r="X71" i="59"/>
  <c r="Y71" i="59"/>
  <c r="Z71" i="59"/>
  <c r="AA71" i="59"/>
  <c r="B72" i="59"/>
  <c r="C72" i="59"/>
  <c r="D72" i="59"/>
  <c r="E72" i="59"/>
  <c r="G72" i="59"/>
  <c r="H72" i="59"/>
  <c r="I72" i="59"/>
  <c r="J72" i="59"/>
  <c r="K72" i="59"/>
  <c r="M72" i="59"/>
  <c r="N72" i="59"/>
  <c r="P72" i="59"/>
  <c r="Q72" i="59"/>
  <c r="R72" i="59"/>
  <c r="S72" i="59"/>
  <c r="T72" i="59"/>
  <c r="U72" i="59"/>
  <c r="V72" i="59"/>
  <c r="W72" i="59"/>
  <c r="X72" i="59"/>
  <c r="Y72" i="59"/>
  <c r="Z72" i="59"/>
  <c r="AA72" i="59"/>
  <c r="B73" i="59"/>
  <c r="C73" i="59"/>
  <c r="D73" i="59"/>
  <c r="E73" i="59"/>
  <c r="G73" i="59"/>
  <c r="H73" i="59"/>
  <c r="I73" i="59"/>
  <c r="J73" i="59"/>
  <c r="K73" i="59"/>
  <c r="M73" i="59"/>
  <c r="N73" i="59"/>
  <c r="P73" i="59"/>
  <c r="Q73" i="59"/>
  <c r="R73" i="59"/>
  <c r="S73" i="59"/>
  <c r="T73" i="59"/>
  <c r="U73" i="59"/>
  <c r="V73" i="59"/>
  <c r="W73" i="59"/>
  <c r="X73" i="59"/>
  <c r="Y73" i="59"/>
  <c r="Z73" i="59"/>
  <c r="AA73" i="59"/>
  <c r="B74" i="59"/>
  <c r="C74" i="59"/>
  <c r="D74" i="59"/>
  <c r="E74" i="59"/>
  <c r="G74" i="59"/>
  <c r="H74" i="59"/>
  <c r="I74" i="59"/>
  <c r="J74" i="59"/>
  <c r="K74" i="59"/>
  <c r="M74" i="59"/>
  <c r="N74" i="59"/>
  <c r="P74" i="59"/>
  <c r="Q74" i="59"/>
  <c r="R74" i="59"/>
  <c r="S74" i="59"/>
  <c r="T74" i="59"/>
  <c r="U74" i="59"/>
  <c r="V74" i="59"/>
  <c r="W74" i="59"/>
  <c r="X74" i="59"/>
  <c r="Y74" i="59"/>
  <c r="Z74" i="59"/>
  <c r="AA74" i="59"/>
  <c r="B75" i="59"/>
  <c r="C75" i="59"/>
  <c r="D75" i="59"/>
  <c r="E75" i="59"/>
  <c r="G75" i="59"/>
  <c r="H75" i="59"/>
  <c r="I75" i="59"/>
  <c r="J75" i="59"/>
  <c r="K75" i="59"/>
  <c r="M75" i="59"/>
  <c r="N75" i="59"/>
  <c r="P75" i="59"/>
  <c r="Q75" i="59"/>
  <c r="R75" i="59"/>
  <c r="S75" i="59"/>
  <c r="T75" i="59"/>
  <c r="U75" i="59"/>
  <c r="V75" i="59"/>
  <c r="W75" i="59"/>
  <c r="X75" i="59"/>
  <c r="Y75" i="59"/>
  <c r="Z75" i="59"/>
  <c r="AA75" i="59"/>
  <c r="B76" i="59"/>
  <c r="C76" i="59"/>
  <c r="D76" i="59"/>
  <c r="E76" i="59"/>
  <c r="G76" i="59"/>
  <c r="H76" i="59"/>
  <c r="J76" i="59"/>
  <c r="K76" i="59"/>
  <c r="M76" i="59"/>
  <c r="N76" i="59"/>
  <c r="P76" i="59"/>
  <c r="Q76" i="59"/>
  <c r="R76" i="59"/>
  <c r="S76" i="59"/>
  <c r="T76" i="59"/>
  <c r="U76" i="59"/>
  <c r="V76" i="59"/>
  <c r="W76" i="59"/>
  <c r="X76" i="59"/>
  <c r="Y76" i="59"/>
  <c r="Z76" i="59"/>
  <c r="AA76" i="59"/>
  <c r="B77" i="59"/>
  <c r="C77" i="59"/>
  <c r="D77" i="59"/>
  <c r="E77" i="59"/>
  <c r="G77" i="59"/>
  <c r="H77" i="59"/>
  <c r="I77" i="59"/>
  <c r="J77" i="59"/>
  <c r="K77" i="59"/>
  <c r="M77" i="59"/>
  <c r="N77" i="59"/>
  <c r="P77" i="59"/>
  <c r="Q77" i="59"/>
  <c r="R77" i="59"/>
  <c r="S77" i="59"/>
  <c r="T77" i="59"/>
  <c r="U77" i="59"/>
  <c r="V77" i="59"/>
  <c r="W77" i="59"/>
  <c r="X77" i="59"/>
  <c r="Y77" i="59"/>
  <c r="Z77" i="59"/>
  <c r="AA77" i="59"/>
  <c r="B78" i="59"/>
  <c r="C78" i="59"/>
  <c r="D78" i="59"/>
  <c r="E78" i="59"/>
  <c r="G78" i="59"/>
  <c r="H78" i="59"/>
  <c r="I78" i="59"/>
  <c r="J78" i="59"/>
  <c r="K78" i="59"/>
  <c r="M78" i="59"/>
  <c r="N78" i="59"/>
  <c r="P78" i="59"/>
  <c r="Q78" i="59"/>
  <c r="R78" i="59"/>
  <c r="S78" i="59"/>
  <c r="T78" i="59"/>
  <c r="U78" i="59"/>
  <c r="V78" i="59"/>
  <c r="W78" i="59"/>
  <c r="X78" i="59"/>
  <c r="Y78" i="59"/>
  <c r="Z78" i="59"/>
  <c r="AA78" i="59"/>
  <c r="A78" i="59"/>
  <c r="A77" i="59"/>
  <c r="A73" i="59"/>
  <c r="A74" i="59"/>
  <c r="A75" i="59"/>
  <c r="A76" i="59"/>
  <c r="A72" i="59"/>
  <c r="A71" i="59"/>
  <c r="A70" i="59"/>
  <c r="A69" i="59"/>
  <c r="A68" i="59"/>
  <c r="A66" i="59"/>
  <c r="A63" i="59"/>
  <c r="A64" i="59"/>
  <c r="A65" i="59"/>
  <c r="A62" i="59"/>
  <c r="A54" i="59"/>
  <c r="A55" i="59"/>
  <c r="A56" i="59"/>
  <c r="A57" i="59"/>
  <c r="A58" i="59"/>
  <c r="A59" i="59"/>
  <c r="A60" i="59"/>
  <c r="A61" i="59"/>
  <c r="A53" i="59"/>
  <c r="B71" i="58"/>
  <c r="C71" i="58"/>
  <c r="D71" i="58"/>
  <c r="E71" i="58"/>
  <c r="F71" i="58"/>
  <c r="G71" i="58"/>
  <c r="H71" i="58"/>
  <c r="I71" i="58"/>
  <c r="J71" i="58"/>
  <c r="K71" i="58"/>
  <c r="L71" i="58"/>
  <c r="M71" i="58"/>
  <c r="N71" i="58"/>
  <c r="P71" i="58"/>
  <c r="Q71" i="58"/>
  <c r="R71" i="58"/>
  <c r="S71" i="58"/>
  <c r="T71" i="58"/>
  <c r="U71" i="58"/>
  <c r="V71" i="58"/>
  <c r="W71" i="58"/>
  <c r="X71" i="58"/>
  <c r="Y71" i="58"/>
  <c r="Z71" i="58"/>
  <c r="AA71" i="58"/>
  <c r="B72" i="58"/>
  <c r="C72" i="58"/>
  <c r="D72" i="58"/>
  <c r="E72" i="58"/>
  <c r="F72" i="58"/>
  <c r="G72" i="58"/>
  <c r="H72" i="58"/>
  <c r="I72" i="58"/>
  <c r="J72" i="58"/>
  <c r="K72" i="58"/>
  <c r="L72" i="58"/>
  <c r="M72" i="58"/>
  <c r="N72" i="58"/>
  <c r="P72" i="58"/>
  <c r="Q72" i="58"/>
  <c r="R72" i="58"/>
  <c r="S72" i="58"/>
  <c r="T72" i="58"/>
  <c r="U72" i="58"/>
  <c r="V72" i="58"/>
  <c r="W72" i="58"/>
  <c r="X72" i="58"/>
  <c r="Y72" i="58"/>
  <c r="Z72" i="58"/>
  <c r="AA72" i="58"/>
  <c r="B73" i="58"/>
  <c r="C73" i="58"/>
  <c r="D73" i="58"/>
  <c r="E73" i="58"/>
  <c r="F73" i="58"/>
  <c r="G73" i="58"/>
  <c r="H73" i="58"/>
  <c r="I73" i="58"/>
  <c r="J73" i="58"/>
  <c r="K73" i="58"/>
  <c r="L73" i="58"/>
  <c r="M73" i="58"/>
  <c r="N73" i="58"/>
  <c r="P73" i="58"/>
  <c r="Q73" i="58"/>
  <c r="R73" i="58"/>
  <c r="S73" i="58"/>
  <c r="T73" i="58"/>
  <c r="U73" i="58"/>
  <c r="V73" i="58"/>
  <c r="W73" i="58"/>
  <c r="X73" i="58"/>
  <c r="Y73" i="58"/>
  <c r="Z73" i="58"/>
  <c r="AA73" i="58"/>
  <c r="B74" i="58"/>
  <c r="C74" i="58"/>
  <c r="D74" i="58"/>
  <c r="E74" i="58"/>
  <c r="F74" i="58"/>
  <c r="G74" i="58"/>
  <c r="H74" i="58"/>
  <c r="I74" i="58"/>
  <c r="J74" i="58"/>
  <c r="K74" i="58"/>
  <c r="L74" i="58"/>
  <c r="M74" i="58"/>
  <c r="N74" i="58"/>
  <c r="P74" i="58"/>
  <c r="Q74" i="58"/>
  <c r="R74" i="58"/>
  <c r="S74" i="58"/>
  <c r="T74" i="58"/>
  <c r="U74" i="58"/>
  <c r="V74" i="58"/>
  <c r="W74" i="58"/>
  <c r="X74" i="58"/>
  <c r="Y74" i="58"/>
  <c r="Z74" i="58"/>
  <c r="AA74" i="58"/>
  <c r="B75" i="58"/>
  <c r="C75" i="58"/>
  <c r="D75" i="58"/>
  <c r="E75" i="58"/>
  <c r="F75" i="58"/>
  <c r="G75" i="58"/>
  <c r="H75" i="58"/>
  <c r="J75" i="58"/>
  <c r="K75" i="58"/>
  <c r="L75" i="58"/>
  <c r="M75" i="58"/>
  <c r="N75" i="58"/>
  <c r="P75" i="58"/>
  <c r="Q75" i="58"/>
  <c r="R75" i="58"/>
  <c r="S75" i="58"/>
  <c r="T75" i="58"/>
  <c r="U75" i="58"/>
  <c r="V75" i="58"/>
  <c r="W75" i="58"/>
  <c r="X75" i="58"/>
  <c r="Y75" i="58"/>
  <c r="Z75" i="58"/>
  <c r="AA75" i="58"/>
  <c r="B76" i="58"/>
  <c r="C76" i="58"/>
  <c r="D76" i="58"/>
  <c r="E76" i="58"/>
  <c r="F76" i="58"/>
  <c r="G76" i="58"/>
  <c r="H76" i="58"/>
  <c r="J76" i="58"/>
  <c r="K76" i="58"/>
  <c r="L76" i="58"/>
  <c r="M76" i="58"/>
  <c r="N76" i="58"/>
  <c r="P76" i="58"/>
  <c r="Q76" i="58"/>
  <c r="R76" i="58"/>
  <c r="S76" i="58"/>
  <c r="T76" i="58"/>
  <c r="U76" i="58"/>
  <c r="V76" i="58"/>
  <c r="W76" i="58"/>
  <c r="X76" i="58"/>
  <c r="Y76" i="58"/>
  <c r="Z76" i="58"/>
  <c r="AA76" i="58"/>
  <c r="B77" i="58"/>
  <c r="C77" i="58"/>
  <c r="D77" i="58"/>
  <c r="E77" i="58"/>
  <c r="F77" i="58"/>
  <c r="G77" i="58"/>
  <c r="H77" i="58"/>
  <c r="J77" i="58"/>
  <c r="K77" i="58"/>
  <c r="L77" i="58"/>
  <c r="M77" i="58"/>
  <c r="N77" i="58"/>
  <c r="P77" i="58"/>
  <c r="Q77" i="58"/>
  <c r="R77" i="58"/>
  <c r="S77" i="58"/>
  <c r="T77" i="58"/>
  <c r="U77" i="58"/>
  <c r="V77" i="58"/>
  <c r="W77" i="58"/>
  <c r="X77" i="58"/>
  <c r="Y77" i="58"/>
  <c r="Z77" i="58"/>
  <c r="AA77" i="58"/>
  <c r="B78" i="58"/>
  <c r="C78" i="58"/>
  <c r="D78" i="58"/>
  <c r="E78" i="58"/>
  <c r="F78" i="58"/>
  <c r="G78" i="58"/>
  <c r="H78" i="58"/>
  <c r="I78" i="58"/>
  <c r="J78" i="58"/>
  <c r="K78" i="58"/>
  <c r="L78" i="58"/>
  <c r="M78" i="58"/>
  <c r="N78" i="58"/>
  <c r="P78" i="58"/>
  <c r="Q78" i="58"/>
  <c r="R78" i="58"/>
  <c r="S78" i="58"/>
  <c r="T78" i="58"/>
  <c r="U78" i="58"/>
  <c r="V78" i="58"/>
  <c r="W78" i="58"/>
  <c r="X78" i="58"/>
  <c r="Y78" i="58"/>
  <c r="Z78" i="58"/>
  <c r="AA78" i="58"/>
  <c r="B79" i="58"/>
  <c r="C79" i="58"/>
  <c r="D79" i="58"/>
  <c r="E79" i="58"/>
  <c r="F79" i="58"/>
  <c r="G79" i="58"/>
  <c r="H79" i="58"/>
  <c r="I79" i="58"/>
  <c r="J79" i="58"/>
  <c r="K79" i="58"/>
  <c r="L79" i="58"/>
  <c r="M79" i="58"/>
  <c r="N79" i="58"/>
  <c r="P79" i="58"/>
  <c r="Q79" i="58"/>
  <c r="R79" i="58"/>
  <c r="S79" i="58"/>
  <c r="T79" i="58"/>
  <c r="U79" i="58"/>
  <c r="V79" i="58"/>
  <c r="W79" i="58"/>
  <c r="X79" i="58"/>
  <c r="Y79" i="58"/>
  <c r="Z79" i="58"/>
  <c r="AA79" i="58"/>
  <c r="B80" i="58"/>
  <c r="C80" i="58"/>
  <c r="D80" i="58"/>
  <c r="E80" i="58"/>
  <c r="F80" i="58"/>
  <c r="G80" i="58"/>
  <c r="H80" i="58"/>
  <c r="I80" i="58"/>
  <c r="J80" i="58"/>
  <c r="K80" i="58"/>
  <c r="L80" i="58"/>
  <c r="M80" i="58"/>
  <c r="N80" i="58"/>
  <c r="P80" i="58"/>
  <c r="Q80" i="58"/>
  <c r="R80" i="58"/>
  <c r="S80" i="58"/>
  <c r="T80" i="58"/>
  <c r="U80" i="58"/>
  <c r="V80" i="58"/>
  <c r="W80" i="58"/>
  <c r="X80" i="58"/>
  <c r="Y80" i="58"/>
  <c r="Z80" i="58"/>
  <c r="AA80" i="58"/>
  <c r="B81" i="58"/>
  <c r="C81" i="58"/>
  <c r="D81" i="58"/>
  <c r="E81" i="58"/>
  <c r="F81" i="58"/>
  <c r="G81" i="58"/>
  <c r="H81" i="58"/>
  <c r="I81" i="58"/>
  <c r="J81" i="58"/>
  <c r="K81" i="58"/>
  <c r="L81" i="58"/>
  <c r="M81" i="58"/>
  <c r="N81" i="58"/>
  <c r="P81" i="58"/>
  <c r="Q81" i="58"/>
  <c r="R81" i="58"/>
  <c r="S81" i="58"/>
  <c r="T81" i="58"/>
  <c r="U81" i="58"/>
  <c r="V81" i="58"/>
  <c r="W81" i="58"/>
  <c r="X81" i="58"/>
  <c r="Y81" i="58"/>
  <c r="Z81" i="58"/>
  <c r="AA81" i="58"/>
  <c r="B82" i="58"/>
  <c r="C82" i="58"/>
  <c r="D82" i="58"/>
  <c r="E82" i="58"/>
  <c r="F82" i="58"/>
  <c r="G82" i="58"/>
  <c r="H82" i="58"/>
  <c r="I82" i="58"/>
  <c r="J82" i="58"/>
  <c r="K82" i="58"/>
  <c r="L82" i="58"/>
  <c r="M82" i="58"/>
  <c r="N82" i="58"/>
  <c r="P82" i="58"/>
  <c r="Q82" i="58"/>
  <c r="R82" i="58"/>
  <c r="S82" i="58"/>
  <c r="T82" i="58"/>
  <c r="U82" i="58"/>
  <c r="V82" i="58"/>
  <c r="W82" i="58"/>
  <c r="X82" i="58"/>
  <c r="Y82" i="58"/>
  <c r="Z82" i="58"/>
  <c r="AA82" i="58"/>
  <c r="B83" i="58"/>
  <c r="C83" i="58"/>
  <c r="D83" i="58"/>
  <c r="E83" i="58"/>
  <c r="F83" i="58"/>
  <c r="G83" i="58"/>
  <c r="H83" i="58"/>
  <c r="I83" i="58"/>
  <c r="J83" i="58"/>
  <c r="K83" i="58"/>
  <c r="L83" i="58"/>
  <c r="M83" i="58"/>
  <c r="N83" i="58"/>
  <c r="P83" i="58"/>
  <c r="Q83" i="58"/>
  <c r="R83" i="58"/>
  <c r="S83" i="58"/>
  <c r="T83" i="58"/>
  <c r="U83" i="58"/>
  <c r="V83" i="58"/>
  <c r="W83" i="58"/>
  <c r="X83" i="58"/>
  <c r="Y83" i="58"/>
  <c r="Z83" i="58"/>
  <c r="AA83" i="58"/>
  <c r="B84" i="58"/>
  <c r="C84" i="58"/>
  <c r="D84" i="58"/>
  <c r="E84" i="58"/>
  <c r="F84" i="58"/>
  <c r="G84" i="58"/>
  <c r="H84" i="58"/>
  <c r="I84" i="58"/>
  <c r="J84" i="58"/>
  <c r="K84" i="58"/>
  <c r="L84" i="58"/>
  <c r="M84" i="58"/>
  <c r="N84" i="58"/>
  <c r="P84" i="58"/>
  <c r="Q84" i="58"/>
  <c r="R84" i="58"/>
  <c r="S84" i="58"/>
  <c r="T84" i="58"/>
  <c r="U84" i="58"/>
  <c r="V84" i="58"/>
  <c r="W84" i="58"/>
  <c r="X84" i="58"/>
  <c r="Y84" i="58"/>
  <c r="Z84" i="58"/>
  <c r="AA84" i="58"/>
  <c r="B85" i="58"/>
  <c r="C85" i="58"/>
  <c r="D85" i="58"/>
  <c r="E85" i="58"/>
  <c r="F85" i="58"/>
  <c r="G85" i="58"/>
  <c r="H85" i="58"/>
  <c r="I85" i="58"/>
  <c r="J85" i="58"/>
  <c r="K85" i="58"/>
  <c r="L85" i="58"/>
  <c r="M85" i="58"/>
  <c r="N85" i="58"/>
  <c r="P85" i="58"/>
  <c r="Q85" i="58"/>
  <c r="R85" i="58"/>
  <c r="S85" i="58"/>
  <c r="T85" i="58"/>
  <c r="U85" i="58"/>
  <c r="V85" i="58"/>
  <c r="W85" i="58"/>
  <c r="X85" i="58"/>
  <c r="Y85" i="58"/>
  <c r="Z85" i="58"/>
  <c r="AA85" i="58"/>
  <c r="B86" i="58"/>
  <c r="C86" i="58"/>
  <c r="D86" i="58"/>
  <c r="E86" i="58"/>
  <c r="F86" i="58"/>
  <c r="G86" i="58"/>
  <c r="H86" i="58"/>
  <c r="J86" i="58"/>
  <c r="K86" i="58"/>
  <c r="L86" i="58"/>
  <c r="M86" i="58"/>
  <c r="N86" i="58"/>
  <c r="P86" i="58"/>
  <c r="Q86" i="58"/>
  <c r="R86" i="58"/>
  <c r="S86" i="58"/>
  <c r="T86" i="58"/>
  <c r="U86" i="58"/>
  <c r="V86" i="58"/>
  <c r="W86" i="58"/>
  <c r="X86" i="58"/>
  <c r="Y86" i="58"/>
  <c r="Z86" i="58"/>
  <c r="AA86" i="58"/>
  <c r="B87" i="58"/>
  <c r="C87" i="58"/>
  <c r="D87" i="58"/>
  <c r="E87" i="58"/>
  <c r="F87" i="58"/>
  <c r="G87" i="58"/>
  <c r="H87" i="58"/>
  <c r="J87" i="58"/>
  <c r="K87" i="58"/>
  <c r="L87" i="58"/>
  <c r="M87" i="58"/>
  <c r="N87" i="58"/>
  <c r="P87" i="58"/>
  <c r="Q87" i="58"/>
  <c r="R87" i="58"/>
  <c r="S87" i="58"/>
  <c r="T87" i="58"/>
  <c r="U87" i="58"/>
  <c r="V87" i="58"/>
  <c r="W87" i="58"/>
  <c r="X87" i="58"/>
  <c r="Y87" i="58"/>
  <c r="Z87" i="58"/>
  <c r="AA87" i="58"/>
  <c r="B88" i="58"/>
  <c r="C88" i="58"/>
  <c r="D88" i="58"/>
  <c r="E88" i="58"/>
  <c r="F88" i="58"/>
  <c r="G88" i="58"/>
  <c r="H88" i="58"/>
  <c r="I88" i="58"/>
  <c r="J88" i="58"/>
  <c r="K88" i="58"/>
  <c r="L88" i="58"/>
  <c r="M88" i="58"/>
  <c r="N88" i="58"/>
  <c r="P88" i="58"/>
  <c r="Q88" i="58"/>
  <c r="R88" i="58"/>
  <c r="S88" i="58"/>
  <c r="T88" i="58"/>
  <c r="U88" i="58"/>
  <c r="V88" i="58"/>
  <c r="W88" i="58"/>
  <c r="X88" i="58"/>
  <c r="Y88" i="58"/>
  <c r="Z88" i="58"/>
  <c r="AA88" i="58"/>
  <c r="B89" i="58"/>
  <c r="C89" i="58"/>
  <c r="D89" i="58"/>
  <c r="E89" i="58"/>
  <c r="F89" i="58"/>
  <c r="G89" i="58"/>
  <c r="H89" i="58"/>
  <c r="J89" i="58"/>
  <c r="K89" i="58"/>
  <c r="L89" i="58"/>
  <c r="M89" i="58"/>
  <c r="N89" i="58"/>
  <c r="P89" i="58"/>
  <c r="Q89" i="58"/>
  <c r="R89" i="58"/>
  <c r="S89" i="58"/>
  <c r="T89" i="58"/>
  <c r="U89" i="58"/>
  <c r="V89" i="58"/>
  <c r="W89" i="58"/>
  <c r="X89" i="58"/>
  <c r="Y89" i="58"/>
  <c r="Z89" i="58"/>
  <c r="AA89" i="58"/>
  <c r="B90" i="58"/>
  <c r="C90" i="58"/>
  <c r="D90" i="58"/>
  <c r="E90" i="58"/>
  <c r="F90" i="58"/>
  <c r="G90" i="58"/>
  <c r="H90" i="58"/>
  <c r="J90" i="58"/>
  <c r="K90" i="58"/>
  <c r="L90" i="58"/>
  <c r="M90" i="58"/>
  <c r="N90" i="58"/>
  <c r="P90" i="58"/>
  <c r="Q90" i="58"/>
  <c r="R90" i="58"/>
  <c r="S90" i="58"/>
  <c r="T90" i="58"/>
  <c r="U90" i="58"/>
  <c r="V90" i="58"/>
  <c r="W90" i="58"/>
  <c r="X90" i="58"/>
  <c r="Y90" i="58"/>
  <c r="Z90" i="58"/>
  <c r="AA90" i="58"/>
  <c r="B91" i="58"/>
  <c r="C91" i="58"/>
  <c r="D91" i="58"/>
  <c r="E91" i="58"/>
  <c r="F91" i="58"/>
  <c r="G91" i="58"/>
  <c r="H91" i="58"/>
  <c r="I91" i="58"/>
  <c r="J91" i="58"/>
  <c r="K91" i="58"/>
  <c r="L91" i="58"/>
  <c r="M91" i="58"/>
  <c r="N91" i="58"/>
  <c r="P91" i="58"/>
  <c r="Q91" i="58"/>
  <c r="R91" i="58"/>
  <c r="S91" i="58"/>
  <c r="T91" i="58"/>
  <c r="U91" i="58"/>
  <c r="V91" i="58"/>
  <c r="W91" i="58"/>
  <c r="X91" i="58"/>
  <c r="Y91" i="58"/>
  <c r="Z91" i="58"/>
  <c r="AA91" i="58"/>
  <c r="B92" i="58"/>
  <c r="C92" i="58"/>
  <c r="D92" i="58"/>
  <c r="E92" i="58"/>
  <c r="F92" i="58"/>
  <c r="G92" i="58"/>
  <c r="H92" i="58"/>
  <c r="I92" i="58"/>
  <c r="J92" i="58"/>
  <c r="K92" i="58"/>
  <c r="L92" i="58"/>
  <c r="M92" i="58"/>
  <c r="N92" i="58"/>
  <c r="P92" i="58"/>
  <c r="Q92" i="58"/>
  <c r="R92" i="58"/>
  <c r="S92" i="58"/>
  <c r="T92" i="58"/>
  <c r="U92" i="58"/>
  <c r="V92" i="58"/>
  <c r="W92" i="58"/>
  <c r="X92" i="58"/>
  <c r="Y92" i="58"/>
  <c r="Z92" i="58"/>
  <c r="AA92" i="58"/>
  <c r="B93" i="58"/>
  <c r="C93" i="58"/>
  <c r="D93" i="58"/>
  <c r="E93" i="58"/>
  <c r="F93" i="58"/>
  <c r="G93" i="58"/>
  <c r="H93" i="58"/>
  <c r="I93" i="58"/>
  <c r="J93" i="58"/>
  <c r="K93" i="58"/>
  <c r="L93" i="58"/>
  <c r="M93" i="58"/>
  <c r="N93" i="58"/>
  <c r="P93" i="58"/>
  <c r="Q93" i="58"/>
  <c r="R93" i="58"/>
  <c r="S93" i="58"/>
  <c r="T93" i="58"/>
  <c r="U93" i="58"/>
  <c r="V93" i="58"/>
  <c r="W93" i="58"/>
  <c r="X93" i="58"/>
  <c r="Y93" i="58"/>
  <c r="Z93" i="58"/>
  <c r="AA93" i="58"/>
  <c r="B94" i="58"/>
  <c r="C94" i="58"/>
  <c r="D94" i="58"/>
  <c r="E94" i="58"/>
  <c r="F94" i="58"/>
  <c r="G94" i="58"/>
  <c r="H94" i="58"/>
  <c r="I94" i="58"/>
  <c r="J94" i="58"/>
  <c r="K94" i="58"/>
  <c r="L94" i="58"/>
  <c r="M94" i="58"/>
  <c r="N94" i="58"/>
  <c r="P94" i="58"/>
  <c r="Q94" i="58"/>
  <c r="R94" i="58"/>
  <c r="S94" i="58"/>
  <c r="T94" i="58"/>
  <c r="U94" i="58"/>
  <c r="V94" i="58"/>
  <c r="W94" i="58"/>
  <c r="X94" i="58"/>
  <c r="Y94" i="58"/>
  <c r="Z94" i="58"/>
  <c r="AA94" i="58"/>
  <c r="B95" i="58"/>
  <c r="C95" i="58"/>
  <c r="D95" i="58"/>
  <c r="E95" i="58"/>
  <c r="F95" i="58"/>
  <c r="G95" i="58"/>
  <c r="H95" i="58"/>
  <c r="I95" i="58"/>
  <c r="J95" i="58"/>
  <c r="K95" i="58"/>
  <c r="L95" i="58"/>
  <c r="M95" i="58"/>
  <c r="N95" i="58"/>
  <c r="P95" i="58"/>
  <c r="Q95" i="58"/>
  <c r="R95" i="58"/>
  <c r="S95" i="58"/>
  <c r="T95" i="58"/>
  <c r="U95" i="58"/>
  <c r="V95" i="58"/>
  <c r="W95" i="58"/>
  <c r="X95" i="58"/>
  <c r="Y95" i="58"/>
  <c r="Z95" i="58"/>
  <c r="AA95" i="58"/>
  <c r="B96" i="58"/>
  <c r="C96" i="58"/>
  <c r="D96" i="58"/>
  <c r="E96" i="58"/>
  <c r="F96" i="58"/>
  <c r="G96" i="58"/>
  <c r="H96" i="58"/>
  <c r="I96" i="58"/>
  <c r="J96" i="58"/>
  <c r="K96" i="58"/>
  <c r="L96" i="58"/>
  <c r="M96" i="58"/>
  <c r="N96" i="58"/>
  <c r="P96" i="58"/>
  <c r="Q96" i="58"/>
  <c r="R96" i="58"/>
  <c r="S96" i="58"/>
  <c r="T96" i="58"/>
  <c r="U96" i="58"/>
  <c r="V96" i="58"/>
  <c r="W96" i="58"/>
  <c r="X96" i="58"/>
  <c r="Y96" i="58"/>
  <c r="Z96" i="58"/>
  <c r="AA96" i="58"/>
  <c r="B97" i="58"/>
  <c r="C97" i="58"/>
  <c r="D97" i="58"/>
  <c r="E97" i="58"/>
  <c r="F97" i="58"/>
  <c r="G97" i="58"/>
  <c r="H97" i="58"/>
  <c r="I97" i="58"/>
  <c r="J97" i="58"/>
  <c r="K97" i="58"/>
  <c r="L97" i="58"/>
  <c r="M97" i="58"/>
  <c r="N97" i="58"/>
  <c r="P97" i="58"/>
  <c r="Q97" i="58"/>
  <c r="R97" i="58"/>
  <c r="S97" i="58"/>
  <c r="T97" i="58"/>
  <c r="U97" i="58"/>
  <c r="V97" i="58"/>
  <c r="W97" i="58"/>
  <c r="X97" i="58"/>
  <c r="Y97" i="58"/>
  <c r="Z97" i="58"/>
  <c r="AA97" i="58"/>
  <c r="B98" i="58"/>
  <c r="C98" i="58"/>
  <c r="D98" i="58"/>
  <c r="E98" i="58"/>
  <c r="F98" i="58"/>
  <c r="G98" i="58"/>
  <c r="H98" i="58"/>
  <c r="I98" i="58"/>
  <c r="J98" i="58"/>
  <c r="K98" i="58"/>
  <c r="L98" i="58"/>
  <c r="M98" i="58"/>
  <c r="N98" i="58"/>
  <c r="P98" i="58"/>
  <c r="Q98" i="58"/>
  <c r="R98" i="58"/>
  <c r="S98" i="58"/>
  <c r="T98" i="58"/>
  <c r="U98" i="58"/>
  <c r="V98" i="58"/>
  <c r="W98" i="58"/>
  <c r="X98" i="58"/>
  <c r="Y98" i="58"/>
  <c r="Z98" i="58"/>
  <c r="AA98" i="58"/>
  <c r="B99" i="58"/>
  <c r="C99" i="58"/>
  <c r="D99" i="58"/>
  <c r="E99" i="58"/>
  <c r="F99" i="58"/>
  <c r="G99" i="58"/>
  <c r="H99" i="58"/>
  <c r="I99" i="58"/>
  <c r="J99" i="58"/>
  <c r="K99" i="58"/>
  <c r="L99" i="58"/>
  <c r="M99" i="58"/>
  <c r="N99" i="58"/>
  <c r="P99" i="58"/>
  <c r="Q99" i="58"/>
  <c r="R99" i="58"/>
  <c r="S99" i="58"/>
  <c r="T99" i="58"/>
  <c r="U99" i="58"/>
  <c r="V99" i="58"/>
  <c r="W99" i="58"/>
  <c r="X99" i="58"/>
  <c r="Y99" i="58"/>
  <c r="Z99" i="58"/>
  <c r="AA99" i="58"/>
  <c r="B100" i="58"/>
  <c r="C100" i="58"/>
  <c r="D100" i="58"/>
  <c r="E100" i="58"/>
  <c r="F100" i="58"/>
  <c r="G100" i="58"/>
  <c r="H100" i="58"/>
  <c r="I100" i="58"/>
  <c r="J100" i="58"/>
  <c r="K100" i="58"/>
  <c r="L100" i="58"/>
  <c r="M100" i="58"/>
  <c r="N100" i="58"/>
  <c r="P100" i="58"/>
  <c r="Q100" i="58"/>
  <c r="R100" i="58"/>
  <c r="S100" i="58"/>
  <c r="T100" i="58"/>
  <c r="U100" i="58"/>
  <c r="V100" i="58"/>
  <c r="W100" i="58"/>
  <c r="X100" i="58"/>
  <c r="Y100" i="58"/>
  <c r="Z100" i="58"/>
  <c r="AA100" i="58"/>
  <c r="B101" i="58"/>
  <c r="C101" i="58"/>
  <c r="D101" i="58"/>
  <c r="E101" i="58"/>
  <c r="F101" i="58"/>
  <c r="G101" i="58"/>
  <c r="H101" i="58"/>
  <c r="I101" i="58"/>
  <c r="J101" i="58"/>
  <c r="K101" i="58"/>
  <c r="L101" i="58"/>
  <c r="M101" i="58"/>
  <c r="N101" i="58"/>
  <c r="P101" i="58"/>
  <c r="Q101" i="58"/>
  <c r="R101" i="58"/>
  <c r="S101" i="58"/>
  <c r="T101" i="58"/>
  <c r="U101" i="58"/>
  <c r="V101" i="58"/>
  <c r="W101" i="58"/>
  <c r="X101" i="58"/>
  <c r="Y101" i="58"/>
  <c r="Z101" i="58"/>
  <c r="AA101" i="58"/>
  <c r="B102" i="58"/>
  <c r="C102" i="58"/>
  <c r="D102" i="58"/>
  <c r="E102" i="58"/>
  <c r="F102" i="58"/>
  <c r="G102" i="58"/>
  <c r="H102" i="58"/>
  <c r="I102" i="58"/>
  <c r="J102" i="58"/>
  <c r="K102" i="58"/>
  <c r="L102" i="58"/>
  <c r="M102" i="58"/>
  <c r="N102" i="58"/>
  <c r="P102" i="58"/>
  <c r="Q102" i="58"/>
  <c r="R102" i="58"/>
  <c r="S102" i="58"/>
  <c r="T102" i="58"/>
  <c r="U102" i="58"/>
  <c r="V102" i="58"/>
  <c r="W102" i="58"/>
  <c r="X102" i="58"/>
  <c r="Y102" i="58"/>
  <c r="Z102" i="58"/>
  <c r="AA102" i="58"/>
  <c r="B103" i="58"/>
  <c r="C103" i="58"/>
  <c r="D103" i="58"/>
  <c r="E103" i="58"/>
  <c r="F103" i="58"/>
  <c r="G103" i="58"/>
  <c r="H103" i="58"/>
  <c r="I103" i="58"/>
  <c r="J103" i="58"/>
  <c r="K103" i="58"/>
  <c r="L103" i="58"/>
  <c r="M103" i="58"/>
  <c r="N103" i="58"/>
  <c r="P103" i="58"/>
  <c r="Q103" i="58"/>
  <c r="R103" i="58"/>
  <c r="S103" i="58"/>
  <c r="T103" i="58"/>
  <c r="U103" i="58"/>
  <c r="V103" i="58"/>
  <c r="W103" i="58"/>
  <c r="X103" i="58"/>
  <c r="Y103" i="58"/>
  <c r="Z103" i="58"/>
  <c r="AA103" i="58"/>
  <c r="B104" i="58"/>
  <c r="C104" i="58"/>
  <c r="D104" i="58"/>
  <c r="E104" i="58"/>
  <c r="F104" i="58"/>
  <c r="G104" i="58"/>
  <c r="H104" i="58"/>
  <c r="I104" i="58"/>
  <c r="J104" i="58"/>
  <c r="K104" i="58"/>
  <c r="L104" i="58"/>
  <c r="M104" i="58"/>
  <c r="N104" i="58"/>
  <c r="P104" i="58"/>
  <c r="Q104" i="58"/>
  <c r="R104" i="58"/>
  <c r="S104" i="58"/>
  <c r="T104" i="58"/>
  <c r="U104" i="58"/>
  <c r="V104" i="58"/>
  <c r="W104" i="58"/>
  <c r="X104" i="58"/>
  <c r="Y104" i="58"/>
  <c r="Z104" i="58"/>
  <c r="AA104" i="58"/>
  <c r="B105" i="58"/>
  <c r="C105" i="58"/>
  <c r="D105" i="58"/>
  <c r="E105" i="58"/>
  <c r="F105" i="58"/>
  <c r="G105" i="58"/>
  <c r="H105" i="58"/>
  <c r="J105" i="58"/>
  <c r="K105" i="58"/>
  <c r="L105" i="58"/>
  <c r="M105" i="58"/>
  <c r="N105" i="58"/>
  <c r="P105" i="58"/>
  <c r="Q105" i="58"/>
  <c r="R105" i="58"/>
  <c r="S105" i="58"/>
  <c r="T105" i="58"/>
  <c r="U105" i="58"/>
  <c r="V105" i="58"/>
  <c r="W105" i="58"/>
  <c r="X105" i="58"/>
  <c r="Y105" i="58"/>
  <c r="Z105" i="58"/>
  <c r="AA105" i="58"/>
  <c r="B106" i="58"/>
  <c r="C106" i="58"/>
  <c r="D106" i="58"/>
  <c r="E106" i="58"/>
  <c r="F106" i="58"/>
  <c r="G106" i="58"/>
  <c r="H106" i="58"/>
  <c r="J106" i="58"/>
  <c r="K106" i="58"/>
  <c r="L106" i="58"/>
  <c r="M106" i="58"/>
  <c r="N106" i="58"/>
  <c r="P106" i="58"/>
  <c r="Q106" i="58"/>
  <c r="R106" i="58"/>
  <c r="S106" i="58"/>
  <c r="T106" i="58"/>
  <c r="U106" i="58"/>
  <c r="V106" i="58"/>
  <c r="W106" i="58"/>
  <c r="X106" i="58"/>
  <c r="Y106" i="58"/>
  <c r="Z106" i="58"/>
  <c r="AA106" i="58"/>
  <c r="B107" i="58"/>
  <c r="C107" i="58"/>
  <c r="D107" i="58"/>
  <c r="E107" i="58"/>
  <c r="F107" i="58"/>
  <c r="G107" i="58"/>
  <c r="H107" i="58"/>
  <c r="I107" i="58"/>
  <c r="J107" i="58"/>
  <c r="K107" i="58"/>
  <c r="L107" i="58"/>
  <c r="M107" i="58"/>
  <c r="N107" i="58"/>
  <c r="P107" i="58"/>
  <c r="Q107" i="58"/>
  <c r="R107" i="58"/>
  <c r="S107" i="58"/>
  <c r="T107" i="58"/>
  <c r="U107" i="58"/>
  <c r="V107" i="58"/>
  <c r="W107" i="58"/>
  <c r="X107" i="58"/>
  <c r="Y107" i="58"/>
  <c r="Z107" i="58"/>
  <c r="AA107" i="58"/>
  <c r="B108" i="58"/>
  <c r="C108" i="58"/>
  <c r="D108" i="58"/>
  <c r="E108" i="58"/>
  <c r="F108" i="58"/>
  <c r="G108" i="58"/>
  <c r="H108" i="58"/>
  <c r="I108" i="58"/>
  <c r="J108" i="58"/>
  <c r="K108" i="58"/>
  <c r="L108" i="58"/>
  <c r="M108" i="58"/>
  <c r="N108" i="58"/>
  <c r="P108" i="58"/>
  <c r="Q108" i="58"/>
  <c r="R108" i="58"/>
  <c r="S108" i="58"/>
  <c r="T108" i="58"/>
  <c r="U108" i="58"/>
  <c r="V108" i="58"/>
  <c r="W108" i="58"/>
  <c r="X108" i="58"/>
  <c r="Y108" i="58"/>
  <c r="Z108" i="58"/>
  <c r="AA108" i="58"/>
  <c r="A108" i="58"/>
  <c r="A107" i="58"/>
  <c r="A102" i="58"/>
  <c r="A103" i="58"/>
  <c r="A104" i="58"/>
  <c r="A105" i="58"/>
  <c r="A106" i="58"/>
  <c r="A101" i="58"/>
  <c r="A100" i="58"/>
  <c r="A97" i="58"/>
  <c r="A98" i="58"/>
  <c r="A99" i="58"/>
  <c r="A96" i="58"/>
  <c r="A95" i="58"/>
  <c r="A94" i="58"/>
  <c r="A93" i="58"/>
  <c r="A92" i="58"/>
  <c r="A91" i="58"/>
  <c r="A90" i="58"/>
  <c r="A89" i="58"/>
  <c r="A86" i="58"/>
  <c r="A87" i="58"/>
  <c r="A88" i="58"/>
  <c r="A85" i="58"/>
  <c r="A84" i="58"/>
  <c r="A83" i="58"/>
  <c r="A79" i="58"/>
  <c r="A80" i="58"/>
  <c r="A81" i="58"/>
  <c r="A82" i="58"/>
  <c r="A78" i="58"/>
  <c r="A77" i="58"/>
  <c r="A72" i="58"/>
  <c r="A73" i="58"/>
  <c r="A74" i="58"/>
  <c r="A75" i="58"/>
  <c r="A76" i="58"/>
  <c r="A71" i="58"/>
  <c r="B59" i="57"/>
  <c r="C59" i="57"/>
  <c r="D59" i="57"/>
  <c r="E59" i="57"/>
  <c r="F59" i="57"/>
  <c r="G59" i="57"/>
  <c r="H59" i="57"/>
  <c r="I59" i="57"/>
  <c r="J59" i="57"/>
  <c r="K59" i="57"/>
  <c r="L59" i="57"/>
  <c r="M59" i="57"/>
  <c r="N59" i="57"/>
  <c r="P59" i="57"/>
  <c r="Q59" i="57"/>
  <c r="R59" i="57"/>
  <c r="S59" i="57"/>
  <c r="T59" i="57"/>
  <c r="U59" i="57"/>
  <c r="V59" i="57"/>
  <c r="W59" i="57"/>
  <c r="X59" i="57"/>
  <c r="Y59" i="57"/>
  <c r="Z59" i="57"/>
  <c r="AA59" i="57"/>
  <c r="B60" i="57"/>
  <c r="C60" i="57"/>
  <c r="D60" i="57"/>
  <c r="E60" i="57"/>
  <c r="F60" i="57"/>
  <c r="G60" i="57"/>
  <c r="H60" i="57"/>
  <c r="I60" i="57"/>
  <c r="J60" i="57"/>
  <c r="K60" i="57"/>
  <c r="L60" i="57"/>
  <c r="M60" i="57"/>
  <c r="N60" i="57"/>
  <c r="P60" i="57"/>
  <c r="Q60" i="57"/>
  <c r="R60" i="57"/>
  <c r="S60" i="57"/>
  <c r="T60" i="57"/>
  <c r="U60" i="57"/>
  <c r="V60" i="57"/>
  <c r="W60" i="57"/>
  <c r="X60" i="57"/>
  <c r="Y60" i="57"/>
  <c r="Z60" i="57"/>
  <c r="AA60" i="57"/>
  <c r="B61" i="57"/>
  <c r="C61" i="57"/>
  <c r="D61" i="57"/>
  <c r="E61" i="57"/>
  <c r="F61" i="57"/>
  <c r="G61" i="57"/>
  <c r="H61" i="57"/>
  <c r="I61" i="57"/>
  <c r="J61" i="57"/>
  <c r="K61" i="57"/>
  <c r="L61" i="57"/>
  <c r="M61" i="57"/>
  <c r="N61" i="57"/>
  <c r="P61" i="57"/>
  <c r="Q61" i="57"/>
  <c r="R61" i="57"/>
  <c r="S61" i="57"/>
  <c r="T61" i="57"/>
  <c r="U61" i="57"/>
  <c r="V61" i="57"/>
  <c r="W61" i="57"/>
  <c r="X61" i="57"/>
  <c r="Y61" i="57"/>
  <c r="Z61" i="57"/>
  <c r="AA61" i="57"/>
  <c r="B62" i="57"/>
  <c r="C62" i="57"/>
  <c r="D62" i="57"/>
  <c r="E62" i="57"/>
  <c r="F62" i="57"/>
  <c r="G62" i="57"/>
  <c r="H62" i="57"/>
  <c r="I62" i="57"/>
  <c r="J62" i="57"/>
  <c r="K62" i="57"/>
  <c r="L62" i="57"/>
  <c r="M62" i="57"/>
  <c r="N62" i="57"/>
  <c r="P62" i="57"/>
  <c r="Q62" i="57"/>
  <c r="R62" i="57"/>
  <c r="S62" i="57"/>
  <c r="T62" i="57"/>
  <c r="U62" i="57"/>
  <c r="V62" i="57"/>
  <c r="W62" i="57"/>
  <c r="X62" i="57"/>
  <c r="Y62" i="57"/>
  <c r="Z62" i="57"/>
  <c r="AA62" i="57"/>
  <c r="B63" i="57"/>
  <c r="C63" i="57"/>
  <c r="D63" i="57"/>
  <c r="E63" i="57"/>
  <c r="F63" i="57"/>
  <c r="G63" i="57"/>
  <c r="H63" i="57"/>
  <c r="J63" i="57"/>
  <c r="K63" i="57"/>
  <c r="L63" i="57"/>
  <c r="M63" i="57"/>
  <c r="N63" i="57"/>
  <c r="P63" i="57"/>
  <c r="Q63" i="57"/>
  <c r="R63" i="57"/>
  <c r="S63" i="57"/>
  <c r="T63" i="57"/>
  <c r="U63" i="57"/>
  <c r="V63" i="57"/>
  <c r="W63" i="57"/>
  <c r="X63" i="57"/>
  <c r="Y63" i="57"/>
  <c r="Z63" i="57"/>
  <c r="AA63" i="57"/>
  <c r="B64" i="57"/>
  <c r="C64" i="57"/>
  <c r="D64" i="57"/>
  <c r="E64" i="57"/>
  <c r="F64" i="57"/>
  <c r="G64" i="57"/>
  <c r="H64" i="57"/>
  <c r="J64" i="57"/>
  <c r="K64" i="57"/>
  <c r="L64" i="57"/>
  <c r="M64" i="57"/>
  <c r="N64" i="57"/>
  <c r="P64" i="57"/>
  <c r="Q64" i="57"/>
  <c r="R64" i="57"/>
  <c r="S64" i="57"/>
  <c r="T64" i="57"/>
  <c r="U64" i="57"/>
  <c r="V64" i="57"/>
  <c r="W64" i="57"/>
  <c r="X64" i="57"/>
  <c r="Y64" i="57"/>
  <c r="Z64" i="57"/>
  <c r="AA64" i="57"/>
  <c r="B65" i="57"/>
  <c r="C65" i="57"/>
  <c r="D65" i="57"/>
  <c r="E65" i="57"/>
  <c r="F65" i="57"/>
  <c r="G65" i="57"/>
  <c r="H65" i="57"/>
  <c r="J65" i="57"/>
  <c r="K65" i="57"/>
  <c r="L65" i="57"/>
  <c r="M65" i="57"/>
  <c r="N65" i="57"/>
  <c r="P65" i="57"/>
  <c r="Q65" i="57"/>
  <c r="R65" i="57"/>
  <c r="S65" i="57"/>
  <c r="T65" i="57"/>
  <c r="U65" i="57"/>
  <c r="V65" i="57"/>
  <c r="W65" i="57"/>
  <c r="X65" i="57"/>
  <c r="Y65" i="57"/>
  <c r="Z65" i="57"/>
  <c r="AA65" i="57"/>
  <c r="B66" i="57"/>
  <c r="C66" i="57"/>
  <c r="D66" i="57"/>
  <c r="E66" i="57"/>
  <c r="F66" i="57"/>
  <c r="G66" i="57"/>
  <c r="H66" i="57"/>
  <c r="I66" i="57"/>
  <c r="J66" i="57"/>
  <c r="K66" i="57"/>
  <c r="L66" i="57"/>
  <c r="M66" i="57"/>
  <c r="N66" i="57"/>
  <c r="P66" i="57"/>
  <c r="Q66" i="57"/>
  <c r="R66" i="57"/>
  <c r="S66" i="57"/>
  <c r="T66" i="57"/>
  <c r="U66" i="57"/>
  <c r="V66" i="57"/>
  <c r="W66" i="57"/>
  <c r="X66" i="57"/>
  <c r="Y66" i="57"/>
  <c r="Z66" i="57"/>
  <c r="AA66" i="57"/>
  <c r="B67" i="57"/>
  <c r="C67" i="57"/>
  <c r="D67" i="57"/>
  <c r="E67" i="57"/>
  <c r="F67" i="57"/>
  <c r="G67" i="57"/>
  <c r="H67" i="57"/>
  <c r="I67" i="57"/>
  <c r="J67" i="57"/>
  <c r="K67" i="57"/>
  <c r="L67" i="57"/>
  <c r="M67" i="57"/>
  <c r="N67" i="57"/>
  <c r="P67" i="57"/>
  <c r="Q67" i="57"/>
  <c r="R67" i="57"/>
  <c r="S67" i="57"/>
  <c r="T67" i="57"/>
  <c r="U67" i="57"/>
  <c r="V67" i="57"/>
  <c r="W67" i="57"/>
  <c r="X67" i="57"/>
  <c r="Y67" i="57"/>
  <c r="Z67" i="57"/>
  <c r="AA67" i="57"/>
  <c r="B68" i="57"/>
  <c r="C68" i="57"/>
  <c r="D68" i="57"/>
  <c r="E68" i="57"/>
  <c r="F68" i="57"/>
  <c r="G68" i="57"/>
  <c r="H68" i="57"/>
  <c r="I68" i="57"/>
  <c r="J68" i="57"/>
  <c r="K68" i="57"/>
  <c r="L68" i="57"/>
  <c r="M68" i="57"/>
  <c r="N68" i="57"/>
  <c r="P68" i="57"/>
  <c r="Q68" i="57"/>
  <c r="R68" i="57"/>
  <c r="S68" i="57"/>
  <c r="T68" i="57"/>
  <c r="U68" i="57"/>
  <c r="V68" i="57"/>
  <c r="W68" i="57"/>
  <c r="X68" i="57"/>
  <c r="Y68" i="57"/>
  <c r="Z68" i="57"/>
  <c r="AA68" i="57"/>
  <c r="B69" i="57"/>
  <c r="C69" i="57"/>
  <c r="D69" i="57"/>
  <c r="E69" i="57"/>
  <c r="F69" i="57"/>
  <c r="G69" i="57"/>
  <c r="H69" i="57"/>
  <c r="I69" i="57"/>
  <c r="J69" i="57"/>
  <c r="K69" i="57"/>
  <c r="L69" i="57"/>
  <c r="M69" i="57"/>
  <c r="N69" i="57"/>
  <c r="P69" i="57"/>
  <c r="Q69" i="57"/>
  <c r="R69" i="57"/>
  <c r="S69" i="57"/>
  <c r="T69" i="57"/>
  <c r="U69" i="57"/>
  <c r="V69" i="57"/>
  <c r="W69" i="57"/>
  <c r="X69" i="57"/>
  <c r="Y69" i="57"/>
  <c r="Z69" i="57"/>
  <c r="AA69" i="57"/>
  <c r="B70" i="57"/>
  <c r="C70" i="57"/>
  <c r="D70" i="57"/>
  <c r="E70" i="57"/>
  <c r="F70" i="57"/>
  <c r="G70" i="57"/>
  <c r="H70" i="57"/>
  <c r="I70" i="57"/>
  <c r="J70" i="57"/>
  <c r="K70" i="57"/>
  <c r="L70" i="57"/>
  <c r="M70" i="57"/>
  <c r="N70" i="57"/>
  <c r="P70" i="57"/>
  <c r="Q70" i="57"/>
  <c r="R70" i="57"/>
  <c r="S70" i="57"/>
  <c r="T70" i="57"/>
  <c r="U70" i="57"/>
  <c r="V70" i="57"/>
  <c r="W70" i="57"/>
  <c r="X70" i="57"/>
  <c r="Y70" i="57"/>
  <c r="Z70" i="57"/>
  <c r="AA70" i="57"/>
  <c r="B71" i="57"/>
  <c r="C71" i="57"/>
  <c r="D71" i="57"/>
  <c r="E71" i="57"/>
  <c r="F71" i="57"/>
  <c r="G71" i="57"/>
  <c r="H71" i="57"/>
  <c r="I71" i="57"/>
  <c r="J71" i="57"/>
  <c r="K71" i="57"/>
  <c r="L71" i="57"/>
  <c r="M71" i="57"/>
  <c r="N71" i="57"/>
  <c r="P71" i="57"/>
  <c r="Q71" i="57"/>
  <c r="R71" i="57"/>
  <c r="S71" i="57"/>
  <c r="T71" i="57"/>
  <c r="U71" i="57"/>
  <c r="V71" i="57"/>
  <c r="W71" i="57"/>
  <c r="X71" i="57"/>
  <c r="Y71" i="57"/>
  <c r="Z71" i="57"/>
  <c r="AA71" i="57"/>
  <c r="B72" i="57"/>
  <c r="C72" i="57"/>
  <c r="D72" i="57"/>
  <c r="E72" i="57"/>
  <c r="F72" i="57"/>
  <c r="G72" i="57"/>
  <c r="H72" i="57"/>
  <c r="I72" i="57"/>
  <c r="J72" i="57"/>
  <c r="K72" i="57"/>
  <c r="L72" i="57"/>
  <c r="M72" i="57"/>
  <c r="N72" i="57"/>
  <c r="P72" i="57"/>
  <c r="Q72" i="57"/>
  <c r="R72" i="57"/>
  <c r="S72" i="57"/>
  <c r="T72" i="57"/>
  <c r="U72" i="57"/>
  <c r="V72" i="57"/>
  <c r="W72" i="57"/>
  <c r="X72" i="57"/>
  <c r="Y72" i="57"/>
  <c r="Z72" i="57"/>
  <c r="AA72" i="57"/>
  <c r="B73" i="57"/>
  <c r="C73" i="57"/>
  <c r="D73" i="57"/>
  <c r="E73" i="57"/>
  <c r="F73" i="57"/>
  <c r="G73" i="57"/>
  <c r="H73" i="57"/>
  <c r="I73" i="57"/>
  <c r="J73" i="57"/>
  <c r="K73" i="57"/>
  <c r="L73" i="57"/>
  <c r="M73" i="57"/>
  <c r="N73" i="57"/>
  <c r="P73" i="57"/>
  <c r="Q73" i="57"/>
  <c r="R73" i="57"/>
  <c r="S73" i="57"/>
  <c r="T73" i="57"/>
  <c r="U73" i="57"/>
  <c r="V73" i="57"/>
  <c r="W73" i="57"/>
  <c r="X73" i="57"/>
  <c r="Y73" i="57"/>
  <c r="Z73" i="57"/>
  <c r="AA73" i="57"/>
  <c r="B74" i="57"/>
  <c r="C74" i="57"/>
  <c r="D74" i="57"/>
  <c r="E74" i="57"/>
  <c r="F74" i="57"/>
  <c r="G74" i="57"/>
  <c r="H74" i="57"/>
  <c r="J74" i="57"/>
  <c r="K74" i="57"/>
  <c r="L74" i="57"/>
  <c r="M74" i="57"/>
  <c r="N74" i="57"/>
  <c r="P74" i="57"/>
  <c r="Q74" i="57"/>
  <c r="R74" i="57"/>
  <c r="S74" i="57"/>
  <c r="T74" i="57"/>
  <c r="U74" i="57"/>
  <c r="V74" i="57"/>
  <c r="W74" i="57"/>
  <c r="X74" i="57"/>
  <c r="Y74" i="57"/>
  <c r="Z74" i="57"/>
  <c r="AA74" i="57"/>
  <c r="B75" i="57"/>
  <c r="C75" i="57"/>
  <c r="D75" i="57"/>
  <c r="E75" i="57"/>
  <c r="F75" i="57"/>
  <c r="G75" i="57"/>
  <c r="H75" i="57"/>
  <c r="J75" i="57"/>
  <c r="K75" i="57"/>
  <c r="L75" i="57"/>
  <c r="M75" i="57"/>
  <c r="N75" i="57"/>
  <c r="P75" i="57"/>
  <c r="Q75" i="57"/>
  <c r="R75" i="57"/>
  <c r="S75" i="57"/>
  <c r="T75" i="57"/>
  <c r="U75" i="57"/>
  <c r="V75" i="57"/>
  <c r="W75" i="57"/>
  <c r="X75" i="57"/>
  <c r="Y75" i="57"/>
  <c r="Z75" i="57"/>
  <c r="AA75" i="57"/>
  <c r="B76" i="57"/>
  <c r="C76" i="57"/>
  <c r="D76" i="57"/>
  <c r="E76" i="57"/>
  <c r="F76" i="57"/>
  <c r="G76" i="57"/>
  <c r="H76" i="57"/>
  <c r="I76" i="57"/>
  <c r="J76" i="57"/>
  <c r="K76" i="57"/>
  <c r="L76" i="57"/>
  <c r="M76" i="57"/>
  <c r="N76" i="57"/>
  <c r="P76" i="57"/>
  <c r="Q76" i="57"/>
  <c r="R76" i="57"/>
  <c r="S76" i="57"/>
  <c r="T76" i="57"/>
  <c r="U76" i="57"/>
  <c r="V76" i="57"/>
  <c r="W76" i="57"/>
  <c r="X76" i="57"/>
  <c r="Y76" i="57"/>
  <c r="Z76" i="57"/>
  <c r="AA76" i="57"/>
  <c r="B77" i="57"/>
  <c r="C77" i="57"/>
  <c r="D77" i="57"/>
  <c r="E77" i="57"/>
  <c r="F77" i="57"/>
  <c r="G77" i="57"/>
  <c r="H77" i="57"/>
  <c r="I77" i="57"/>
  <c r="J77" i="57"/>
  <c r="K77" i="57"/>
  <c r="L77" i="57"/>
  <c r="M77" i="57"/>
  <c r="N77" i="57"/>
  <c r="P77" i="57"/>
  <c r="Q77" i="57"/>
  <c r="R77" i="57"/>
  <c r="S77" i="57"/>
  <c r="T77" i="57"/>
  <c r="U77" i="57"/>
  <c r="V77" i="57"/>
  <c r="W77" i="57"/>
  <c r="X77" i="57"/>
  <c r="Y77" i="57"/>
  <c r="Z77" i="57"/>
  <c r="AA77" i="57"/>
  <c r="B78" i="57"/>
  <c r="C78" i="57"/>
  <c r="D78" i="57"/>
  <c r="E78" i="57"/>
  <c r="F78" i="57"/>
  <c r="G78" i="57"/>
  <c r="H78" i="57"/>
  <c r="J78" i="57"/>
  <c r="K78" i="57"/>
  <c r="L78" i="57"/>
  <c r="M78" i="57"/>
  <c r="N78" i="57"/>
  <c r="P78" i="57"/>
  <c r="Q78" i="57"/>
  <c r="R78" i="57"/>
  <c r="S78" i="57"/>
  <c r="T78" i="57"/>
  <c r="U78" i="57"/>
  <c r="V78" i="57"/>
  <c r="W78" i="57"/>
  <c r="X78" i="57"/>
  <c r="Y78" i="57"/>
  <c r="Z78" i="57"/>
  <c r="AA78" i="57"/>
  <c r="B79" i="57"/>
  <c r="C79" i="57"/>
  <c r="D79" i="57"/>
  <c r="E79" i="57"/>
  <c r="F79" i="57"/>
  <c r="G79" i="57"/>
  <c r="H79" i="57"/>
  <c r="J79" i="57"/>
  <c r="K79" i="57"/>
  <c r="L79" i="57"/>
  <c r="M79" i="57"/>
  <c r="N79" i="57"/>
  <c r="P79" i="57"/>
  <c r="Q79" i="57"/>
  <c r="R79" i="57"/>
  <c r="S79" i="57"/>
  <c r="T79" i="57"/>
  <c r="U79" i="57"/>
  <c r="V79" i="57"/>
  <c r="W79" i="57"/>
  <c r="X79" i="57"/>
  <c r="Y79" i="57"/>
  <c r="Z79" i="57"/>
  <c r="AA79" i="57"/>
  <c r="B80" i="57"/>
  <c r="C80" i="57"/>
  <c r="D80" i="57"/>
  <c r="E80" i="57"/>
  <c r="F80" i="57"/>
  <c r="G80" i="57"/>
  <c r="H80" i="57"/>
  <c r="J80" i="57"/>
  <c r="K80" i="57"/>
  <c r="L80" i="57"/>
  <c r="M80" i="57"/>
  <c r="N80" i="57"/>
  <c r="P80" i="57"/>
  <c r="Q80" i="57"/>
  <c r="R80" i="57"/>
  <c r="S80" i="57"/>
  <c r="T80" i="57"/>
  <c r="U80" i="57"/>
  <c r="V80" i="57"/>
  <c r="W80" i="57"/>
  <c r="X80" i="57"/>
  <c r="Y80" i="57"/>
  <c r="Z80" i="57"/>
  <c r="AA80" i="57"/>
  <c r="B81" i="57"/>
  <c r="C81" i="57"/>
  <c r="D81" i="57"/>
  <c r="E81" i="57"/>
  <c r="F81" i="57"/>
  <c r="G81" i="57"/>
  <c r="H81" i="57"/>
  <c r="J81" i="57"/>
  <c r="K81" i="57"/>
  <c r="L81" i="57"/>
  <c r="M81" i="57"/>
  <c r="N81" i="57"/>
  <c r="P81" i="57"/>
  <c r="Q81" i="57"/>
  <c r="R81" i="57"/>
  <c r="S81" i="57"/>
  <c r="T81" i="57"/>
  <c r="U81" i="57"/>
  <c r="V81" i="57"/>
  <c r="W81" i="57"/>
  <c r="X81" i="57"/>
  <c r="Y81" i="57"/>
  <c r="Z81" i="57"/>
  <c r="AA81" i="57"/>
  <c r="B82" i="57"/>
  <c r="C82" i="57"/>
  <c r="D82" i="57"/>
  <c r="E82" i="57"/>
  <c r="F82" i="57"/>
  <c r="G82" i="57"/>
  <c r="H82" i="57"/>
  <c r="J82" i="57"/>
  <c r="K82" i="57"/>
  <c r="L82" i="57"/>
  <c r="M82" i="57"/>
  <c r="N82" i="57"/>
  <c r="P82" i="57"/>
  <c r="Q82" i="57"/>
  <c r="R82" i="57"/>
  <c r="S82" i="57"/>
  <c r="T82" i="57"/>
  <c r="U82" i="57"/>
  <c r="V82" i="57"/>
  <c r="W82" i="57"/>
  <c r="X82" i="57"/>
  <c r="Y82" i="57"/>
  <c r="Z82" i="57"/>
  <c r="AA82" i="57"/>
  <c r="B83" i="57"/>
  <c r="C83" i="57"/>
  <c r="D83" i="57"/>
  <c r="E83" i="57"/>
  <c r="F83" i="57"/>
  <c r="G83" i="57"/>
  <c r="H83" i="57"/>
  <c r="I83" i="57"/>
  <c r="J83" i="57"/>
  <c r="K83" i="57"/>
  <c r="L83" i="57"/>
  <c r="M83" i="57"/>
  <c r="N83" i="57"/>
  <c r="P83" i="57"/>
  <c r="Q83" i="57"/>
  <c r="R83" i="57"/>
  <c r="S83" i="57"/>
  <c r="T83" i="57"/>
  <c r="U83" i="57"/>
  <c r="V83" i="57"/>
  <c r="W83" i="57"/>
  <c r="X83" i="57"/>
  <c r="Y83" i="57"/>
  <c r="Z83" i="57"/>
  <c r="AA83" i="57"/>
  <c r="B84" i="57"/>
  <c r="C84" i="57"/>
  <c r="D84" i="57"/>
  <c r="E84" i="57"/>
  <c r="F84" i="57"/>
  <c r="G84" i="57"/>
  <c r="H84" i="57"/>
  <c r="I84" i="57"/>
  <c r="J84" i="57"/>
  <c r="K84" i="57"/>
  <c r="L84" i="57"/>
  <c r="M84" i="57"/>
  <c r="N84" i="57"/>
  <c r="P84" i="57"/>
  <c r="Q84" i="57"/>
  <c r="R84" i="57"/>
  <c r="S84" i="57"/>
  <c r="T84" i="57"/>
  <c r="U84" i="57"/>
  <c r="V84" i="57"/>
  <c r="W84" i="57"/>
  <c r="X84" i="57"/>
  <c r="Y84" i="57"/>
  <c r="Z84" i="57"/>
  <c r="AA84" i="57"/>
  <c r="B85" i="57"/>
  <c r="C85" i="57"/>
  <c r="D85" i="57"/>
  <c r="E85" i="57"/>
  <c r="F85" i="57"/>
  <c r="G85" i="57"/>
  <c r="H85" i="57"/>
  <c r="J85" i="57"/>
  <c r="K85" i="57"/>
  <c r="L85" i="57"/>
  <c r="M85" i="57"/>
  <c r="N85" i="57"/>
  <c r="P85" i="57"/>
  <c r="Q85" i="57"/>
  <c r="R85" i="57"/>
  <c r="S85" i="57"/>
  <c r="T85" i="57"/>
  <c r="U85" i="57"/>
  <c r="V85" i="57"/>
  <c r="W85" i="57"/>
  <c r="X85" i="57"/>
  <c r="Y85" i="57"/>
  <c r="Z85" i="57"/>
  <c r="AA85" i="57"/>
  <c r="B86" i="57"/>
  <c r="C86" i="57"/>
  <c r="D86" i="57"/>
  <c r="E86" i="57"/>
  <c r="F86" i="57"/>
  <c r="G86" i="57"/>
  <c r="H86" i="57"/>
  <c r="J86" i="57"/>
  <c r="K86" i="57"/>
  <c r="L86" i="57"/>
  <c r="M86" i="57"/>
  <c r="N86" i="57"/>
  <c r="P86" i="57"/>
  <c r="Q86" i="57"/>
  <c r="R86" i="57"/>
  <c r="S86" i="57"/>
  <c r="T86" i="57"/>
  <c r="U86" i="57"/>
  <c r="V86" i="57"/>
  <c r="W86" i="57"/>
  <c r="X86" i="57"/>
  <c r="Y86" i="57"/>
  <c r="Z86" i="57"/>
  <c r="AA86" i="57"/>
  <c r="B87" i="57"/>
  <c r="C87" i="57"/>
  <c r="D87" i="57"/>
  <c r="E87" i="57"/>
  <c r="F87" i="57"/>
  <c r="G87" i="57"/>
  <c r="H87" i="57"/>
  <c r="J87" i="57"/>
  <c r="K87" i="57"/>
  <c r="L87" i="57"/>
  <c r="M87" i="57"/>
  <c r="N87" i="57"/>
  <c r="P87" i="57"/>
  <c r="Q87" i="57"/>
  <c r="R87" i="57"/>
  <c r="S87" i="57"/>
  <c r="T87" i="57"/>
  <c r="U87" i="57"/>
  <c r="V87" i="57"/>
  <c r="W87" i="57"/>
  <c r="X87" i="57"/>
  <c r="Y87" i="57"/>
  <c r="Z87" i="57"/>
  <c r="AA87" i="57"/>
  <c r="B88" i="57"/>
  <c r="C88" i="57"/>
  <c r="D88" i="57"/>
  <c r="E88" i="57"/>
  <c r="F88" i="57"/>
  <c r="G88" i="57"/>
  <c r="H88" i="57"/>
  <c r="J88" i="57"/>
  <c r="K88" i="57"/>
  <c r="L88" i="57"/>
  <c r="M88" i="57"/>
  <c r="N88" i="57"/>
  <c r="P88" i="57"/>
  <c r="Q88" i="57"/>
  <c r="R88" i="57"/>
  <c r="S88" i="57"/>
  <c r="T88" i="57"/>
  <c r="U88" i="57"/>
  <c r="V88" i="57"/>
  <c r="W88" i="57"/>
  <c r="X88" i="57"/>
  <c r="Y88" i="57"/>
  <c r="Z88" i="57"/>
  <c r="AA88" i="57"/>
  <c r="B89" i="57"/>
  <c r="C89" i="57"/>
  <c r="D89" i="57"/>
  <c r="E89" i="57"/>
  <c r="F89" i="57"/>
  <c r="G89" i="57"/>
  <c r="H89" i="57"/>
  <c r="J89" i="57"/>
  <c r="K89" i="57"/>
  <c r="L89" i="57"/>
  <c r="M89" i="57"/>
  <c r="N89" i="57"/>
  <c r="P89" i="57"/>
  <c r="Q89" i="57"/>
  <c r="R89" i="57"/>
  <c r="S89" i="57"/>
  <c r="T89" i="57"/>
  <c r="U89" i="57"/>
  <c r="V89" i="57"/>
  <c r="W89" i="57"/>
  <c r="X89" i="57"/>
  <c r="Y89" i="57"/>
  <c r="Z89" i="57"/>
  <c r="AA89" i="57"/>
  <c r="A85" i="57"/>
  <c r="A86" i="57"/>
  <c r="A87" i="57"/>
  <c r="A88" i="57"/>
  <c r="A89" i="57"/>
  <c r="A84" i="57"/>
  <c r="A83" i="57"/>
  <c r="A82" i="57"/>
  <c r="A81" i="57"/>
  <c r="A80" i="57"/>
  <c r="A78" i="57"/>
  <c r="A79" i="57"/>
  <c r="A77" i="57"/>
  <c r="A74" i="57"/>
  <c r="A75" i="57"/>
  <c r="A76" i="57"/>
  <c r="A73" i="57"/>
  <c r="A72" i="57"/>
  <c r="A71" i="57"/>
  <c r="A67" i="57"/>
  <c r="A68" i="57"/>
  <c r="A69" i="57"/>
  <c r="A70" i="57"/>
  <c r="A66" i="57"/>
  <c r="A65" i="57"/>
  <c r="A60" i="57"/>
  <c r="A61" i="57"/>
  <c r="A62" i="57"/>
  <c r="A63" i="57"/>
  <c r="A64" i="57"/>
  <c r="A59" i="57"/>
  <c r="B70" i="56"/>
  <c r="C70" i="56"/>
  <c r="D70" i="56"/>
  <c r="E70" i="56"/>
  <c r="F70" i="56"/>
  <c r="G70" i="56"/>
  <c r="H70" i="56"/>
  <c r="J70" i="56"/>
  <c r="K70" i="56"/>
  <c r="L70" i="56"/>
  <c r="M70" i="56"/>
  <c r="N70" i="56"/>
  <c r="P70" i="56"/>
  <c r="Q70" i="56"/>
  <c r="R70" i="56"/>
  <c r="S70" i="56"/>
  <c r="T70" i="56"/>
  <c r="U70" i="56"/>
  <c r="V70" i="56"/>
  <c r="W70" i="56"/>
  <c r="X70" i="56"/>
  <c r="Y70" i="56"/>
  <c r="Z70" i="56"/>
  <c r="AA70" i="56"/>
  <c r="B71" i="56"/>
  <c r="C71" i="56"/>
  <c r="D71" i="56"/>
  <c r="E71" i="56"/>
  <c r="F71" i="56"/>
  <c r="G71" i="56"/>
  <c r="H71" i="56"/>
  <c r="J71" i="56"/>
  <c r="K71" i="56"/>
  <c r="L71" i="56"/>
  <c r="M71" i="56"/>
  <c r="N71" i="56"/>
  <c r="P71" i="56"/>
  <c r="Q71" i="56"/>
  <c r="R71" i="56"/>
  <c r="S71" i="56"/>
  <c r="T71" i="56"/>
  <c r="U71" i="56"/>
  <c r="V71" i="56"/>
  <c r="W71" i="56"/>
  <c r="X71" i="56"/>
  <c r="Y71" i="56"/>
  <c r="Z71" i="56"/>
  <c r="AA71" i="56"/>
  <c r="B72" i="56"/>
  <c r="C72" i="56"/>
  <c r="D72" i="56"/>
  <c r="E72" i="56"/>
  <c r="F72" i="56"/>
  <c r="G72" i="56"/>
  <c r="H72" i="56"/>
  <c r="J72" i="56"/>
  <c r="K72" i="56"/>
  <c r="L72" i="56"/>
  <c r="M72" i="56"/>
  <c r="N72" i="56"/>
  <c r="P72" i="56"/>
  <c r="Q72" i="56"/>
  <c r="R72" i="56"/>
  <c r="S72" i="56"/>
  <c r="T72" i="56"/>
  <c r="U72" i="56"/>
  <c r="V72" i="56"/>
  <c r="W72" i="56"/>
  <c r="X72" i="56"/>
  <c r="Y72" i="56"/>
  <c r="Z72" i="56"/>
  <c r="AA72" i="56"/>
  <c r="B73" i="56"/>
  <c r="C73" i="56"/>
  <c r="D73" i="56"/>
  <c r="E73" i="56"/>
  <c r="F73" i="56"/>
  <c r="G73" i="56"/>
  <c r="H73" i="56"/>
  <c r="J73" i="56"/>
  <c r="K73" i="56"/>
  <c r="L73" i="56"/>
  <c r="M73" i="56"/>
  <c r="N73" i="56"/>
  <c r="P73" i="56"/>
  <c r="Q73" i="56"/>
  <c r="R73" i="56"/>
  <c r="S73" i="56"/>
  <c r="T73" i="56"/>
  <c r="U73" i="56"/>
  <c r="V73" i="56"/>
  <c r="W73" i="56"/>
  <c r="X73" i="56"/>
  <c r="Y73" i="56"/>
  <c r="Z73" i="56"/>
  <c r="AA73" i="56"/>
  <c r="B74" i="56"/>
  <c r="C74" i="56"/>
  <c r="D74" i="56"/>
  <c r="E74" i="56"/>
  <c r="F74" i="56"/>
  <c r="G74" i="56"/>
  <c r="H74" i="56"/>
  <c r="J74" i="56"/>
  <c r="K74" i="56"/>
  <c r="L74" i="56"/>
  <c r="M74" i="56"/>
  <c r="N74" i="56"/>
  <c r="P74" i="56"/>
  <c r="Q74" i="56"/>
  <c r="R74" i="56"/>
  <c r="S74" i="56"/>
  <c r="T74" i="56"/>
  <c r="U74" i="56"/>
  <c r="V74" i="56"/>
  <c r="W74" i="56"/>
  <c r="X74" i="56"/>
  <c r="Y74" i="56"/>
  <c r="Z74" i="56"/>
  <c r="AA74" i="56"/>
  <c r="B75" i="56"/>
  <c r="C75" i="56"/>
  <c r="D75" i="56"/>
  <c r="E75" i="56"/>
  <c r="F75" i="56"/>
  <c r="G75" i="56"/>
  <c r="H75" i="56"/>
  <c r="J75" i="56"/>
  <c r="K75" i="56"/>
  <c r="L75" i="56"/>
  <c r="M75" i="56"/>
  <c r="N75" i="56"/>
  <c r="P75" i="56"/>
  <c r="Q75" i="56"/>
  <c r="R75" i="56"/>
  <c r="S75" i="56"/>
  <c r="T75" i="56"/>
  <c r="U75" i="56"/>
  <c r="V75" i="56"/>
  <c r="W75" i="56"/>
  <c r="X75" i="56"/>
  <c r="Y75" i="56"/>
  <c r="Z75" i="56"/>
  <c r="AA75" i="56"/>
  <c r="B76" i="56"/>
  <c r="C76" i="56"/>
  <c r="D76" i="56"/>
  <c r="E76" i="56"/>
  <c r="F76" i="56"/>
  <c r="G76" i="56"/>
  <c r="H76" i="56"/>
  <c r="I76" i="56"/>
  <c r="J76" i="56"/>
  <c r="K76" i="56"/>
  <c r="L76" i="56"/>
  <c r="M76" i="56"/>
  <c r="N76" i="56"/>
  <c r="P76" i="56"/>
  <c r="Q76" i="56"/>
  <c r="R76" i="56"/>
  <c r="S76" i="56"/>
  <c r="T76" i="56"/>
  <c r="U76" i="56"/>
  <c r="V76" i="56"/>
  <c r="W76" i="56"/>
  <c r="X76" i="56"/>
  <c r="Y76" i="56"/>
  <c r="Z76" i="56"/>
  <c r="AA76" i="56"/>
  <c r="B77" i="56"/>
  <c r="C77" i="56"/>
  <c r="D77" i="56"/>
  <c r="E77" i="56"/>
  <c r="F77" i="56"/>
  <c r="G77" i="56"/>
  <c r="H77" i="56"/>
  <c r="J77" i="56"/>
  <c r="K77" i="56"/>
  <c r="L77" i="56"/>
  <c r="M77" i="56"/>
  <c r="N77" i="56"/>
  <c r="P77" i="56"/>
  <c r="Q77" i="56"/>
  <c r="R77" i="56"/>
  <c r="S77" i="56"/>
  <c r="T77" i="56"/>
  <c r="U77" i="56"/>
  <c r="V77" i="56"/>
  <c r="W77" i="56"/>
  <c r="X77" i="56"/>
  <c r="Y77" i="56"/>
  <c r="Z77" i="56"/>
  <c r="AA77" i="56"/>
  <c r="B78" i="56"/>
  <c r="C78" i="56"/>
  <c r="D78" i="56"/>
  <c r="E78" i="56"/>
  <c r="F78" i="56"/>
  <c r="G78" i="56"/>
  <c r="H78" i="56"/>
  <c r="J78" i="56"/>
  <c r="K78" i="56"/>
  <c r="L78" i="56"/>
  <c r="M78" i="56"/>
  <c r="N78" i="56"/>
  <c r="P78" i="56"/>
  <c r="Q78" i="56"/>
  <c r="R78" i="56"/>
  <c r="S78" i="56"/>
  <c r="T78" i="56"/>
  <c r="U78" i="56"/>
  <c r="V78" i="56"/>
  <c r="W78" i="56"/>
  <c r="X78" i="56"/>
  <c r="Y78" i="56"/>
  <c r="Z78" i="56"/>
  <c r="AA78" i="56"/>
  <c r="B79" i="56"/>
  <c r="C79" i="56"/>
  <c r="D79" i="56"/>
  <c r="E79" i="56"/>
  <c r="F79" i="56"/>
  <c r="G79" i="56"/>
  <c r="H79" i="56"/>
  <c r="I79" i="56"/>
  <c r="J79" i="56"/>
  <c r="K79" i="56"/>
  <c r="L79" i="56"/>
  <c r="M79" i="56"/>
  <c r="N79" i="56"/>
  <c r="P79" i="56"/>
  <c r="Q79" i="56"/>
  <c r="R79" i="56"/>
  <c r="S79" i="56"/>
  <c r="T79" i="56"/>
  <c r="U79" i="56"/>
  <c r="V79" i="56"/>
  <c r="W79" i="56"/>
  <c r="X79" i="56"/>
  <c r="Y79" i="56"/>
  <c r="Z79" i="56"/>
  <c r="AA79" i="56"/>
  <c r="B80" i="56"/>
  <c r="C80" i="56"/>
  <c r="D80" i="56"/>
  <c r="E80" i="56"/>
  <c r="F80" i="56"/>
  <c r="G80" i="56"/>
  <c r="H80" i="56"/>
  <c r="I80" i="56"/>
  <c r="J80" i="56"/>
  <c r="K80" i="56"/>
  <c r="L80" i="56"/>
  <c r="M80" i="56"/>
  <c r="N80" i="56"/>
  <c r="P80" i="56"/>
  <c r="Q80" i="56"/>
  <c r="R80" i="56"/>
  <c r="S80" i="56"/>
  <c r="T80" i="56"/>
  <c r="U80" i="56"/>
  <c r="V80" i="56"/>
  <c r="W80" i="56"/>
  <c r="X80" i="56"/>
  <c r="Y80" i="56"/>
  <c r="Z80" i="56"/>
  <c r="AA80" i="56"/>
  <c r="B81" i="56"/>
  <c r="C81" i="56"/>
  <c r="D81" i="56"/>
  <c r="E81" i="56"/>
  <c r="F81" i="56"/>
  <c r="G81" i="56"/>
  <c r="H81" i="56"/>
  <c r="I81" i="56"/>
  <c r="J81" i="56"/>
  <c r="K81" i="56"/>
  <c r="L81" i="56"/>
  <c r="M81" i="56"/>
  <c r="N81" i="56"/>
  <c r="P81" i="56"/>
  <c r="Q81" i="56"/>
  <c r="R81" i="56"/>
  <c r="S81" i="56"/>
  <c r="T81" i="56"/>
  <c r="U81" i="56"/>
  <c r="V81" i="56"/>
  <c r="W81" i="56"/>
  <c r="X81" i="56"/>
  <c r="Y81" i="56"/>
  <c r="Z81" i="56"/>
  <c r="AA81" i="56"/>
  <c r="B82" i="56"/>
  <c r="C82" i="56"/>
  <c r="D82" i="56"/>
  <c r="E82" i="56"/>
  <c r="F82" i="56"/>
  <c r="G82" i="56"/>
  <c r="H82" i="56"/>
  <c r="I82" i="56"/>
  <c r="J82" i="56"/>
  <c r="K82" i="56"/>
  <c r="L82" i="56"/>
  <c r="M82" i="56"/>
  <c r="N82" i="56"/>
  <c r="P82" i="56"/>
  <c r="Q82" i="56"/>
  <c r="R82" i="56"/>
  <c r="S82" i="56"/>
  <c r="T82" i="56"/>
  <c r="U82" i="56"/>
  <c r="V82" i="56"/>
  <c r="W82" i="56"/>
  <c r="X82" i="56"/>
  <c r="Y82" i="56"/>
  <c r="Z82" i="56"/>
  <c r="AA82" i="56"/>
  <c r="B83" i="56"/>
  <c r="C83" i="56"/>
  <c r="D83" i="56"/>
  <c r="E83" i="56"/>
  <c r="F83" i="56"/>
  <c r="G83" i="56"/>
  <c r="H83" i="56"/>
  <c r="I83" i="56"/>
  <c r="J83" i="56"/>
  <c r="K83" i="56"/>
  <c r="L83" i="56"/>
  <c r="M83" i="56"/>
  <c r="N83" i="56"/>
  <c r="P83" i="56"/>
  <c r="Q83" i="56"/>
  <c r="R83" i="56"/>
  <c r="S83" i="56"/>
  <c r="T83" i="56"/>
  <c r="U83" i="56"/>
  <c r="V83" i="56"/>
  <c r="W83" i="56"/>
  <c r="X83" i="56"/>
  <c r="Y83" i="56"/>
  <c r="Z83" i="56"/>
  <c r="AA83" i="56"/>
  <c r="B84" i="56"/>
  <c r="C84" i="56"/>
  <c r="D84" i="56"/>
  <c r="E84" i="56"/>
  <c r="F84" i="56"/>
  <c r="G84" i="56"/>
  <c r="H84" i="56"/>
  <c r="I84" i="56"/>
  <c r="J84" i="56"/>
  <c r="K84" i="56"/>
  <c r="L84" i="56"/>
  <c r="M84" i="56"/>
  <c r="N84" i="56"/>
  <c r="P84" i="56"/>
  <c r="Q84" i="56"/>
  <c r="R84" i="56"/>
  <c r="S84" i="56"/>
  <c r="T84" i="56"/>
  <c r="U84" i="56"/>
  <c r="V84" i="56"/>
  <c r="W84" i="56"/>
  <c r="X84" i="56"/>
  <c r="Y84" i="56"/>
  <c r="Z84" i="56"/>
  <c r="AA84" i="56"/>
  <c r="B85" i="56"/>
  <c r="C85" i="56"/>
  <c r="D85" i="56"/>
  <c r="E85" i="56"/>
  <c r="F85" i="56"/>
  <c r="G85" i="56"/>
  <c r="H85" i="56"/>
  <c r="I85" i="56"/>
  <c r="J85" i="56"/>
  <c r="K85" i="56"/>
  <c r="L85" i="56"/>
  <c r="M85" i="56"/>
  <c r="N85" i="56"/>
  <c r="P85" i="56"/>
  <c r="Q85" i="56"/>
  <c r="R85" i="56"/>
  <c r="S85" i="56"/>
  <c r="T85" i="56"/>
  <c r="U85" i="56"/>
  <c r="V85" i="56"/>
  <c r="W85" i="56"/>
  <c r="X85" i="56"/>
  <c r="Y85" i="56"/>
  <c r="Z85" i="56"/>
  <c r="AA85" i="56"/>
  <c r="B86" i="56"/>
  <c r="C86" i="56"/>
  <c r="D86" i="56"/>
  <c r="E86" i="56"/>
  <c r="F86" i="56"/>
  <c r="G86" i="56"/>
  <c r="H86" i="56"/>
  <c r="I86" i="56"/>
  <c r="J86" i="56"/>
  <c r="K86" i="56"/>
  <c r="L86" i="56"/>
  <c r="M86" i="56"/>
  <c r="N86" i="56"/>
  <c r="P86" i="56"/>
  <c r="Q86" i="56"/>
  <c r="R86" i="56"/>
  <c r="S86" i="56"/>
  <c r="T86" i="56"/>
  <c r="U86" i="56"/>
  <c r="V86" i="56"/>
  <c r="W86" i="56"/>
  <c r="X86" i="56"/>
  <c r="Y86" i="56"/>
  <c r="Z86" i="56"/>
  <c r="AA86" i="56"/>
  <c r="A86" i="56"/>
  <c r="A85" i="56"/>
  <c r="A84" i="56"/>
  <c r="A83" i="56"/>
  <c r="A80" i="56"/>
  <c r="A81" i="56"/>
  <c r="A82" i="56"/>
  <c r="A79" i="56"/>
  <c r="A78" i="56"/>
  <c r="A77" i="56"/>
  <c r="A76" i="56"/>
  <c r="B47" i="56"/>
  <c r="C47" i="56"/>
  <c r="D47" i="56"/>
  <c r="E47" i="56"/>
  <c r="F47" i="56"/>
  <c r="G47" i="56"/>
  <c r="H47" i="56"/>
  <c r="J47" i="56"/>
  <c r="K47" i="56"/>
  <c r="L47" i="56"/>
  <c r="M47" i="56"/>
  <c r="N47" i="56"/>
  <c r="P47" i="56"/>
  <c r="Q47" i="56"/>
  <c r="R47" i="56"/>
  <c r="S47" i="56"/>
  <c r="T47" i="56"/>
  <c r="U47" i="56"/>
  <c r="V47" i="56"/>
  <c r="W47" i="56"/>
  <c r="X47" i="56"/>
  <c r="Y47" i="56"/>
  <c r="Z47" i="56"/>
  <c r="AA47" i="56"/>
  <c r="B48" i="56"/>
  <c r="C48" i="56"/>
  <c r="D48" i="56"/>
  <c r="E48" i="56"/>
  <c r="F48" i="56"/>
  <c r="G48" i="56"/>
  <c r="H48" i="56"/>
  <c r="J48" i="56"/>
  <c r="K48" i="56"/>
  <c r="L48" i="56"/>
  <c r="M48" i="56"/>
  <c r="N48" i="56"/>
  <c r="P48" i="56"/>
  <c r="Q48" i="56"/>
  <c r="R48" i="56"/>
  <c r="S48" i="56"/>
  <c r="T48" i="56"/>
  <c r="U48" i="56"/>
  <c r="V48" i="56"/>
  <c r="W48" i="56"/>
  <c r="X48" i="56"/>
  <c r="Y48" i="56"/>
  <c r="Z48" i="56"/>
  <c r="AA48" i="56"/>
  <c r="B49" i="56"/>
  <c r="C49" i="56"/>
  <c r="D49" i="56"/>
  <c r="E49" i="56"/>
  <c r="F49" i="56"/>
  <c r="G49" i="56"/>
  <c r="H49" i="56"/>
  <c r="J49" i="56"/>
  <c r="K49" i="56"/>
  <c r="L49" i="56"/>
  <c r="M49" i="56"/>
  <c r="N49" i="56"/>
  <c r="P49" i="56"/>
  <c r="Q49" i="56"/>
  <c r="R49" i="56"/>
  <c r="S49" i="56"/>
  <c r="T49" i="56"/>
  <c r="U49" i="56"/>
  <c r="V49" i="56"/>
  <c r="W49" i="56"/>
  <c r="X49" i="56"/>
  <c r="Y49" i="56"/>
  <c r="Z49" i="56"/>
  <c r="AA49" i="56"/>
  <c r="B50" i="56"/>
  <c r="C50" i="56"/>
  <c r="D50" i="56"/>
  <c r="E50" i="56"/>
  <c r="F50" i="56"/>
  <c r="G50" i="56"/>
  <c r="H50" i="56"/>
  <c r="J50" i="56"/>
  <c r="K50" i="56"/>
  <c r="L50" i="56"/>
  <c r="M50" i="56"/>
  <c r="N50" i="56"/>
  <c r="P50" i="56"/>
  <c r="Q50" i="56"/>
  <c r="R50" i="56"/>
  <c r="S50" i="56"/>
  <c r="T50" i="56"/>
  <c r="U50" i="56"/>
  <c r="V50" i="56"/>
  <c r="W50" i="56"/>
  <c r="X50" i="56"/>
  <c r="Y50" i="56"/>
  <c r="Z50" i="56"/>
  <c r="AA50" i="56"/>
  <c r="B51" i="56"/>
  <c r="C51" i="56"/>
  <c r="D51" i="56"/>
  <c r="E51" i="56"/>
  <c r="F51" i="56"/>
  <c r="G51" i="56"/>
  <c r="H51" i="56"/>
  <c r="J51" i="56"/>
  <c r="K51" i="56"/>
  <c r="L51" i="56"/>
  <c r="M51" i="56"/>
  <c r="N51" i="56"/>
  <c r="P51" i="56"/>
  <c r="Q51" i="56"/>
  <c r="R51" i="56"/>
  <c r="S51" i="56"/>
  <c r="T51" i="56"/>
  <c r="U51" i="56"/>
  <c r="V51" i="56"/>
  <c r="W51" i="56"/>
  <c r="X51" i="56"/>
  <c r="Y51" i="56"/>
  <c r="Z51" i="56"/>
  <c r="AA51" i="56"/>
  <c r="B52" i="56"/>
  <c r="C52" i="56"/>
  <c r="D52" i="56"/>
  <c r="E52" i="56"/>
  <c r="F52" i="56"/>
  <c r="G52" i="56"/>
  <c r="H52" i="56"/>
  <c r="J52" i="56"/>
  <c r="K52" i="56"/>
  <c r="L52" i="56"/>
  <c r="M52" i="56"/>
  <c r="N52" i="56"/>
  <c r="P52" i="56"/>
  <c r="Q52" i="56"/>
  <c r="R52" i="56"/>
  <c r="S52" i="56"/>
  <c r="T52" i="56"/>
  <c r="U52" i="56"/>
  <c r="V52" i="56"/>
  <c r="W52" i="56"/>
  <c r="X52" i="56"/>
  <c r="Y52" i="56"/>
  <c r="Z52" i="56"/>
  <c r="AA52" i="56"/>
  <c r="B53" i="56"/>
  <c r="C53" i="56"/>
  <c r="D53" i="56"/>
  <c r="E53" i="56"/>
  <c r="F53" i="56"/>
  <c r="G53" i="56"/>
  <c r="H53" i="56"/>
  <c r="I53" i="56"/>
  <c r="J53" i="56"/>
  <c r="K53" i="56"/>
  <c r="L53" i="56"/>
  <c r="M53" i="56"/>
  <c r="N53" i="56"/>
  <c r="P53" i="56"/>
  <c r="Q53" i="56"/>
  <c r="R53" i="56"/>
  <c r="S53" i="56"/>
  <c r="T53" i="56"/>
  <c r="U53" i="56"/>
  <c r="V53" i="56"/>
  <c r="W53" i="56"/>
  <c r="X53" i="56"/>
  <c r="Y53" i="56"/>
  <c r="Z53" i="56"/>
  <c r="AA53" i="56"/>
  <c r="B54" i="56"/>
  <c r="C54" i="56"/>
  <c r="D54" i="56"/>
  <c r="E54" i="56"/>
  <c r="F54" i="56"/>
  <c r="G54" i="56"/>
  <c r="H54" i="56"/>
  <c r="J54" i="56"/>
  <c r="K54" i="56"/>
  <c r="L54" i="56"/>
  <c r="M54" i="56"/>
  <c r="N54" i="56"/>
  <c r="P54" i="56"/>
  <c r="Q54" i="56"/>
  <c r="R54" i="56"/>
  <c r="S54" i="56"/>
  <c r="T54" i="56"/>
  <c r="U54" i="56"/>
  <c r="V54" i="56"/>
  <c r="W54" i="56"/>
  <c r="X54" i="56"/>
  <c r="Y54" i="56"/>
  <c r="Z54" i="56"/>
  <c r="AA54" i="56"/>
  <c r="B55" i="56"/>
  <c r="C55" i="56"/>
  <c r="D55" i="56"/>
  <c r="E55" i="56"/>
  <c r="F55" i="56"/>
  <c r="G55" i="56"/>
  <c r="H55" i="56"/>
  <c r="J55" i="56"/>
  <c r="K55" i="56"/>
  <c r="L55" i="56"/>
  <c r="M55" i="56"/>
  <c r="N55" i="56"/>
  <c r="P55" i="56"/>
  <c r="Q55" i="56"/>
  <c r="R55" i="56"/>
  <c r="S55" i="56"/>
  <c r="T55" i="56"/>
  <c r="U55" i="56"/>
  <c r="V55" i="56"/>
  <c r="W55" i="56"/>
  <c r="X55" i="56"/>
  <c r="Y55" i="56"/>
  <c r="Z55" i="56"/>
  <c r="AA55" i="56"/>
  <c r="B56" i="56"/>
  <c r="C56" i="56"/>
  <c r="D56" i="56"/>
  <c r="E56" i="56"/>
  <c r="F56" i="56"/>
  <c r="G56" i="56"/>
  <c r="H56" i="56"/>
  <c r="I56" i="56"/>
  <c r="J56" i="56"/>
  <c r="K56" i="56"/>
  <c r="L56" i="56"/>
  <c r="M56" i="56"/>
  <c r="N56" i="56"/>
  <c r="P56" i="56"/>
  <c r="Q56" i="56"/>
  <c r="R56" i="56"/>
  <c r="S56" i="56"/>
  <c r="T56" i="56"/>
  <c r="U56" i="56"/>
  <c r="V56" i="56"/>
  <c r="W56" i="56"/>
  <c r="X56" i="56"/>
  <c r="Y56" i="56"/>
  <c r="Z56" i="56"/>
  <c r="AA56" i="56"/>
  <c r="B57" i="56"/>
  <c r="C57" i="56"/>
  <c r="D57" i="56"/>
  <c r="E57" i="56"/>
  <c r="F57" i="56"/>
  <c r="G57" i="56"/>
  <c r="H57" i="56"/>
  <c r="I57" i="56"/>
  <c r="J57" i="56"/>
  <c r="K57" i="56"/>
  <c r="L57" i="56"/>
  <c r="M57" i="56"/>
  <c r="N57" i="56"/>
  <c r="P57" i="56"/>
  <c r="Q57" i="56"/>
  <c r="R57" i="56"/>
  <c r="S57" i="56"/>
  <c r="T57" i="56"/>
  <c r="U57" i="56"/>
  <c r="V57" i="56"/>
  <c r="W57" i="56"/>
  <c r="X57" i="56"/>
  <c r="Y57" i="56"/>
  <c r="Z57" i="56"/>
  <c r="AA57" i="56"/>
  <c r="B58" i="56"/>
  <c r="C58" i="56"/>
  <c r="D58" i="56"/>
  <c r="E58" i="56"/>
  <c r="F58" i="56"/>
  <c r="G58" i="56"/>
  <c r="H58" i="56"/>
  <c r="I58" i="56"/>
  <c r="J58" i="56"/>
  <c r="K58" i="56"/>
  <c r="L58" i="56"/>
  <c r="M58" i="56"/>
  <c r="N58" i="56"/>
  <c r="P58" i="56"/>
  <c r="Q58" i="56"/>
  <c r="R58" i="56"/>
  <c r="S58" i="56"/>
  <c r="T58" i="56"/>
  <c r="U58" i="56"/>
  <c r="V58" i="56"/>
  <c r="W58" i="56"/>
  <c r="X58" i="56"/>
  <c r="Y58" i="56"/>
  <c r="Z58" i="56"/>
  <c r="AA58" i="56"/>
  <c r="B59" i="56"/>
  <c r="C59" i="56"/>
  <c r="D59" i="56"/>
  <c r="E59" i="56"/>
  <c r="F59" i="56"/>
  <c r="G59" i="56"/>
  <c r="H59" i="56"/>
  <c r="I59" i="56"/>
  <c r="J59" i="56"/>
  <c r="K59" i="56"/>
  <c r="L59" i="56"/>
  <c r="M59" i="56"/>
  <c r="N59" i="56"/>
  <c r="P59" i="56"/>
  <c r="Q59" i="56"/>
  <c r="R59" i="56"/>
  <c r="S59" i="56"/>
  <c r="T59" i="56"/>
  <c r="U59" i="56"/>
  <c r="V59" i="56"/>
  <c r="W59" i="56"/>
  <c r="X59" i="56"/>
  <c r="Y59" i="56"/>
  <c r="Z59" i="56"/>
  <c r="AA59" i="56"/>
  <c r="B60" i="56"/>
  <c r="C60" i="56"/>
  <c r="D60" i="56"/>
  <c r="E60" i="56"/>
  <c r="F60" i="56"/>
  <c r="G60" i="56"/>
  <c r="H60" i="56"/>
  <c r="I60" i="56"/>
  <c r="J60" i="56"/>
  <c r="K60" i="56"/>
  <c r="L60" i="56"/>
  <c r="M60" i="56"/>
  <c r="N60" i="56"/>
  <c r="P60" i="56"/>
  <c r="Q60" i="56"/>
  <c r="R60" i="56"/>
  <c r="S60" i="56"/>
  <c r="T60" i="56"/>
  <c r="U60" i="56"/>
  <c r="V60" i="56"/>
  <c r="W60" i="56"/>
  <c r="X60" i="56"/>
  <c r="Y60" i="56"/>
  <c r="Z60" i="56"/>
  <c r="AA60" i="56"/>
  <c r="B61" i="56"/>
  <c r="C61" i="56"/>
  <c r="D61" i="56"/>
  <c r="E61" i="56"/>
  <c r="F61" i="56"/>
  <c r="G61" i="56"/>
  <c r="H61" i="56"/>
  <c r="I61" i="56"/>
  <c r="J61" i="56"/>
  <c r="K61" i="56"/>
  <c r="L61" i="56"/>
  <c r="M61" i="56"/>
  <c r="N61" i="56"/>
  <c r="P61" i="56"/>
  <c r="Q61" i="56"/>
  <c r="R61" i="56"/>
  <c r="S61" i="56"/>
  <c r="T61" i="56"/>
  <c r="U61" i="56"/>
  <c r="V61" i="56"/>
  <c r="W61" i="56"/>
  <c r="X61" i="56"/>
  <c r="Y61" i="56"/>
  <c r="Z61" i="56"/>
  <c r="AA61" i="56"/>
  <c r="B62" i="56"/>
  <c r="C62" i="56"/>
  <c r="D62" i="56"/>
  <c r="E62" i="56"/>
  <c r="F62" i="56"/>
  <c r="G62" i="56"/>
  <c r="H62" i="56"/>
  <c r="I62" i="56"/>
  <c r="J62" i="56"/>
  <c r="K62" i="56"/>
  <c r="L62" i="56"/>
  <c r="M62" i="56"/>
  <c r="N62" i="56"/>
  <c r="P62" i="56"/>
  <c r="Q62" i="56"/>
  <c r="R62" i="56"/>
  <c r="S62" i="56"/>
  <c r="T62" i="56"/>
  <c r="U62" i="56"/>
  <c r="V62" i="56"/>
  <c r="W62" i="56"/>
  <c r="X62" i="56"/>
  <c r="Y62" i="56"/>
  <c r="Z62" i="56"/>
  <c r="AA62" i="56"/>
  <c r="B63" i="56"/>
  <c r="C63" i="56"/>
  <c r="D63" i="56"/>
  <c r="E63" i="56"/>
  <c r="F63" i="56"/>
  <c r="G63" i="56"/>
  <c r="H63" i="56"/>
  <c r="I63" i="56"/>
  <c r="J63" i="56"/>
  <c r="K63" i="56"/>
  <c r="L63" i="56"/>
  <c r="M63" i="56"/>
  <c r="N63" i="56"/>
  <c r="P63" i="56"/>
  <c r="Q63" i="56"/>
  <c r="R63" i="56"/>
  <c r="S63" i="56"/>
  <c r="T63" i="56"/>
  <c r="U63" i="56"/>
  <c r="V63" i="56"/>
  <c r="W63" i="56"/>
  <c r="X63" i="56"/>
  <c r="Y63" i="56"/>
  <c r="Z63" i="56"/>
  <c r="AA63" i="56"/>
  <c r="A63" i="56"/>
  <c r="A62" i="56"/>
  <c r="A61" i="56"/>
  <c r="A60" i="56"/>
  <c r="A57" i="56"/>
  <c r="A58" i="56"/>
  <c r="A59" i="56"/>
  <c r="A56" i="56"/>
  <c r="A55" i="56"/>
  <c r="A54" i="56"/>
  <c r="A53" i="56"/>
  <c r="A74" i="56"/>
  <c r="A75" i="56"/>
  <c r="A73" i="56"/>
  <c r="A71" i="56"/>
  <c r="A72" i="56"/>
  <c r="A70" i="56"/>
  <c r="A51" i="56"/>
  <c r="A52" i="56"/>
  <c r="A50" i="56"/>
  <c r="A48" i="56"/>
  <c r="A49" i="56"/>
  <c r="A47" i="56"/>
  <c r="B81" i="55"/>
  <c r="C81" i="55"/>
  <c r="D81" i="55"/>
  <c r="E81" i="55"/>
  <c r="F81" i="55"/>
  <c r="G81" i="55"/>
  <c r="H81" i="55"/>
  <c r="J81" i="55"/>
  <c r="K81" i="55"/>
  <c r="L81" i="55"/>
  <c r="M81" i="55"/>
  <c r="N81" i="55"/>
  <c r="P81" i="55"/>
  <c r="Q81" i="55"/>
  <c r="R81" i="55"/>
  <c r="S81" i="55"/>
  <c r="T81" i="55"/>
  <c r="U81" i="55"/>
  <c r="V81" i="55"/>
  <c r="W81" i="55"/>
  <c r="X81" i="55"/>
  <c r="Y81" i="55"/>
  <c r="Z81" i="55"/>
  <c r="AA81" i="55"/>
  <c r="B82" i="55"/>
  <c r="C82" i="55"/>
  <c r="D82" i="55"/>
  <c r="E82" i="55"/>
  <c r="F82" i="55"/>
  <c r="G82" i="55"/>
  <c r="H82" i="55"/>
  <c r="J82" i="55"/>
  <c r="K82" i="55"/>
  <c r="L82" i="55"/>
  <c r="M82" i="55"/>
  <c r="N82" i="55"/>
  <c r="P82" i="55"/>
  <c r="Q82" i="55"/>
  <c r="R82" i="55"/>
  <c r="S82" i="55"/>
  <c r="T82" i="55"/>
  <c r="U82" i="55"/>
  <c r="V82" i="55"/>
  <c r="W82" i="55"/>
  <c r="X82" i="55"/>
  <c r="Y82" i="55"/>
  <c r="Z82" i="55"/>
  <c r="AA82" i="55"/>
  <c r="B83" i="55"/>
  <c r="C83" i="55"/>
  <c r="D83" i="55"/>
  <c r="E83" i="55"/>
  <c r="F83" i="55"/>
  <c r="G83" i="55"/>
  <c r="H83" i="55"/>
  <c r="J83" i="55"/>
  <c r="K83" i="55"/>
  <c r="L83" i="55"/>
  <c r="M83" i="55"/>
  <c r="N83" i="55"/>
  <c r="P83" i="55"/>
  <c r="Q83" i="55"/>
  <c r="R83" i="55"/>
  <c r="S83" i="55"/>
  <c r="T83" i="55"/>
  <c r="U83" i="55"/>
  <c r="V83" i="55"/>
  <c r="W83" i="55"/>
  <c r="X83" i="55"/>
  <c r="Y83" i="55"/>
  <c r="Z83" i="55"/>
  <c r="AA83" i="55"/>
  <c r="B84" i="55"/>
  <c r="C84" i="55"/>
  <c r="D84" i="55"/>
  <c r="E84" i="55"/>
  <c r="F84" i="55"/>
  <c r="G84" i="55"/>
  <c r="H84" i="55"/>
  <c r="J84" i="55"/>
  <c r="K84" i="55"/>
  <c r="L84" i="55"/>
  <c r="M84" i="55"/>
  <c r="N84" i="55"/>
  <c r="P84" i="55"/>
  <c r="Q84" i="55"/>
  <c r="R84" i="55"/>
  <c r="S84" i="55"/>
  <c r="T84" i="55"/>
  <c r="U84" i="55"/>
  <c r="V84" i="55"/>
  <c r="W84" i="55"/>
  <c r="X84" i="55"/>
  <c r="Y84" i="55"/>
  <c r="Z84" i="55"/>
  <c r="AA84" i="55"/>
  <c r="A82" i="55"/>
  <c r="A83" i="55"/>
  <c r="A84" i="55"/>
  <c r="A81" i="55"/>
  <c r="B71" i="55"/>
  <c r="C71" i="55"/>
  <c r="D71" i="55"/>
  <c r="E71" i="55"/>
  <c r="F71" i="55"/>
  <c r="G71" i="55"/>
  <c r="H71" i="55"/>
  <c r="I71" i="55"/>
  <c r="J71" i="55"/>
  <c r="K71" i="55"/>
  <c r="L71" i="55"/>
  <c r="M71" i="55"/>
  <c r="N71" i="55"/>
  <c r="P71" i="55"/>
  <c r="Q71" i="55"/>
  <c r="R71" i="55"/>
  <c r="S71" i="55"/>
  <c r="T71" i="55"/>
  <c r="U71" i="55"/>
  <c r="V71" i="55"/>
  <c r="W71" i="55"/>
  <c r="X71" i="55"/>
  <c r="Y71" i="55"/>
  <c r="Z71" i="55"/>
  <c r="AA71" i="55"/>
  <c r="B72" i="55"/>
  <c r="C72" i="55"/>
  <c r="D72" i="55"/>
  <c r="E72" i="55"/>
  <c r="F72" i="55"/>
  <c r="G72" i="55"/>
  <c r="H72" i="55"/>
  <c r="J72" i="55"/>
  <c r="K72" i="55"/>
  <c r="L72" i="55"/>
  <c r="M72" i="55"/>
  <c r="N72" i="55"/>
  <c r="P72" i="55"/>
  <c r="Q72" i="55"/>
  <c r="R72" i="55"/>
  <c r="S72" i="55"/>
  <c r="T72" i="55"/>
  <c r="U72" i="55"/>
  <c r="V72" i="55"/>
  <c r="W72" i="55"/>
  <c r="X72" i="55"/>
  <c r="Y72" i="55"/>
  <c r="Z72" i="55"/>
  <c r="AA72" i="55"/>
  <c r="B73" i="55"/>
  <c r="C73" i="55"/>
  <c r="D73" i="55"/>
  <c r="E73" i="55"/>
  <c r="F73" i="55"/>
  <c r="G73" i="55"/>
  <c r="H73" i="55"/>
  <c r="J73" i="55"/>
  <c r="K73" i="55"/>
  <c r="L73" i="55"/>
  <c r="M73" i="55"/>
  <c r="N73" i="55"/>
  <c r="P73" i="55"/>
  <c r="Q73" i="55"/>
  <c r="R73" i="55"/>
  <c r="S73" i="55"/>
  <c r="T73" i="55"/>
  <c r="U73" i="55"/>
  <c r="V73" i="55"/>
  <c r="W73" i="55"/>
  <c r="X73" i="55"/>
  <c r="Y73" i="55"/>
  <c r="Z73" i="55"/>
  <c r="AA73" i="55"/>
  <c r="B74" i="55"/>
  <c r="C74" i="55"/>
  <c r="D74" i="55"/>
  <c r="E74" i="55"/>
  <c r="F74" i="55"/>
  <c r="G74" i="55"/>
  <c r="H74" i="55"/>
  <c r="I74" i="55"/>
  <c r="J74" i="55"/>
  <c r="K74" i="55"/>
  <c r="L74" i="55"/>
  <c r="M74" i="55"/>
  <c r="N74" i="55"/>
  <c r="P74" i="55"/>
  <c r="Q74" i="55"/>
  <c r="R74" i="55"/>
  <c r="S74" i="55"/>
  <c r="T74" i="55"/>
  <c r="U74" i="55"/>
  <c r="V74" i="55"/>
  <c r="W74" i="55"/>
  <c r="X74" i="55"/>
  <c r="Y74" i="55"/>
  <c r="Z74" i="55"/>
  <c r="AA74" i="55"/>
  <c r="B75" i="55"/>
  <c r="C75" i="55"/>
  <c r="D75" i="55"/>
  <c r="E75" i="55"/>
  <c r="F75" i="55"/>
  <c r="G75" i="55"/>
  <c r="H75" i="55"/>
  <c r="I75" i="55"/>
  <c r="J75" i="55"/>
  <c r="K75" i="55"/>
  <c r="L75" i="55"/>
  <c r="M75" i="55"/>
  <c r="N75" i="55"/>
  <c r="P75" i="55"/>
  <c r="Q75" i="55"/>
  <c r="R75" i="55"/>
  <c r="S75" i="55"/>
  <c r="T75" i="55"/>
  <c r="U75" i="55"/>
  <c r="V75" i="55"/>
  <c r="W75" i="55"/>
  <c r="X75" i="55"/>
  <c r="Y75" i="55"/>
  <c r="Z75" i="55"/>
  <c r="AA75" i="55"/>
  <c r="B76" i="55"/>
  <c r="C76" i="55"/>
  <c r="D76" i="55"/>
  <c r="E76" i="55"/>
  <c r="F76" i="55"/>
  <c r="G76" i="55"/>
  <c r="H76" i="55"/>
  <c r="I76" i="55"/>
  <c r="J76" i="55"/>
  <c r="K76" i="55"/>
  <c r="L76" i="55"/>
  <c r="M76" i="55"/>
  <c r="N76" i="55"/>
  <c r="P76" i="55"/>
  <c r="Q76" i="55"/>
  <c r="R76" i="55"/>
  <c r="S76" i="55"/>
  <c r="T76" i="55"/>
  <c r="U76" i="55"/>
  <c r="V76" i="55"/>
  <c r="W76" i="55"/>
  <c r="X76" i="55"/>
  <c r="Y76" i="55"/>
  <c r="Z76" i="55"/>
  <c r="AA76" i="55"/>
  <c r="B77" i="55"/>
  <c r="C77" i="55"/>
  <c r="D77" i="55"/>
  <c r="E77" i="55"/>
  <c r="F77" i="55"/>
  <c r="G77" i="55"/>
  <c r="H77" i="55"/>
  <c r="I77" i="55"/>
  <c r="J77" i="55"/>
  <c r="K77" i="55"/>
  <c r="L77" i="55"/>
  <c r="M77" i="55"/>
  <c r="N77" i="55"/>
  <c r="P77" i="55"/>
  <c r="Q77" i="55"/>
  <c r="R77" i="55"/>
  <c r="S77" i="55"/>
  <c r="T77" i="55"/>
  <c r="U77" i="55"/>
  <c r="V77" i="55"/>
  <c r="W77" i="55"/>
  <c r="X77" i="55"/>
  <c r="Y77" i="55"/>
  <c r="Z77" i="55"/>
  <c r="AA77" i="55"/>
  <c r="B78" i="55"/>
  <c r="C78" i="55"/>
  <c r="D78" i="55"/>
  <c r="E78" i="55"/>
  <c r="F78" i="55"/>
  <c r="G78" i="55"/>
  <c r="H78" i="55"/>
  <c r="J78" i="55"/>
  <c r="K78" i="55"/>
  <c r="L78" i="55"/>
  <c r="M78" i="55"/>
  <c r="N78" i="55"/>
  <c r="P78" i="55"/>
  <c r="Q78" i="55"/>
  <c r="R78" i="55"/>
  <c r="S78" i="55"/>
  <c r="T78" i="55"/>
  <c r="U78" i="55"/>
  <c r="V78" i="55"/>
  <c r="W78" i="55"/>
  <c r="X78" i="55"/>
  <c r="Y78" i="55"/>
  <c r="Z78" i="55"/>
  <c r="AA78" i="55"/>
  <c r="B79" i="55"/>
  <c r="C79" i="55"/>
  <c r="D79" i="55"/>
  <c r="E79" i="55"/>
  <c r="F79" i="55"/>
  <c r="G79" i="55"/>
  <c r="H79" i="55"/>
  <c r="J79" i="55"/>
  <c r="K79" i="55"/>
  <c r="L79" i="55"/>
  <c r="M79" i="55"/>
  <c r="N79" i="55"/>
  <c r="P79" i="55"/>
  <c r="Q79" i="55"/>
  <c r="R79" i="55"/>
  <c r="S79" i="55"/>
  <c r="T79" i="55"/>
  <c r="U79" i="55"/>
  <c r="V79" i="55"/>
  <c r="W79" i="55"/>
  <c r="X79" i="55"/>
  <c r="Y79" i="55"/>
  <c r="Z79" i="55"/>
  <c r="AA79" i="55"/>
  <c r="B80" i="55"/>
  <c r="C80" i="55"/>
  <c r="D80" i="55"/>
  <c r="E80" i="55"/>
  <c r="F80" i="55"/>
  <c r="G80" i="55"/>
  <c r="H80" i="55"/>
  <c r="J80" i="55"/>
  <c r="K80" i="55"/>
  <c r="L80" i="55"/>
  <c r="M80" i="55"/>
  <c r="N80" i="55"/>
  <c r="P80" i="55"/>
  <c r="Q80" i="55"/>
  <c r="R80" i="55"/>
  <c r="S80" i="55"/>
  <c r="T80" i="55"/>
  <c r="U80" i="55"/>
  <c r="V80" i="55"/>
  <c r="W80" i="55"/>
  <c r="X80" i="55"/>
  <c r="Y80" i="55"/>
  <c r="Z80" i="55"/>
  <c r="AA80" i="55"/>
  <c r="A80" i="55"/>
  <c r="A75" i="55"/>
  <c r="A76" i="55"/>
  <c r="A77" i="55"/>
  <c r="A78" i="55"/>
  <c r="A79" i="55"/>
  <c r="A74" i="55"/>
  <c r="A72" i="55"/>
  <c r="A73" i="55"/>
  <c r="A71" i="55"/>
  <c r="B53" i="55"/>
  <c r="C53" i="55"/>
  <c r="D53" i="55"/>
  <c r="E53" i="55"/>
  <c r="F53" i="55"/>
  <c r="G53" i="55"/>
  <c r="H53" i="55"/>
  <c r="J53" i="55"/>
  <c r="K53" i="55"/>
  <c r="L53" i="55"/>
  <c r="M53" i="55"/>
  <c r="N53" i="55"/>
  <c r="P53" i="55"/>
  <c r="Q53" i="55"/>
  <c r="R53" i="55"/>
  <c r="S53" i="55"/>
  <c r="T53" i="55"/>
  <c r="U53" i="55"/>
  <c r="V53" i="55"/>
  <c r="W53" i="55"/>
  <c r="X53" i="55"/>
  <c r="Y53" i="55"/>
  <c r="Z53" i="55"/>
  <c r="AA53" i="55"/>
  <c r="B54" i="55"/>
  <c r="C54" i="55"/>
  <c r="D54" i="55"/>
  <c r="E54" i="55"/>
  <c r="F54" i="55"/>
  <c r="G54" i="55"/>
  <c r="H54" i="55"/>
  <c r="I54" i="55"/>
  <c r="J54" i="55"/>
  <c r="K54" i="55"/>
  <c r="L54" i="55"/>
  <c r="M54" i="55"/>
  <c r="N54" i="55"/>
  <c r="P54" i="55"/>
  <c r="Q54" i="55"/>
  <c r="R54" i="55"/>
  <c r="S54" i="55"/>
  <c r="T54" i="55"/>
  <c r="U54" i="55"/>
  <c r="V54" i="55"/>
  <c r="W54" i="55"/>
  <c r="X54" i="55"/>
  <c r="Y54" i="55"/>
  <c r="Z54" i="55"/>
  <c r="AA54" i="55"/>
  <c r="B55" i="55"/>
  <c r="C55" i="55"/>
  <c r="D55" i="55"/>
  <c r="E55" i="55"/>
  <c r="F55" i="55"/>
  <c r="G55" i="55"/>
  <c r="H55" i="55"/>
  <c r="I55" i="55"/>
  <c r="J55" i="55"/>
  <c r="K55" i="55"/>
  <c r="L55" i="55"/>
  <c r="M55" i="55"/>
  <c r="N55" i="55"/>
  <c r="P55" i="55"/>
  <c r="Q55" i="55"/>
  <c r="R55" i="55"/>
  <c r="S55" i="55"/>
  <c r="T55" i="55"/>
  <c r="U55" i="55"/>
  <c r="V55" i="55"/>
  <c r="W55" i="55"/>
  <c r="X55" i="55"/>
  <c r="Y55" i="55"/>
  <c r="Z55" i="55"/>
  <c r="AA55" i="55"/>
  <c r="B56" i="55"/>
  <c r="C56" i="55"/>
  <c r="D56" i="55"/>
  <c r="E56" i="55"/>
  <c r="F56" i="55"/>
  <c r="G56" i="55"/>
  <c r="H56" i="55"/>
  <c r="I56" i="55"/>
  <c r="J56" i="55"/>
  <c r="K56" i="55"/>
  <c r="L56" i="55"/>
  <c r="M56" i="55"/>
  <c r="N56" i="55"/>
  <c r="P56" i="55"/>
  <c r="Q56" i="55"/>
  <c r="R56" i="55"/>
  <c r="S56" i="55"/>
  <c r="T56" i="55"/>
  <c r="U56" i="55"/>
  <c r="V56" i="55"/>
  <c r="W56" i="55"/>
  <c r="X56" i="55"/>
  <c r="Y56" i="55"/>
  <c r="Z56" i="55"/>
  <c r="AA56" i="55"/>
  <c r="B57" i="55"/>
  <c r="C57" i="55"/>
  <c r="D57" i="55"/>
  <c r="E57" i="55"/>
  <c r="F57" i="55"/>
  <c r="G57" i="55"/>
  <c r="H57" i="55"/>
  <c r="I57" i="55"/>
  <c r="J57" i="55"/>
  <c r="K57" i="55"/>
  <c r="L57" i="55"/>
  <c r="M57" i="55"/>
  <c r="N57" i="55"/>
  <c r="P57" i="55"/>
  <c r="Q57" i="55"/>
  <c r="R57" i="55"/>
  <c r="S57" i="55"/>
  <c r="T57" i="55"/>
  <c r="U57" i="55"/>
  <c r="V57" i="55"/>
  <c r="W57" i="55"/>
  <c r="X57" i="55"/>
  <c r="Y57" i="55"/>
  <c r="Z57" i="55"/>
  <c r="AA57" i="55"/>
  <c r="B58" i="55"/>
  <c r="C58" i="55"/>
  <c r="D58" i="55"/>
  <c r="E58" i="55"/>
  <c r="F58" i="55"/>
  <c r="G58" i="55"/>
  <c r="H58" i="55"/>
  <c r="J58" i="55"/>
  <c r="K58" i="55"/>
  <c r="L58" i="55"/>
  <c r="M58" i="55"/>
  <c r="N58" i="55"/>
  <c r="P58" i="55"/>
  <c r="Q58" i="55"/>
  <c r="R58" i="55"/>
  <c r="S58" i="55"/>
  <c r="T58" i="55"/>
  <c r="U58" i="55"/>
  <c r="V58" i="55"/>
  <c r="W58" i="55"/>
  <c r="X58" i="55"/>
  <c r="Y58" i="55"/>
  <c r="Z58" i="55"/>
  <c r="AA58" i="55"/>
  <c r="B59" i="55"/>
  <c r="C59" i="55"/>
  <c r="D59" i="55"/>
  <c r="E59" i="55"/>
  <c r="F59" i="55"/>
  <c r="G59" i="55"/>
  <c r="H59" i="55"/>
  <c r="J59" i="55"/>
  <c r="K59" i="55"/>
  <c r="L59" i="55"/>
  <c r="M59" i="55"/>
  <c r="N59" i="55"/>
  <c r="P59" i="55"/>
  <c r="Q59" i="55"/>
  <c r="R59" i="55"/>
  <c r="S59" i="55"/>
  <c r="T59" i="55"/>
  <c r="U59" i="55"/>
  <c r="V59" i="55"/>
  <c r="W59" i="55"/>
  <c r="X59" i="55"/>
  <c r="Y59" i="55"/>
  <c r="Z59" i="55"/>
  <c r="AA59" i="55"/>
  <c r="B60" i="55"/>
  <c r="C60" i="55"/>
  <c r="D60" i="55"/>
  <c r="E60" i="55"/>
  <c r="F60" i="55"/>
  <c r="G60" i="55"/>
  <c r="H60" i="55"/>
  <c r="J60" i="55"/>
  <c r="K60" i="55"/>
  <c r="L60" i="55"/>
  <c r="M60" i="55"/>
  <c r="N60" i="55"/>
  <c r="P60" i="55"/>
  <c r="Q60" i="55"/>
  <c r="R60" i="55"/>
  <c r="S60" i="55"/>
  <c r="T60" i="55"/>
  <c r="U60" i="55"/>
  <c r="V60" i="55"/>
  <c r="W60" i="55"/>
  <c r="X60" i="55"/>
  <c r="Y60" i="55"/>
  <c r="Z60" i="55"/>
  <c r="AA60" i="55"/>
  <c r="B61" i="55"/>
  <c r="C61" i="55"/>
  <c r="D61" i="55"/>
  <c r="E61" i="55"/>
  <c r="F61" i="55"/>
  <c r="G61" i="55"/>
  <c r="H61" i="55"/>
  <c r="J61" i="55"/>
  <c r="K61" i="55"/>
  <c r="L61" i="55"/>
  <c r="M61" i="55"/>
  <c r="N61" i="55"/>
  <c r="P61" i="55"/>
  <c r="Q61" i="55"/>
  <c r="R61" i="55"/>
  <c r="S61" i="55"/>
  <c r="T61" i="55"/>
  <c r="U61" i="55"/>
  <c r="V61" i="55"/>
  <c r="W61" i="55"/>
  <c r="X61" i="55"/>
  <c r="Y61" i="55"/>
  <c r="Z61" i="55"/>
  <c r="AA61" i="55"/>
  <c r="B62" i="55"/>
  <c r="C62" i="55"/>
  <c r="D62" i="55"/>
  <c r="E62" i="55"/>
  <c r="F62" i="55"/>
  <c r="G62" i="55"/>
  <c r="H62" i="55"/>
  <c r="J62" i="55"/>
  <c r="K62" i="55"/>
  <c r="L62" i="55"/>
  <c r="M62" i="55"/>
  <c r="N62" i="55"/>
  <c r="P62" i="55"/>
  <c r="Q62" i="55"/>
  <c r="R62" i="55"/>
  <c r="S62" i="55"/>
  <c r="T62" i="55"/>
  <c r="U62" i="55"/>
  <c r="V62" i="55"/>
  <c r="W62" i="55"/>
  <c r="X62" i="55"/>
  <c r="Y62" i="55"/>
  <c r="Z62" i="55"/>
  <c r="AA62" i="55"/>
  <c r="B63" i="55"/>
  <c r="C63" i="55"/>
  <c r="D63" i="55"/>
  <c r="E63" i="55"/>
  <c r="F63" i="55"/>
  <c r="G63" i="55"/>
  <c r="H63" i="55"/>
  <c r="J63" i="55"/>
  <c r="K63" i="55"/>
  <c r="L63" i="55"/>
  <c r="M63" i="55"/>
  <c r="N63" i="55"/>
  <c r="P63" i="55"/>
  <c r="Q63" i="55"/>
  <c r="R63" i="55"/>
  <c r="S63" i="55"/>
  <c r="T63" i="55"/>
  <c r="U63" i="55"/>
  <c r="V63" i="55"/>
  <c r="W63" i="55"/>
  <c r="X63" i="55"/>
  <c r="Y63" i="55"/>
  <c r="Z63" i="55"/>
  <c r="AA63" i="55"/>
  <c r="B64" i="55"/>
  <c r="C64" i="55"/>
  <c r="D64" i="55"/>
  <c r="E64" i="55"/>
  <c r="F64" i="55"/>
  <c r="G64" i="55"/>
  <c r="H64" i="55"/>
  <c r="J64" i="55"/>
  <c r="K64" i="55"/>
  <c r="L64" i="55"/>
  <c r="M64" i="55"/>
  <c r="N64" i="55"/>
  <c r="P64" i="55"/>
  <c r="Q64" i="55"/>
  <c r="R64" i="55"/>
  <c r="S64" i="55"/>
  <c r="T64" i="55"/>
  <c r="U64" i="55"/>
  <c r="V64" i="55"/>
  <c r="W64" i="55"/>
  <c r="X64" i="55"/>
  <c r="Y64" i="55"/>
  <c r="Z64" i="55"/>
  <c r="AA64" i="55"/>
  <c r="A62" i="55"/>
  <c r="A63" i="55"/>
  <c r="A64" i="55"/>
  <c r="A61" i="55"/>
  <c r="A60" i="55"/>
  <c r="A55" i="55"/>
  <c r="A56" i="55"/>
  <c r="A57" i="55"/>
  <c r="A58" i="55"/>
  <c r="A59" i="55"/>
  <c r="A54" i="55"/>
  <c r="A53" i="55"/>
  <c r="B35" i="55"/>
  <c r="C35" i="55"/>
  <c r="D35" i="55"/>
  <c r="E35" i="55"/>
  <c r="F35" i="55"/>
  <c r="G35" i="55"/>
  <c r="H35" i="55"/>
  <c r="I35" i="55"/>
  <c r="J35" i="55"/>
  <c r="K35" i="55"/>
  <c r="L35" i="55"/>
  <c r="M35" i="55"/>
  <c r="N35" i="55"/>
  <c r="P35" i="55"/>
  <c r="Q35" i="55"/>
  <c r="R35" i="55"/>
  <c r="S35" i="55"/>
  <c r="T35" i="55"/>
  <c r="U35" i="55"/>
  <c r="V35" i="55"/>
  <c r="W35" i="55"/>
  <c r="X35" i="55"/>
  <c r="Y35" i="55"/>
  <c r="Z35" i="55"/>
  <c r="AA35" i="55"/>
  <c r="B36" i="55"/>
  <c r="C36" i="55"/>
  <c r="D36" i="55"/>
  <c r="E36" i="55"/>
  <c r="F36" i="55"/>
  <c r="G36" i="55"/>
  <c r="H36" i="55"/>
  <c r="J36" i="55"/>
  <c r="K36" i="55"/>
  <c r="L36" i="55"/>
  <c r="M36" i="55"/>
  <c r="N36" i="55"/>
  <c r="P36" i="55"/>
  <c r="Q36" i="55"/>
  <c r="R36" i="55"/>
  <c r="S36" i="55"/>
  <c r="T36" i="55"/>
  <c r="U36" i="55"/>
  <c r="V36" i="55"/>
  <c r="W36" i="55"/>
  <c r="X36" i="55"/>
  <c r="Y36" i="55"/>
  <c r="Z36" i="55"/>
  <c r="AA36" i="55"/>
  <c r="B37" i="55"/>
  <c r="C37" i="55"/>
  <c r="D37" i="55"/>
  <c r="E37" i="55"/>
  <c r="F37" i="55"/>
  <c r="G37" i="55"/>
  <c r="H37" i="55"/>
  <c r="J37" i="55"/>
  <c r="K37" i="55"/>
  <c r="L37" i="55"/>
  <c r="M37" i="55"/>
  <c r="N37" i="55"/>
  <c r="P37" i="55"/>
  <c r="Q37" i="55"/>
  <c r="R37" i="55"/>
  <c r="S37" i="55"/>
  <c r="T37" i="55"/>
  <c r="U37" i="55"/>
  <c r="V37" i="55"/>
  <c r="W37" i="55"/>
  <c r="X37" i="55"/>
  <c r="Y37" i="55"/>
  <c r="Z37" i="55"/>
  <c r="AA37" i="55"/>
  <c r="B38" i="55"/>
  <c r="C38" i="55"/>
  <c r="D38" i="55"/>
  <c r="E38" i="55"/>
  <c r="F38" i="55"/>
  <c r="G38" i="55"/>
  <c r="H38" i="55"/>
  <c r="I38" i="55"/>
  <c r="J38" i="55"/>
  <c r="K38" i="55"/>
  <c r="L38" i="55"/>
  <c r="M38" i="55"/>
  <c r="N38" i="55"/>
  <c r="P38" i="55"/>
  <c r="Q38" i="55"/>
  <c r="R38" i="55"/>
  <c r="S38" i="55"/>
  <c r="T38" i="55"/>
  <c r="U38" i="55"/>
  <c r="V38" i="55"/>
  <c r="W38" i="55"/>
  <c r="X38" i="55"/>
  <c r="Y38" i="55"/>
  <c r="Z38" i="55"/>
  <c r="AA38" i="55"/>
  <c r="B39" i="55"/>
  <c r="C39" i="55"/>
  <c r="D39" i="55"/>
  <c r="E39" i="55"/>
  <c r="F39" i="55"/>
  <c r="G39" i="55"/>
  <c r="H39" i="55"/>
  <c r="I39" i="55"/>
  <c r="J39" i="55"/>
  <c r="K39" i="55"/>
  <c r="L39" i="55"/>
  <c r="M39" i="55"/>
  <c r="N39" i="55"/>
  <c r="P39" i="55"/>
  <c r="Q39" i="55"/>
  <c r="R39" i="55"/>
  <c r="S39" i="55"/>
  <c r="T39" i="55"/>
  <c r="U39" i="55"/>
  <c r="V39" i="55"/>
  <c r="W39" i="55"/>
  <c r="X39" i="55"/>
  <c r="Y39" i="55"/>
  <c r="Z39" i="55"/>
  <c r="AA39" i="55"/>
  <c r="B40" i="55"/>
  <c r="C40" i="55"/>
  <c r="D40" i="55"/>
  <c r="E40" i="55"/>
  <c r="F40" i="55"/>
  <c r="G40" i="55"/>
  <c r="H40" i="55"/>
  <c r="I40" i="55"/>
  <c r="J40" i="55"/>
  <c r="K40" i="55"/>
  <c r="L40" i="55"/>
  <c r="M40" i="55"/>
  <c r="N40" i="55"/>
  <c r="P40" i="55"/>
  <c r="Q40" i="55"/>
  <c r="R40" i="55"/>
  <c r="S40" i="55"/>
  <c r="T40" i="55"/>
  <c r="U40" i="55"/>
  <c r="V40" i="55"/>
  <c r="W40" i="55"/>
  <c r="X40" i="55"/>
  <c r="Y40" i="55"/>
  <c r="Z40" i="55"/>
  <c r="AA40" i="55"/>
  <c r="B41" i="55"/>
  <c r="C41" i="55"/>
  <c r="D41" i="55"/>
  <c r="E41" i="55"/>
  <c r="F41" i="55"/>
  <c r="G41" i="55"/>
  <c r="H41" i="55"/>
  <c r="I41" i="55"/>
  <c r="J41" i="55"/>
  <c r="K41" i="55"/>
  <c r="L41" i="55"/>
  <c r="M41" i="55"/>
  <c r="N41" i="55"/>
  <c r="P41" i="55"/>
  <c r="Q41" i="55"/>
  <c r="R41" i="55"/>
  <c r="S41" i="55"/>
  <c r="T41" i="55"/>
  <c r="U41" i="55"/>
  <c r="V41" i="55"/>
  <c r="W41" i="55"/>
  <c r="X41" i="55"/>
  <c r="Y41" i="55"/>
  <c r="Z41" i="55"/>
  <c r="AA41" i="55"/>
  <c r="B42" i="55"/>
  <c r="C42" i="55"/>
  <c r="D42" i="55"/>
  <c r="E42" i="55"/>
  <c r="F42" i="55"/>
  <c r="G42" i="55"/>
  <c r="H42" i="55"/>
  <c r="J42" i="55"/>
  <c r="K42" i="55"/>
  <c r="L42" i="55"/>
  <c r="M42" i="55"/>
  <c r="N42" i="55"/>
  <c r="P42" i="55"/>
  <c r="Q42" i="55"/>
  <c r="R42" i="55"/>
  <c r="S42" i="55"/>
  <c r="T42" i="55"/>
  <c r="U42" i="55"/>
  <c r="V42" i="55"/>
  <c r="W42" i="55"/>
  <c r="X42" i="55"/>
  <c r="Y42" i="55"/>
  <c r="Z42" i="55"/>
  <c r="AA42" i="55"/>
  <c r="B43" i="55"/>
  <c r="C43" i="55"/>
  <c r="D43" i="55"/>
  <c r="E43" i="55"/>
  <c r="F43" i="55"/>
  <c r="G43" i="55"/>
  <c r="H43" i="55"/>
  <c r="J43" i="55"/>
  <c r="K43" i="55"/>
  <c r="L43" i="55"/>
  <c r="M43" i="55"/>
  <c r="N43" i="55"/>
  <c r="P43" i="55"/>
  <c r="Q43" i="55"/>
  <c r="R43" i="55"/>
  <c r="S43" i="55"/>
  <c r="T43" i="55"/>
  <c r="U43" i="55"/>
  <c r="V43" i="55"/>
  <c r="W43" i="55"/>
  <c r="X43" i="55"/>
  <c r="Y43" i="55"/>
  <c r="Z43" i="55"/>
  <c r="AA43" i="55"/>
  <c r="B44" i="55"/>
  <c r="C44" i="55"/>
  <c r="D44" i="55"/>
  <c r="E44" i="55"/>
  <c r="F44" i="55"/>
  <c r="G44" i="55"/>
  <c r="H44" i="55"/>
  <c r="J44" i="55"/>
  <c r="K44" i="55"/>
  <c r="L44" i="55"/>
  <c r="M44" i="55"/>
  <c r="N44" i="55"/>
  <c r="P44" i="55"/>
  <c r="Q44" i="55"/>
  <c r="R44" i="55"/>
  <c r="S44" i="55"/>
  <c r="T44" i="55"/>
  <c r="U44" i="55"/>
  <c r="V44" i="55"/>
  <c r="W44" i="55"/>
  <c r="X44" i="55"/>
  <c r="Y44" i="55"/>
  <c r="Z44" i="55"/>
  <c r="AA44" i="55"/>
  <c r="B45" i="55"/>
  <c r="C45" i="55"/>
  <c r="D45" i="55"/>
  <c r="E45" i="55"/>
  <c r="F45" i="55"/>
  <c r="G45" i="55"/>
  <c r="H45" i="55"/>
  <c r="J45" i="55"/>
  <c r="K45" i="55"/>
  <c r="L45" i="55"/>
  <c r="M45" i="55"/>
  <c r="N45" i="55"/>
  <c r="P45" i="55"/>
  <c r="Q45" i="55"/>
  <c r="R45" i="55"/>
  <c r="S45" i="55"/>
  <c r="T45" i="55"/>
  <c r="U45" i="55"/>
  <c r="V45" i="55"/>
  <c r="W45" i="55"/>
  <c r="X45" i="55"/>
  <c r="Y45" i="55"/>
  <c r="Z45" i="55"/>
  <c r="AA45" i="55"/>
  <c r="B46" i="55"/>
  <c r="C46" i="55"/>
  <c r="D46" i="55"/>
  <c r="E46" i="55"/>
  <c r="F46" i="55"/>
  <c r="G46" i="55"/>
  <c r="H46" i="55"/>
  <c r="J46" i="55"/>
  <c r="K46" i="55"/>
  <c r="L46" i="55"/>
  <c r="M46" i="55"/>
  <c r="N46" i="55"/>
  <c r="P46" i="55"/>
  <c r="Q46" i="55"/>
  <c r="R46" i="55"/>
  <c r="S46" i="55"/>
  <c r="T46" i="55"/>
  <c r="U46" i="55"/>
  <c r="V46" i="55"/>
  <c r="W46" i="55"/>
  <c r="X46" i="55"/>
  <c r="Y46" i="55"/>
  <c r="Z46" i="55"/>
  <c r="AA46" i="55"/>
  <c r="B47" i="55"/>
  <c r="C47" i="55"/>
  <c r="D47" i="55"/>
  <c r="E47" i="55"/>
  <c r="F47" i="55"/>
  <c r="G47" i="55"/>
  <c r="H47" i="55"/>
  <c r="J47" i="55"/>
  <c r="K47" i="55"/>
  <c r="L47" i="55"/>
  <c r="M47" i="55"/>
  <c r="N47" i="55"/>
  <c r="P47" i="55"/>
  <c r="Q47" i="55"/>
  <c r="R47" i="55"/>
  <c r="S47" i="55"/>
  <c r="T47" i="55"/>
  <c r="U47" i="55"/>
  <c r="V47" i="55"/>
  <c r="W47" i="55"/>
  <c r="X47" i="55"/>
  <c r="Y47" i="55"/>
  <c r="Z47" i="55"/>
  <c r="AA47" i="55"/>
  <c r="B48" i="55"/>
  <c r="C48" i="55"/>
  <c r="D48" i="55"/>
  <c r="E48" i="55"/>
  <c r="F48" i="55"/>
  <c r="G48" i="55"/>
  <c r="H48" i="55"/>
  <c r="J48" i="55"/>
  <c r="K48" i="55"/>
  <c r="L48" i="55"/>
  <c r="M48" i="55"/>
  <c r="N48" i="55"/>
  <c r="P48" i="55"/>
  <c r="Q48" i="55"/>
  <c r="R48" i="55"/>
  <c r="S48" i="55"/>
  <c r="T48" i="55"/>
  <c r="U48" i="55"/>
  <c r="V48" i="55"/>
  <c r="W48" i="55"/>
  <c r="X48" i="55"/>
  <c r="Y48" i="55"/>
  <c r="Z48" i="55"/>
  <c r="AA48" i="55"/>
  <c r="A46" i="55"/>
  <c r="A47" i="55"/>
  <c r="A48" i="55"/>
  <c r="A45" i="55"/>
  <c r="A44" i="55"/>
  <c r="A36" i="55"/>
  <c r="A37" i="55"/>
  <c r="A38" i="55"/>
  <c r="A39" i="55"/>
  <c r="A40" i="55"/>
  <c r="A41" i="55"/>
  <c r="A42" i="55"/>
  <c r="A43" i="55"/>
  <c r="A35" i="55"/>
  <c r="B178" i="54"/>
  <c r="C178" i="54"/>
  <c r="D178" i="54"/>
  <c r="E178" i="54"/>
  <c r="F178" i="54"/>
  <c r="G178" i="54"/>
  <c r="H178" i="54"/>
  <c r="I178" i="54"/>
  <c r="J178" i="54"/>
  <c r="K178" i="54"/>
  <c r="L178" i="54"/>
  <c r="M178" i="54"/>
  <c r="N178" i="54"/>
  <c r="P178" i="54"/>
  <c r="Q178" i="54"/>
  <c r="R178" i="54"/>
  <c r="S178" i="54"/>
  <c r="T178" i="54"/>
  <c r="U178" i="54"/>
  <c r="V178" i="54"/>
  <c r="W178" i="54"/>
  <c r="X178" i="54"/>
  <c r="Y178" i="54"/>
  <c r="Z178" i="54"/>
  <c r="AA178" i="54"/>
  <c r="A178" i="54"/>
  <c r="B157" i="54"/>
  <c r="C157" i="54"/>
  <c r="D157" i="54"/>
  <c r="E157" i="54"/>
  <c r="F157" i="54"/>
  <c r="G157" i="54"/>
  <c r="H157" i="54"/>
  <c r="I157" i="54"/>
  <c r="J157" i="54"/>
  <c r="K157" i="54"/>
  <c r="L157" i="54"/>
  <c r="M157" i="54"/>
  <c r="N157" i="54"/>
  <c r="P157" i="54"/>
  <c r="Q157" i="54"/>
  <c r="R157" i="54"/>
  <c r="S157" i="54"/>
  <c r="T157" i="54"/>
  <c r="U157" i="54"/>
  <c r="V157" i="54"/>
  <c r="W157" i="54"/>
  <c r="X157" i="54"/>
  <c r="Y157" i="54"/>
  <c r="Z157" i="54"/>
  <c r="AA157" i="54"/>
  <c r="B158" i="54"/>
  <c r="C158" i="54"/>
  <c r="D158" i="54"/>
  <c r="E158" i="54"/>
  <c r="F158" i="54"/>
  <c r="G158" i="54"/>
  <c r="H158" i="54"/>
  <c r="I158" i="54"/>
  <c r="J158" i="54"/>
  <c r="K158" i="54"/>
  <c r="L158" i="54"/>
  <c r="M158" i="54"/>
  <c r="N158" i="54"/>
  <c r="P158" i="54"/>
  <c r="Q158" i="54"/>
  <c r="R158" i="54"/>
  <c r="S158" i="54"/>
  <c r="T158" i="54"/>
  <c r="U158" i="54"/>
  <c r="V158" i="54"/>
  <c r="W158" i="54"/>
  <c r="X158" i="54"/>
  <c r="Y158" i="54"/>
  <c r="Z158" i="54"/>
  <c r="AA158" i="54"/>
  <c r="B159" i="54"/>
  <c r="C159" i="54"/>
  <c r="D159" i="54"/>
  <c r="E159" i="54"/>
  <c r="F159" i="54"/>
  <c r="G159" i="54"/>
  <c r="H159" i="54"/>
  <c r="I159" i="54"/>
  <c r="J159" i="54"/>
  <c r="K159" i="54"/>
  <c r="L159" i="54"/>
  <c r="M159" i="54"/>
  <c r="N159" i="54"/>
  <c r="P159" i="54"/>
  <c r="Q159" i="54"/>
  <c r="R159" i="54"/>
  <c r="S159" i="54"/>
  <c r="T159" i="54"/>
  <c r="U159" i="54"/>
  <c r="V159" i="54"/>
  <c r="W159" i="54"/>
  <c r="X159" i="54"/>
  <c r="Y159" i="54"/>
  <c r="Z159" i="54"/>
  <c r="AA159" i="54"/>
  <c r="B160" i="54"/>
  <c r="C160" i="54"/>
  <c r="D160" i="54"/>
  <c r="E160" i="54"/>
  <c r="F160" i="54"/>
  <c r="G160" i="54"/>
  <c r="H160" i="54"/>
  <c r="I160" i="54"/>
  <c r="J160" i="54"/>
  <c r="K160" i="54"/>
  <c r="L160" i="54"/>
  <c r="M160" i="54"/>
  <c r="N160" i="54"/>
  <c r="P160" i="54"/>
  <c r="Q160" i="54"/>
  <c r="R160" i="54"/>
  <c r="S160" i="54"/>
  <c r="T160" i="54"/>
  <c r="U160" i="54"/>
  <c r="V160" i="54"/>
  <c r="W160" i="54"/>
  <c r="X160" i="54"/>
  <c r="Y160" i="54"/>
  <c r="Z160" i="54"/>
  <c r="AA160" i="54"/>
  <c r="B161" i="54"/>
  <c r="C161" i="54"/>
  <c r="D161" i="54"/>
  <c r="E161" i="54"/>
  <c r="F161" i="54"/>
  <c r="G161" i="54"/>
  <c r="H161" i="54"/>
  <c r="J161" i="54"/>
  <c r="K161" i="54"/>
  <c r="L161" i="54"/>
  <c r="M161" i="54"/>
  <c r="N161" i="54"/>
  <c r="P161" i="54"/>
  <c r="Q161" i="54"/>
  <c r="R161" i="54"/>
  <c r="S161" i="54"/>
  <c r="T161" i="54"/>
  <c r="U161" i="54"/>
  <c r="V161" i="54"/>
  <c r="W161" i="54"/>
  <c r="X161" i="54"/>
  <c r="Y161" i="54"/>
  <c r="Z161" i="54"/>
  <c r="AA161" i="54"/>
  <c r="B162" i="54"/>
  <c r="C162" i="54"/>
  <c r="D162" i="54"/>
  <c r="E162" i="54"/>
  <c r="F162" i="54"/>
  <c r="G162" i="54"/>
  <c r="H162" i="54"/>
  <c r="J162" i="54"/>
  <c r="K162" i="54"/>
  <c r="L162" i="54"/>
  <c r="M162" i="54"/>
  <c r="N162" i="54"/>
  <c r="P162" i="54"/>
  <c r="Q162" i="54"/>
  <c r="R162" i="54"/>
  <c r="S162" i="54"/>
  <c r="T162" i="54"/>
  <c r="U162" i="54"/>
  <c r="V162" i="54"/>
  <c r="W162" i="54"/>
  <c r="X162" i="54"/>
  <c r="Y162" i="54"/>
  <c r="Z162" i="54"/>
  <c r="AA162" i="54"/>
  <c r="B163" i="54"/>
  <c r="C163" i="54"/>
  <c r="D163" i="54"/>
  <c r="E163" i="54"/>
  <c r="F163" i="54"/>
  <c r="G163" i="54"/>
  <c r="H163" i="54"/>
  <c r="J163" i="54"/>
  <c r="K163" i="54"/>
  <c r="L163" i="54"/>
  <c r="M163" i="54"/>
  <c r="N163" i="54"/>
  <c r="P163" i="54"/>
  <c r="Q163" i="54"/>
  <c r="R163" i="54"/>
  <c r="S163" i="54"/>
  <c r="T163" i="54"/>
  <c r="U163" i="54"/>
  <c r="V163" i="54"/>
  <c r="W163" i="54"/>
  <c r="X163" i="54"/>
  <c r="Y163" i="54"/>
  <c r="Z163" i="54"/>
  <c r="AA163" i="54"/>
  <c r="B164" i="54"/>
  <c r="C164" i="54"/>
  <c r="D164" i="54"/>
  <c r="E164" i="54"/>
  <c r="F164" i="54"/>
  <c r="G164" i="54"/>
  <c r="H164" i="54"/>
  <c r="I164" i="54"/>
  <c r="J164" i="54"/>
  <c r="K164" i="54"/>
  <c r="L164" i="54"/>
  <c r="M164" i="54"/>
  <c r="N164" i="54"/>
  <c r="P164" i="54"/>
  <c r="Q164" i="54"/>
  <c r="R164" i="54"/>
  <c r="S164" i="54"/>
  <c r="T164" i="54"/>
  <c r="U164" i="54"/>
  <c r="V164" i="54"/>
  <c r="W164" i="54"/>
  <c r="X164" i="54"/>
  <c r="Y164" i="54"/>
  <c r="Z164" i="54"/>
  <c r="AA164" i="54"/>
  <c r="B165" i="54"/>
  <c r="C165" i="54"/>
  <c r="D165" i="54"/>
  <c r="E165" i="54"/>
  <c r="F165" i="54"/>
  <c r="G165" i="54"/>
  <c r="H165" i="54"/>
  <c r="I165" i="54"/>
  <c r="J165" i="54"/>
  <c r="K165" i="54"/>
  <c r="L165" i="54"/>
  <c r="M165" i="54"/>
  <c r="N165" i="54"/>
  <c r="P165" i="54"/>
  <c r="Q165" i="54"/>
  <c r="R165" i="54"/>
  <c r="S165" i="54"/>
  <c r="T165" i="54"/>
  <c r="U165" i="54"/>
  <c r="V165" i="54"/>
  <c r="W165" i="54"/>
  <c r="X165" i="54"/>
  <c r="Y165" i="54"/>
  <c r="Z165" i="54"/>
  <c r="AA165" i="54"/>
  <c r="B166" i="54"/>
  <c r="C166" i="54"/>
  <c r="D166" i="54"/>
  <c r="E166" i="54"/>
  <c r="F166" i="54"/>
  <c r="G166" i="54"/>
  <c r="H166" i="54"/>
  <c r="I166" i="54"/>
  <c r="J166" i="54"/>
  <c r="K166" i="54"/>
  <c r="L166" i="54"/>
  <c r="M166" i="54"/>
  <c r="N166" i="54"/>
  <c r="P166" i="54"/>
  <c r="Q166" i="54"/>
  <c r="R166" i="54"/>
  <c r="S166" i="54"/>
  <c r="T166" i="54"/>
  <c r="U166" i="54"/>
  <c r="V166" i="54"/>
  <c r="W166" i="54"/>
  <c r="X166" i="54"/>
  <c r="Y166" i="54"/>
  <c r="Z166" i="54"/>
  <c r="AA166" i="54"/>
  <c r="B167" i="54"/>
  <c r="C167" i="54"/>
  <c r="D167" i="54"/>
  <c r="E167" i="54"/>
  <c r="F167" i="54"/>
  <c r="G167" i="54"/>
  <c r="H167" i="54"/>
  <c r="I167" i="54"/>
  <c r="J167" i="54"/>
  <c r="K167" i="54"/>
  <c r="L167" i="54"/>
  <c r="M167" i="54"/>
  <c r="N167" i="54"/>
  <c r="P167" i="54"/>
  <c r="Q167" i="54"/>
  <c r="R167" i="54"/>
  <c r="S167" i="54"/>
  <c r="T167" i="54"/>
  <c r="U167" i="54"/>
  <c r="V167" i="54"/>
  <c r="W167" i="54"/>
  <c r="X167" i="54"/>
  <c r="Y167" i="54"/>
  <c r="Z167" i="54"/>
  <c r="AA167" i="54"/>
  <c r="B168" i="54"/>
  <c r="C168" i="54"/>
  <c r="D168" i="54"/>
  <c r="E168" i="54"/>
  <c r="F168" i="54"/>
  <c r="G168" i="54"/>
  <c r="H168" i="54"/>
  <c r="I168" i="54"/>
  <c r="J168" i="54"/>
  <c r="K168" i="54"/>
  <c r="L168" i="54"/>
  <c r="M168" i="54"/>
  <c r="N168" i="54"/>
  <c r="P168" i="54"/>
  <c r="Q168" i="54"/>
  <c r="R168" i="54"/>
  <c r="S168" i="54"/>
  <c r="T168" i="54"/>
  <c r="U168" i="54"/>
  <c r="V168" i="54"/>
  <c r="W168" i="54"/>
  <c r="X168" i="54"/>
  <c r="Y168" i="54"/>
  <c r="Z168" i="54"/>
  <c r="AA168" i="54"/>
  <c r="B169" i="54"/>
  <c r="C169" i="54"/>
  <c r="D169" i="54"/>
  <c r="E169" i="54"/>
  <c r="F169" i="54"/>
  <c r="G169" i="54"/>
  <c r="H169" i="54"/>
  <c r="I169" i="54"/>
  <c r="J169" i="54"/>
  <c r="K169" i="54"/>
  <c r="L169" i="54"/>
  <c r="M169" i="54"/>
  <c r="N169" i="54"/>
  <c r="P169" i="54"/>
  <c r="Q169" i="54"/>
  <c r="R169" i="54"/>
  <c r="S169" i="54"/>
  <c r="T169" i="54"/>
  <c r="U169" i="54"/>
  <c r="V169" i="54"/>
  <c r="W169" i="54"/>
  <c r="X169" i="54"/>
  <c r="Y169" i="54"/>
  <c r="Z169" i="54"/>
  <c r="AA169" i="54"/>
  <c r="B170" i="54"/>
  <c r="C170" i="54"/>
  <c r="D170" i="54"/>
  <c r="E170" i="54"/>
  <c r="F170" i="54"/>
  <c r="G170" i="54"/>
  <c r="H170" i="54"/>
  <c r="I170" i="54"/>
  <c r="J170" i="54"/>
  <c r="K170" i="54"/>
  <c r="L170" i="54"/>
  <c r="M170" i="54"/>
  <c r="N170" i="54"/>
  <c r="P170" i="54"/>
  <c r="Q170" i="54"/>
  <c r="R170" i="54"/>
  <c r="S170" i="54"/>
  <c r="T170" i="54"/>
  <c r="U170" i="54"/>
  <c r="V170" i="54"/>
  <c r="W170" i="54"/>
  <c r="X170" i="54"/>
  <c r="Y170" i="54"/>
  <c r="Z170" i="54"/>
  <c r="AA170" i="54"/>
  <c r="B171" i="54"/>
  <c r="C171" i="54"/>
  <c r="D171" i="54"/>
  <c r="E171" i="54"/>
  <c r="F171" i="54"/>
  <c r="G171" i="54"/>
  <c r="H171" i="54"/>
  <c r="I171" i="54"/>
  <c r="J171" i="54"/>
  <c r="K171" i="54"/>
  <c r="L171" i="54"/>
  <c r="M171" i="54"/>
  <c r="N171" i="54"/>
  <c r="P171" i="54"/>
  <c r="Q171" i="54"/>
  <c r="R171" i="54"/>
  <c r="S171" i="54"/>
  <c r="T171" i="54"/>
  <c r="U171" i="54"/>
  <c r="V171" i="54"/>
  <c r="W171" i="54"/>
  <c r="X171" i="54"/>
  <c r="Y171" i="54"/>
  <c r="Z171" i="54"/>
  <c r="AA171" i="54"/>
  <c r="B172" i="54"/>
  <c r="C172" i="54"/>
  <c r="D172" i="54"/>
  <c r="E172" i="54"/>
  <c r="F172" i="54"/>
  <c r="G172" i="54"/>
  <c r="H172" i="54"/>
  <c r="J172" i="54"/>
  <c r="K172" i="54"/>
  <c r="L172" i="54"/>
  <c r="M172" i="54"/>
  <c r="N172" i="54"/>
  <c r="P172" i="54"/>
  <c r="Q172" i="54"/>
  <c r="R172" i="54"/>
  <c r="S172" i="54"/>
  <c r="T172" i="54"/>
  <c r="U172" i="54"/>
  <c r="V172" i="54"/>
  <c r="W172" i="54"/>
  <c r="X172" i="54"/>
  <c r="Y172" i="54"/>
  <c r="Z172" i="54"/>
  <c r="AA172" i="54"/>
  <c r="B173" i="54"/>
  <c r="C173" i="54"/>
  <c r="D173" i="54"/>
  <c r="E173" i="54"/>
  <c r="F173" i="54"/>
  <c r="G173" i="54"/>
  <c r="H173" i="54"/>
  <c r="J173" i="54"/>
  <c r="K173" i="54"/>
  <c r="L173" i="54"/>
  <c r="M173" i="54"/>
  <c r="N173" i="54"/>
  <c r="P173" i="54"/>
  <c r="Q173" i="54"/>
  <c r="R173" i="54"/>
  <c r="S173" i="54"/>
  <c r="T173" i="54"/>
  <c r="U173" i="54"/>
  <c r="V173" i="54"/>
  <c r="W173" i="54"/>
  <c r="X173" i="54"/>
  <c r="Y173" i="54"/>
  <c r="Z173" i="54"/>
  <c r="AA173" i="54"/>
  <c r="B174" i="54"/>
  <c r="C174" i="54"/>
  <c r="D174" i="54"/>
  <c r="E174" i="54"/>
  <c r="F174" i="54"/>
  <c r="G174" i="54"/>
  <c r="H174" i="54"/>
  <c r="I174" i="54"/>
  <c r="J174" i="54"/>
  <c r="K174" i="54"/>
  <c r="L174" i="54"/>
  <c r="M174" i="54"/>
  <c r="N174" i="54"/>
  <c r="P174" i="54"/>
  <c r="Q174" i="54"/>
  <c r="R174" i="54"/>
  <c r="S174" i="54"/>
  <c r="T174" i="54"/>
  <c r="U174" i="54"/>
  <c r="V174" i="54"/>
  <c r="W174" i="54"/>
  <c r="X174" i="54"/>
  <c r="Y174" i="54"/>
  <c r="Z174" i="54"/>
  <c r="AA174" i="54"/>
  <c r="B175" i="54"/>
  <c r="C175" i="54"/>
  <c r="D175" i="54"/>
  <c r="E175" i="54"/>
  <c r="F175" i="54"/>
  <c r="G175" i="54"/>
  <c r="H175" i="54"/>
  <c r="J175" i="54"/>
  <c r="K175" i="54"/>
  <c r="L175" i="54"/>
  <c r="M175" i="54"/>
  <c r="N175" i="54"/>
  <c r="P175" i="54"/>
  <c r="Q175" i="54"/>
  <c r="R175" i="54"/>
  <c r="S175" i="54"/>
  <c r="T175" i="54"/>
  <c r="U175" i="54"/>
  <c r="V175" i="54"/>
  <c r="W175" i="54"/>
  <c r="X175" i="54"/>
  <c r="Y175" i="54"/>
  <c r="Z175" i="54"/>
  <c r="AA175" i="54"/>
  <c r="B176" i="54"/>
  <c r="C176" i="54"/>
  <c r="D176" i="54"/>
  <c r="E176" i="54"/>
  <c r="F176" i="54"/>
  <c r="G176" i="54"/>
  <c r="H176" i="54"/>
  <c r="J176" i="54"/>
  <c r="K176" i="54"/>
  <c r="L176" i="54"/>
  <c r="M176" i="54"/>
  <c r="N176" i="54"/>
  <c r="P176" i="54"/>
  <c r="Q176" i="54"/>
  <c r="R176" i="54"/>
  <c r="S176" i="54"/>
  <c r="T176" i="54"/>
  <c r="U176" i="54"/>
  <c r="V176" i="54"/>
  <c r="W176" i="54"/>
  <c r="X176" i="54"/>
  <c r="Y176" i="54"/>
  <c r="Z176" i="54"/>
  <c r="AA176" i="54"/>
  <c r="B177" i="54"/>
  <c r="C177" i="54"/>
  <c r="D177" i="54"/>
  <c r="E177" i="54"/>
  <c r="F177" i="54"/>
  <c r="G177" i="54"/>
  <c r="H177" i="54"/>
  <c r="I177" i="54"/>
  <c r="J177" i="54"/>
  <c r="K177" i="54"/>
  <c r="L177" i="54"/>
  <c r="M177" i="54"/>
  <c r="N177" i="54"/>
  <c r="P177" i="54"/>
  <c r="Q177" i="54"/>
  <c r="R177" i="54"/>
  <c r="S177" i="54"/>
  <c r="T177" i="54"/>
  <c r="U177" i="54"/>
  <c r="V177" i="54"/>
  <c r="W177" i="54"/>
  <c r="X177" i="54"/>
  <c r="Y177" i="54"/>
  <c r="Z177" i="54"/>
  <c r="AA177" i="54"/>
  <c r="B179" i="54"/>
  <c r="C179" i="54"/>
  <c r="D179" i="54"/>
  <c r="E179" i="54"/>
  <c r="F179" i="54"/>
  <c r="G179" i="54"/>
  <c r="H179" i="54"/>
  <c r="J179" i="54"/>
  <c r="K179" i="54"/>
  <c r="L179" i="54"/>
  <c r="M179" i="54"/>
  <c r="N179" i="54"/>
  <c r="P179" i="54"/>
  <c r="Q179" i="54"/>
  <c r="R179" i="54"/>
  <c r="S179" i="54"/>
  <c r="T179" i="54"/>
  <c r="U179" i="54"/>
  <c r="V179" i="54"/>
  <c r="W179" i="54"/>
  <c r="X179" i="54"/>
  <c r="Y179" i="54"/>
  <c r="Z179" i="54"/>
  <c r="AA179" i="54"/>
  <c r="B180" i="54"/>
  <c r="C180" i="54"/>
  <c r="D180" i="54"/>
  <c r="E180" i="54"/>
  <c r="F180" i="54"/>
  <c r="G180" i="54"/>
  <c r="H180" i="54"/>
  <c r="I180" i="54"/>
  <c r="J180" i="54"/>
  <c r="K180" i="54"/>
  <c r="L180" i="54"/>
  <c r="M180" i="54"/>
  <c r="N180" i="54"/>
  <c r="P180" i="54"/>
  <c r="Q180" i="54"/>
  <c r="R180" i="54"/>
  <c r="S180" i="54"/>
  <c r="T180" i="54"/>
  <c r="U180" i="54"/>
  <c r="V180" i="54"/>
  <c r="W180" i="54"/>
  <c r="X180" i="54"/>
  <c r="Y180" i="54"/>
  <c r="Z180" i="54"/>
  <c r="AA180" i="54"/>
  <c r="B181" i="54"/>
  <c r="C181" i="54"/>
  <c r="D181" i="54"/>
  <c r="E181" i="54"/>
  <c r="F181" i="54"/>
  <c r="G181" i="54"/>
  <c r="H181" i="54"/>
  <c r="I181" i="54"/>
  <c r="J181" i="54"/>
  <c r="K181" i="54"/>
  <c r="L181" i="54"/>
  <c r="M181" i="54"/>
  <c r="N181" i="54"/>
  <c r="P181" i="54"/>
  <c r="Q181" i="54"/>
  <c r="R181" i="54"/>
  <c r="S181" i="54"/>
  <c r="T181" i="54"/>
  <c r="U181" i="54"/>
  <c r="V181" i="54"/>
  <c r="W181" i="54"/>
  <c r="X181" i="54"/>
  <c r="Y181" i="54"/>
  <c r="Z181" i="54"/>
  <c r="AA181" i="54"/>
  <c r="B182" i="54"/>
  <c r="C182" i="54"/>
  <c r="D182" i="54"/>
  <c r="E182" i="54"/>
  <c r="F182" i="54"/>
  <c r="G182" i="54"/>
  <c r="H182" i="54"/>
  <c r="I182" i="54"/>
  <c r="J182" i="54"/>
  <c r="K182" i="54"/>
  <c r="L182" i="54"/>
  <c r="M182" i="54"/>
  <c r="N182" i="54"/>
  <c r="P182" i="54"/>
  <c r="Q182" i="54"/>
  <c r="R182" i="54"/>
  <c r="S182" i="54"/>
  <c r="T182" i="54"/>
  <c r="U182" i="54"/>
  <c r="V182" i="54"/>
  <c r="W182" i="54"/>
  <c r="X182" i="54"/>
  <c r="Y182" i="54"/>
  <c r="Z182" i="54"/>
  <c r="AA182" i="54"/>
  <c r="B183" i="54"/>
  <c r="C183" i="54"/>
  <c r="D183" i="54"/>
  <c r="E183" i="54"/>
  <c r="F183" i="54"/>
  <c r="G183" i="54"/>
  <c r="H183" i="54"/>
  <c r="I183" i="54"/>
  <c r="J183" i="54"/>
  <c r="K183" i="54"/>
  <c r="L183" i="54"/>
  <c r="M183" i="54"/>
  <c r="N183" i="54"/>
  <c r="P183" i="54"/>
  <c r="Q183" i="54"/>
  <c r="R183" i="54"/>
  <c r="S183" i="54"/>
  <c r="T183" i="54"/>
  <c r="U183" i="54"/>
  <c r="V183" i="54"/>
  <c r="W183" i="54"/>
  <c r="X183" i="54"/>
  <c r="Y183" i="54"/>
  <c r="Z183" i="54"/>
  <c r="AA183" i="54"/>
  <c r="B184" i="54"/>
  <c r="C184" i="54"/>
  <c r="D184" i="54"/>
  <c r="E184" i="54"/>
  <c r="F184" i="54"/>
  <c r="G184" i="54"/>
  <c r="H184" i="54"/>
  <c r="I184" i="54"/>
  <c r="J184" i="54"/>
  <c r="K184" i="54"/>
  <c r="L184" i="54"/>
  <c r="M184" i="54"/>
  <c r="N184" i="54"/>
  <c r="P184" i="54"/>
  <c r="Q184" i="54"/>
  <c r="R184" i="54"/>
  <c r="S184" i="54"/>
  <c r="T184" i="54"/>
  <c r="U184" i="54"/>
  <c r="V184" i="54"/>
  <c r="W184" i="54"/>
  <c r="X184" i="54"/>
  <c r="Y184" i="54"/>
  <c r="Z184" i="54"/>
  <c r="AA184" i="54"/>
  <c r="B185" i="54"/>
  <c r="C185" i="54"/>
  <c r="D185" i="54"/>
  <c r="E185" i="54"/>
  <c r="F185" i="54"/>
  <c r="G185" i="54"/>
  <c r="H185" i="54"/>
  <c r="I185" i="54"/>
  <c r="J185" i="54"/>
  <c r="K185" i="54"/>
  <c r="L185" i="54"/>
  <c r="M185" i="54"/>
  <c r="N185" i="54"/>
  <c r="P185" i="54"/>
  <c r="Q185" i="54"/>
  <c r="R185" i="54"/>
  <c r="S185" i="54"/>
  <c r="T185" i="54"/>
  <c r="U185" i="54"/>
  <c r="V185" i="54"/>
  <c r="W185" i="54"/>
  <c r="X185" i="54"/>
  <c r="Y185" i="54"/>
  <c r="Z185" i="54"/>
  <c r="AA185" i="54"/>
  <c r="B186" i="54"/>
  <c r="C186" i="54"/>
  <c r="D186" i="54"/>
  <c r="E186" i="54"/>
  <c r="F186" i="54"/>
  <c r="G186" i="54"/>
  <c r="H186" i="54"/>
  <c r="I186" i="54"/>
  <c r="J186" i="54"/>
  <c r="K186" i="54"/>
  <c r="L186" i="54"/>
  <c r="M186" i="54"/>
  <c r="N186" i="54"/>
  <c r="P186" i="54"/>
  <c r="Q186" i="54"/>
  <c r="R186" i="54"/>
  <c r="S186" i="54"/>
  <c r="T186" i="54"/>
  <c r="U186" i="54"/>
  <c r="V186" i="54"/>
  <c r="W186" i="54"/>
  <c r="X186" i="54"/>
  <c r="Y186" i="54"/>
  <c r="Z186" i="54"/>
  <c r="AA186" i="54"/>
  <c r="B187" i="54"/>
  <c r="C187" i="54"/>
  <c r="D187" i="54"/>
  <c r="E187" i="54"/>
  <c r="F187" i="54"/>
  <c r="G187" i="54"/>
  <c r="H187" i="54"/>
  <c r="I187" i="54"/>
  <c r="J187" i="54"/>
  <c r="K187" i="54"/>
  <c r="L187" i="54"/>
  <c r="M187" i="54"/>
  <c r="N187" i="54"/>
  <c r="P187" i="54"/>
  <c r="Q187" i="54"/>
  <c r="R187" i="54"/>
  <c r="S187" i="54"/>
  <c r="T187" i="54"/>
  <c r="U187" i="54"/>
  <c r="V187" i="54"/>
  <c r="W187" i="54"/>
  <c r="X187" i="54"/>
  <c r="Y187" i="54"/>
  <c r="Z187" i="54"/>
  <c r="AA187" i="54"/>
  <c r="B188" i="54"/>
  <c r="C188" i="54"/>
  <c r="D188" i="54"/>
  <c r="E188" i="54"/>
  <c r="F188" i="54"/>
  <c r="G188" i="54"/>
  <c r="H188" i="54"/>
  <c r="I188" i="54"/>
  <c r="J188" i="54"/>
  <c r="K188" i="54"/>
  <c r="L188" i="54"/>
  <c r="M188" i="54"/>
  <c r="N188" i="54"/>
  <c r="P188" i="54"/>
  <c r="Q188" i="54"/>
  <c r="R188" i="54"/>
  <c r="S188" i="54"/>
  <c r="T188" i="54"/>
  <c r="U188" i="54"/>
  <c r="V188" i="54"/>
  <c r="W188" i="54"/>
  <c r="X188" i="54"/>
  <c r="Y188" i="54"/>
  <c r="Z188" i="54"/>
  <c r="AA188" i="54"/>
  <c r="B189" i="54"/>
  <c r="C189" i="54"/>
  <c r="D189" i="54"/>
  <c r="E189" i="54"/>
  <c r="F189" i="54"/>
  <c r="G189" i="54"/>
  <c r="H189" i="54"/>
  <c r="I189" i="54"/>
  <c r="J189" i="54"/>
  <c r="K189" i="54"/>
  <c r="L189" i="54"/>
  <c r="M189" i="54"/>
  <c r="N189" i="54"/>
  <c r="P189" i="54"/>
  <c r="Q189" i="54"/>
  <c r="R189" i="54"/>
  <c r="S189" i="54"/>
  <c r="T189" i="54"/>
  <c r="U189" i="54"/>
  <c r="V189" i="54"/>
  <c r="W189" i="54"/>
  <c r="X189" i="54"/>
  <c r="Y189" i="54"/>
  <c r="Z189" i="54"/>
  <c r="AA189" i="54"/>
  <c r="B190" i="54"/>
  <c r="C190" i="54"/>
  <c r="D190" i="54"/>
  <c r="E190" i="54"/>
  <c r="F190" i="54"/>
  <c r="G190" i="54"/>
  <c r="H190" i="54"/>
  <c r="J190" i="54"/>
  <c r="K190" i="54"/>
  <c r="L190" i="54"/>
  <c r="M190" i="54"/>
  <c r="N190" i="54"/>
  <c r="P190" i="54"/>
  <c r="Q190" i="54"/>
  <c r="R190" i="54"/>
  <c r="S190" i="54"/>
  <c r="T190" i="54"/>
  <c r="U190" i="54"/>
  <c r="V190" i="54"/>
  <c r="W190" i="54"/>
  <c r="X190" i="54"/>
  <c r="Y190" i="54"/>
  <c r="Z190" i="54"/>
  <c r="AA190" i="54"/>
  <c r="B191" i="54"/>
  <c r="C191" i="54"/>
  <c r="D191" i="54"/>
  <c r="E191" i="54"/>
  <c r="F191" i="54"/>
  <c r="G191" i="54"/>
  <c r="H191" i="54"/>
  <c r="J191" i="54"/>
  <c r="K191" i="54"/>
  <c r="L191" i="54"/>
  <c r="M191" i="54"/>
  <c r="N191" i="54"/>
  <c r="P191" i="54"/>
  <c r="Q191" i="54"/>
  <c r="R191" i="54"/>
  <c r="S191" i="54"/>
  <c r="T191" i="54"/>
  <c r="U191" i="54"/>
  <c r="V191" i="54"/>
  <c r="W191" i="54"/>
  <c r="X191" i="54"/>
  <c r="Y191" i="54"/>
  <c r="Z191" i="54"/>
  <c r="AA191" i="54"/>
  <c r="B192" i="54"/>
  <c r="C192" i="54"/>
  <c r="D192" i="54"/>
  <c r="E192" i="54"/>
  <c r="F192" i="54"/>
  <c r="G192" i="54"/>
  <c r="H192" i="54"/>
  <c r="I192" i="54"/>
  <c r="J192" i="54"/>
  <c r="K192" i="54"/>
  <c r="L192" i="54"/>
  <c r="M192" i="54"/>
  <c r="N192" i="54"/>
  <c r="P192" i="54"/>
  <c r="Q192" i="54"/>
  <c r="R192" i="54"/>
  <c r="S192" i="54"/>
  <c r="T192" i="54"/>
  <c r="U192" i="54"/>
  <c r="V192" i="54"/>
  <c r="W192" i="54"/>
  <c r="X192" i="54"/>
  <c r="Y192" i="54"/>
  <c r="Z192" i="54"/>
  <c r="AA192" i="54"/>
  <c r="B193" i="54"/>
  <c r="C193" i="54"/>
  <c r="D193" i="54"/>
  <c r="E193" i="54"/>
  <c r="F193" i="54"/>
  <c r="G193" i="54"/>
  <c r="H193" i="54"/>
  <c r="I193" i="54"/>
  <c r="J193" i="54"/>
  <c r="K193" i="54"/>
  <c r="L193" i="54"/>
  <c r="M193" i="54"/>
  <c r="N193" i="54"/>
  <c r="P193" i="54"/>
  <c r="Q193" i="54"/>
  <c r="R193" i="54"/>
  <c r="S193" i="54"/>
  <c r="T193" i="54"/>
  <c r="U193" i="54"/>
  <c r="V193" i="54"/>
  <c r="W193" i="54"/>
  <c r="X193" i="54"/>
  <c r="Y193" i="54"/>
  <c r="Z193" i="54"/>
  <c r="AA193" i="54"/>
  <c r="A193" i="54"/>
  <c r="A192" i="54"/>
  <c r="A187" i="54"/>
  <c r="A188" i="54"/>
  <c r="A189" i="54"/>
  <c r="A190" i="54"/>
  <c r="A191" i="54"/>
  <c r="A186" i="54"/>
  <c r="A185" i="54"/>
  <c r="A182" i="54"/>
  <c r="A183" i="54"/>
  <c r="A184" i="54"/>
  <c r="A181" i="54"/>
  <c r="A180" i="54"/>
  <c r="A179" i="54"/>
  <c r="A177" i="54"/>
  <c r="A176" i="54"/>
  <c r="A175" i="54"/>
  <c r="A172" i="54"/>
  <c r="A173" i="54"/>
  <c r="A174" i="54"/>
  <c r="A171" i="54"/>
  <c r="A170" i="54"/>
  <c r="A169" i="54"/>
  <c r="A165" i="54"/>
  <c r="A166" i="54"/>
  <c r="A167" i="54"/>
  <c r="A168" i="54"/>
  <c r="A164" i="54"/>
  <c r="A163" i="54"/>
  <c r="A158" i="54"/>
  <c r="A159" i="54"/>
  <c r="A160" i="54"/>
  <c r="A161" i="54"/>
  <c r="A162" i="54"/>
  <c r="A157" i="54"/>
  <c r="B113" i="54"/>
  <c r="C113" i="54"/>
  <c r="D113" i="54"/>
  <c r="E113" i="54"/>
  <c r="F113" i="54"/>
  <c r="G113" i="54"/>
  <c r="H113" i="54"/>
  <c r="I113" i="54"/>
  <c r="J113" i="54"/>
  <c r="K113" i="54"/>
  <c r="L113" i="54"/>
  <c r="M113" i="54"/>
  <c r="N113" i="54"/>
  <c r="P113" i="54"/>
  <c r="Q113" i="54"/>
  <c r="R113" i="54"/>
  <c r="S113" i="54"/>
  <c r="T113" i="54"/>
  <c r="U113" i="54"/>
  <c r="V113" i="54"/>
  <c r="W113" i="54"/>
  <c r="X113" i="54"/>
  <c r="Y113" i="54"/>
  <c r="Z113" i="54"/>
  <c r="AA113" i="54"/>
  <c r="B114" i="54"/>
  <c r="C114" i="54"/>
  <c r="D114" i="54"/>
  <c r="E114" i="54"/>
  <c r="F114" i="54"/>
  <c r="G114" i="54"/>
  <c r="H114" i="54"/>
  <c r="I114" i="54"/>
  <c r="J114" i="54"/>
  <c r="K114" i="54"/>
  <c r="L114" i="54"/>
  <c r="M114" i="54"/>
  <c r="N114" i="54"/>
  <c r="P114" i="54"/>
  <c r="Q114" i="54"/>
  <c r="R114" i="54"/>
  <c r="S114" i="54"/>
  <c r="T114" i="54"/>
  <c r="U114" i="54"/>
  <c r="V114" i="54"/>
  <c r="W114" i="54"/>
  <c r="X114" i="54"/>
  <c r="Y114" i="54"/>
  <c r="Z114" i="54"/>
  <c r="AA114" i="54"/>
  <c r="B115" i="54"/>
  <c r="C115" i="54"/>
  <c r="D115" i="54"/>
  <c r="E115" i="54"/>
  <c r="F115" i="54"/>
  <c r="G115" i="54"/>
  <c r="H115" i="54"/>
  <c r="I115" i="54"/>
  <c r="J115" i="54"/>
  <c r="K115" i="54"/>
  <c r="L115" i="54"/>
  <c r="M115" i="54"/>
  <c r="N115" i="54"/>
  <c r="P115" i="54"/>
  <c r="Q115" i="54"/>
  <c r="R115" i="54"/>
  <c r="S115" i="54"/>
  <c r="T115" i="54"/>
  <c r="U115" i="54"/>
  <c r="V115" i="54"/>
  <c r="W115" i="54"/>
  <c r="X115" i="54"/>
  <c r="Y115" i="54"/>
  <c r="Z115" i="54"/>
  <c r="AA115" i="54"/>
  <c r="B116" i="54"/>
  <c r="C116" i="54"/>
  <c r="D116" i="54"/>
  <c r="E116" i="54"/>
  <c r="F116" i="54"/>
  <c r="G116" i="54"/>
  <c r="H116" i="54"/>
  <c r="I116" i="54"/>
  <c r="J116" i="54"/>
  <c r="K116" i="54"/>
  <c r="L116" i="54"/>
  <c r="M116" i="54"/>
  <c r="N116" i="54"/>
  <c r="P116" i="54"/>
  <c r="Q116" i="54"/>
  <c r="R116" i="54"/>
  <c r="S116" i="54"/>
  <c r="T116" i="54"/>
  <c r="U116" i="54"/>
  <c r="V116" i="54"/>
  <c r="W116" i="54"/>
  <c r="X116" i="54"/>
  <c r="Y116" i="54"/>
  <c r="Z116" i="54"/>
  <c r="AA116" i="54"/>
  <c r="B117" i="54"/>
  <c r="C117" i="54"/>
  <c r="D117" i="54"/>
  <c r="E117" i="54"/>
  <c r="F117" i="54"/>
  <c r="G117" i="54"/>
  <c r="H117" i="54"/>
  <c r="J117" i="54"/>
  <c r="K117" i="54"/>
  <c r="L117" i="54"/>
  <c r="M117" i="54"/>
  <c r="N117" i="54"/>
  <c r="P117" i="54"/>
  <c r="Q117" i="54"/>
  <c r="R117" i="54"/>
  <c r="S117" i="54"/>
  <c r="T117" i="54"/>
  <c r="U117" i="54"/>
  <c r="V117" i="54"/>
  <c r="W117" i="54"/>
  <c r="X117" i="54"/>
  <c r="Y117" i="54"/>
  <c r="Z117" i="54"/>
  <c r="AA117" i="54"/>
  <c r="B118" i="54"/>
  <c r="C118" i="54"/>
  <c r="D118" i="54"/>
  <c r="E118" i="54"/>
  <c r="F118" i="54"/>
  <c r="G118" i="54"/>
  <c r="H118" i="54"/>
  <c r="J118" i="54"/>
  <c r="K118" i="54"/>
  <c r="L118" i="54"/>
  <c r="M118" i="54"/>
  <c r="N118" i="54"/>
  <c r="P118" i="54"/>
  <c r="Q118" i="54"/>
  <c r="R118" i="54"/>
  <c r="S118" i="54"/>
  <c r="T118" i="54"/>
  <c r="U118" i="54"/>
  <c r="V118" i="54"/>
  <c r="W118" i="54"/>
  <c r="X118" i="54"/>
  <c r="Y118" i="54"/>
  <c r="Z118" i="54"/>
  <c r="AA118" i="54"/>
  <c r="B119" i="54"/>
  <c r="C119" i="54"/>
  <c r="D119" i="54"/>
  <c r="E119" i="54"/>
  <c r="F119" i="54"/>
  <c r="G119" i="54"/>
  <c r="H119" i="54"/>
  <c r="J119" i="54"/>
  <c r="K119" i="54"/>
  <c r="L119" i="54"/>
  <c r="M119" i="54"/>
  <c r="N119" i="54"/>
  <c r="P119" i="54"/>
  <c r="Q119" i="54"/>
  <c r="R119" i="54"/>
  <c r="S119" i="54"/>
  <c r="T119" i="54"/>
  <c r="U119" i="54"/>
  <c r="V119" i="54"/>
  <c r="W119" i="54"/>
  <c r="X119" i="54"/>
  <c r="Y119" i="54"/>
  <c r="Z119" i="54"/>
  <c r="AA119" i="54"/>
  <c r="B120" i="54"/>
  <c r="C120" i="54"/>
  <c r="D120" i="54"/>
  <c r="E120" i="54"/>
  <c r="F120" i="54"/>
  <c r="G120" i="54"/>
  <c r="H120" i="54"/>
  <c r="I120" i="54"/>
  <c r="J120" i="54"/>
  <c r="K120" i="54"/>
  <c r="L120" i="54"/>
  <c r="M120" i="54"/>
  <c r="N120" i="54"/>
  <c r="P120" i="54"/>
  <c r="Q120" i="54"/>
  <c r="R120" i="54"/>
  <c r="S120" i="54"/>
  <c r="T120" i="54"/>
  <c r="U120" i="54"/>
  <c r="V120" i="54"/>
  <c r="W120" i="54"/>
  <c r="X120" i="54"/>
  <c r="Y120" i="54"/>
  <c r="Z120" i="54"/>
  <c r="AA120" i="54"/>
  <c r="B121" i="54"/>
  <c r="C121" i="54"/>
  <c r="D121" i="54"/>
  <c r="E121" i="54"/>
  <c r="F121" i="54"/>
  <c r="G121" i="54"/>
  <c r="H121" i="54"/>
  <c r="I121" i="54"/>
  <c r="J121" i="54"/>
  <c r="K121" i="54"/>
  <c r="L121" i="54"/>
  <c r="M121" i="54"/>
  <c r="N121" i="54"/>
  <c r="P121" i="54"/>
  <c r="Q121" i="54"/>
  <c r="R121" i="54"/>
  <c r="S121" i="54"/>
  <c r="T121" i="54"/>
  <c r="U121" i="54"/>
  <c r="V121" i="54"/>
  <c r="W121" i="54"/>
  <c r="X121" i="54"/>
  <c r="Y121" i="54"/>
  <c r="Z121" i="54"/>
  <c r="AA121" i="54"/>
  <c r="B122" i="54"/>
  <c r="C122" i="54"/>
  <c r="D122" i="54"/>
  <c r="E122" i="54"/>
  <c r="F122" i="54"/>
  <c r="G122" i="54"/>
  <c r="H122" i="54"/>
  <c r="I122" i="54"/>
  <c r="J122" i="54"/>
  <c r="K122" i="54"/>
  <c r="L122" i="54"/>
  <c r="M122" i="54"/>
  <c r="N122" i="54"/>
  <c r="P122" i="54"/>
  <c r="Q122" i="54"/>
  <c r="R122" i="54"/>
  <c r="S122" i="54"/>
  <c r="T122" i="54"/>
  <c r="U122" i="54"/>
  <c r="V122" i="54"/>
  <c r="W122" i="54"/>
  <c r="X122" i="54"/>
  <c r="Y122" i="54"/>
  <c r="Z122" i="54"/>
  <c r="AA122" i="54"/>
  <c r="B123" i="54"/>
  <c r="C123" i="54"/>
  <c r="D123" i="54"/>
  <c r="E123" i="54"/>
  <c r="F123" i="54"/>
  <c r="G123" i="54"/>
  <c r="H123" i="54"/>
  <c r="I123" i="54"/>
  <c r="J123" i="54"/>
  <c r="K123" i="54"/>
  <c r="L123" i="54"/>
  <c r="M123" i="54"/>
  <c r="N123" i="54"/>
  <c r="P123" i="54"/>
  <c r="Q123" i="54"/>
  <c r="R123" i="54"/>
  <c r="S123" i="54"/>
  <c r="T123" i="54"/>
  <c r="U123" i="54"/>
  <c r="V123" i="54"/>
  <c r="W123" i="54"/>
  <c r="X123" i="54"/>
  <c r="Y123" i="54"/>
  <c r="Z123" i="54"/>
  <c r="AA123" i="54"/>
  <c r="B124" i="54"/>
  <c r="C124" i="54"/>
  <c r="D124" i="54"/>
  <c r="E124" i="54"/>
  <c r="F124" i="54"/>
  <c r="G124" i="54"/>
  <c r="H124" i="54"/>
  <c r="I124" i="54"/>
  <c r="J124" i="54"/>
  <c r="K124" i="54"/>
  <c r="L124" i="54"/>
  <c r="M124" i="54"/>
  <c r="N124" i="54"/>
  <c r="P124" i="54"/>
  <c r="Q124" i="54"/>
  <c r="R124" i="54"/>
  <c r="S124" i="54"/>
  <c r="T124" i="54"/>
  <c r="U124" i="54"/>
  <c r="V124" i="54"/>
  <c r="W124" i="54"/>
  <c r="X124" i="54"/>
  <c r="Y124" i="54"/>
  <c r="Z124" i="54"/>
  <c r="AA124" i="54"/>
  <c r="B125" i="54"/>
  <c r="C125" i="54"/>
  <c r="D125" i="54"/>
  <c r="E125" i="54"/>
  <c r="F125" i="54"/>
  <c r="G125" i="54"/>
  <c r="H125" i="54"/>
  <c r="I125" i="54"/>
  <c r="J125" i="54"/>
  <c r="K125" i="54"/>
  <c r="L125" i="54"/>
  <c r="M125" i="54"/>
  <c r="N125" i="54"/>
  <c r="P125" i="54"/>
  <c r="Q125" i="54"/>
  <c r="R125" i="54"/>
  <c r="S125" i="54"/>
  <c r="T125" i="54"/>
  <c r="U125" i="54"/>
  <c r="V125" i="54"/>
  <c r="W125" i="54"/>
  <c r="X125" i="54"/>
  <c r="Y125" i="54"/>
  <c r="Z125" i="54"/>
  <c r="AA125" i="54"/>
  <c r="B126" i="54"/>
  <c r="C126" i="54"/>
  <c r="D126" i="54"/>
  <c r="E126" i="54"/>
  <c r="F126" i="54"/>
  <c r="G126" i="54"/>
  <c r="H126" i="54"/>
  <c r="I126" i="54"/>
  <c r="J126" i="54"/>
  <c r="K126" i="54"/>
  <c r="L126" i="54"/>
  <c r="M126" i="54"/>
  <c r="N126" i="54"/>
  <c r="P126" i="54"/>
  <c r="Q126" i="54"/>
  <c r="R126" i="54"/>
  <c r="S126" i="54"/>
  <c r="T126" i="54"/>
  <c r="U126" i="54"/>
  <c r="V126" i="54"/>
  <c r="W126" i="54"/>
  <c r="X126" i="54"/>
  <c r="Y126" i="54"/>
  <c r="Z126" i="54"/>
  <c r="AA126" i="54"/>
  <c r="B127" i="54"/>
  <c r="C127" i="54"/>
  <c r="D127" i="54"/>
  <c r="E127" i="54"/>
  <c r="F127" i="54"/>
  <c r="G127" i="54"/>
  <c r="H127" i="54"/>
  <c r="J127" i="54"/>
  <c r="K127" i="54"/>
  <c r="L127" i="54"/>
  <c r="M127" i="54"/>
  <c r="N127" i="54"/>
  <c r="P127" i="54"/>
  <c r="Q127" i="54"/>
  <c r="R127" i="54"/>
  <c r="S127" i="54"/>
  <c r="T127" i="54"/>
  <c r="U127" i="54"/>
  <c r="V127" i="54"/>
  <c r="W127" i="54"/>
  <c r="X127" i="54"/>
  <c r="Y127" i="54"/>
  <c r="Z127" i="54"/>
  <c r="AA127" i="54"/>
  <c r="B128" i="54"/>
  <c r="C128" i="54"/>
  <c r="D128" i="54"/>
  <c r="E128" i="54"/>
  <c r="F128" i="54"/>
  <c r="G128" i="54"/>
  <c r="H128" i="54"/>
  <c r="J128" i="54"/>
  <c r="K128" i="54"/>
  <c r="L128" i="54"/>
  <c r="M128" i="54"/>
  <c r="N128" i="54"/>
  <c r="P128" i="54"/>
  <c r="Q128" i="54"/>
  <c r="R128" i="54"/>
  <c r="S128" i="54"/>
  <c r="T128" i="54"/>
  <c r="U128" i="54"/>
  <c r="V128" i="54"/>
  <c r="W128" i="54"/>
  <c r="X128" i="54"/>
  <c r="Y128" i="54"/>
  <c r="Z128" i="54"/>
  <c r="AA128" i="54"/>
  <c r="B129" i="54"/>
  <c r="C129" i="54"/>
  <c r="D129" i="54"/>
  <c r="E129" i="54"/>
  <c r="F129" i="54"/>
  <c r="G129" i="54"/>
  <c r="H129" i="54"/>
  <c r="J129" i="54"/>
  <c r="K129" i="54"/>
  <c r="L129" i="54"/>
  <c r="M129" i="54"/>
  <c r="N129" i="54"/>
  <c r="P129" i="54"/>
  <c r="Q129" i="54"/>
  <c r="R129" i="54"/>
  <c r="S129" i="54"/>
  <c r="T129" i="54"/>
  <c r="U129" i="54"/>
  <c r="V129" i="54"/>
  <c r="W129" i="54"/>
  <c r="X129" i="54"/>
  <c r="Y129" i="54"/>
  <c r="Z129" i="54"/>
  <c r="AA129" i="54"/>
  <c r="B130" i="54"/>
  <c r="C130" i="54"/>
  <c r="D130" i="54"/>
  <c r="E130" i="54"/>
  <c r="F130" i="54"/>
  <c r="G130" i="54"/>
  <c r="H130" i="54"/>
  <c r="J130" i="54"/>
  <c r="K130" i="54"/>
  <c r="L130" i="54"/>
  <c r="M130" i="54"/>
  <c r="N130" i="54"/>
  <c r="P130" i="54"/>
  <c r="Q130" i="54"/>
  <c r="R130" i="54"/>
  <c r="S130" i="54"/>
  <c r="T130" i="54"/>
  <c r="U130" i="54"/>
  <c r="V130" i="54"/>
  <c r="W130" i="54"/>
  <c r="X130" i="54"/>
  <c r="Y130" i="54"/>
  <c r="Z130" i="54"/>
  <c r="AA130" i="54"/>
  <c r="B131" i="54"/>
  <c r="C131" i="54"/>
  <c r="D131" i="54"/>
  <c r="E131" i="54"/>
  <c r="F131" i="54"/>
  <c r="G131" i="54"/>
  <c r="H131" i="54"/>
  <c r="I131" i="54"/>
  <c r="J131" i="54"/>
  <c r="K131" i="54"/>
  <c r="L131" i="54"/>
  <c r="M131" i="54"/>
  <c r="N131" i="54"/>
  <c r="P131" i="54"/>
  <c r="Q131" i="54"/>
  <c r="R131" i="54"/>
  <c r="S131" i="54"/>
  <c r="T131" i="54"/>
  <c r="U131" i="54"/>
  <c r="V131" i="54"/>
  <c r="W131" i="54"/>
  <c r="X131" i="54"/>
  <c r="Y131" i="54"/>
  <c r="Z131" i="54"/>
  <c r="AA131" i="54"/>
  <c r="B132" i="54"/>
  <c r="C132" i="54"/>
  <c r="D132" i="54"/>
  <c r="E132" i="54"/>
  <c r="F132" i="54"/>
  <c r="G132" i="54"/>
  <c r="H132" i="54"/>
  <c r="I132" i="54"/>
  <c r="J132" i="54"/>
  <c r="K132" i="54"/>
  <c r="L132" i="54"/>
  <c r="M132" i="54"/>
  <c r="N132" i="54"/>
  <c r="P132" i="54"/>
  <c r="Q132" i="54"/>
  <c r="R132" i="54"/>
  <c r="S132" i="54"/>
  <c r="T132" i="54"/>
  <c r="U132" i="54"/>
  <c r="V132" i="54"/>
  <c r="W132" i="54"/>
  <c r="X132" i="54"/>
  <c r="Y132" i="54"/>
  <c r="Z132" i="54"/>
  <c r="AA132" i="54"/>
  <c r="B133" i="54"/>
  <c r="C133" i="54"/>
  <c r="D133" i="54"/>
  <c r="E133" i="54"/>
  <c r="F133" i="54"/>
  <c r="G133" i="54"/>
  <c r="H133" i="54"/>
  <c r="J133" i="54"/>
  <c r="K133" i="54"/>
  <c r="L133" i="54"/>
  <c r="M133" i="54"/>
  <c r="N133" i="54"/>
  <c r="P133" i="54"/>
  <c r="Q133" i="54"/>
  <c r="R133" i="54"/>
  <c r="S133" i="54"/>
  <c r="T133" i="54"/>
  <c r="U133" i="54"/>
  <c r="V133" i="54"/>
  <c r="W133" i="54"/>
  <c r="X133" i="54"/>
  <c r="Y133" i="54"/>
  <c r="Z133" i="54"/>
  <c r="AA133" i="54"/>
  <c r="B134" i="54"/>
  <c r="C134" i="54"/>
  <c r="D134" i="54"/>
  <c r="E134" i="54"/>
  <c r="F134" i="54"/>
  <c r="G134" i="54"/>
  <c r="H134" i="54"/>
  <c r="J134" i="54"/>
  <c r="K134" i="54"/>
  <c r="L134" i="54"/>
  <c r="M134" i="54"/>
  <c r="N134" i="54"/>
  <c r="P134" i="54"/>
  <c r="Q134" i="54"/>
  <c r="R134" i="54"/>
  <c r="S134" i="54"/>
  <c r="T134" i="54"/>
  <c r="U134" i="54"/>
  <c r="V134" i="54"/>
  <c r="W134" i="54"/>
  <c r="X134" i="54"/>
  <c r="Y134" i="54"/>
  <c r="Z134" i="54"/>
  <c r="AA134" i="54"/>
  <c r="B135" i="54"/>
  <c r="C135" i="54"/>
  <c r="D135" i="54"/>
  <c r="E135" i="54"/>
  <c r="F135" i="54"/>
  <c r="G135" i="54"/>
  <c r="H135" i="54"/>
  <c r="J135" i="54"/>
  <c r="K135" i="54"/>
  <c r="L135" i="54"/>
  <c r="M135" i="54"/>
  <c r="N135" i="54"/>
  <c r="P135" i="54"/>
  <c r="Q135" i="54"/>
  <c r="R135" i="54"/>
  <c r="S135" i="54"/>
  <c r="T135" i="54"/>
  <c r="U135" i="54"/>
  <c r="V135" i="54"/>
  <c r="W135" i="54"/>
  <c r="X135" i="54"/>
  <c r="Y135" i="54"/>
  <c r="Z135" i="54"/>
  <c r="AA135" i="54"/>
  <c r="B136" i="54"/>
  <c r="C136" i="54"/>
  <c r="D136" i="54"/>
  <c r="E136" i="54"/>
  <c r="F136" i="54"/>
  <c r="G136" i="54"/>
  <c r="H136" i="54"/>
  <c r="J136" i="54"/>
  <c r="K136" i="54"/>
  <c r="L136" i="54"/>
  <c r="M136" i="54"/>
  <c r="N136" i="54"/>
  <c r="P136" i="54"/>
  <c r="Q136" i="54"/>
  <c r="R136" i="54"/>
  <c r="S136" i="54"/>
  <c r="T136" i="54"/>
  <c r="U136" i="54"/>
  <c r="V136" i="54"/>
  <c r="W136" i="54"/>
  <c r="X136" i="54"/>
  <c r="Y136" i="54"/>
  <c r="Z136" i="54"/>
  <c r="AA136" i="54"/>
  <c r="B137" i="54"/>
  <c r="C137" i="54"/>
  <c r="D137" i="54"/>
  <c r="E137" i="54"/>
  <c r="F137" i="54"/>
  <c r="G137" i="54"/>
  <c r="H137" i="54"/>
  <c r="I137" i="54"/>
  <c r="J137" i="54"/>
  <c r="K137" i="54"/>
  <c r="L137" i="54"/>
  <c r="M137" i="54"/>
  <c r="N137" i="54"/>
  <c r="P137" i="54"/>
  <c r="Q137" i="54"/>
  <c r="R137" i="54"/>
  <c r="S137" i="54"/>
  <c r="T137" i="54"/>
  <c r="U137" i="54"/>
  <c r="V137" i="54"/>
  <c r="W137" i="54"/>
  <c r="X137" i="54"/>
  <c r="Y137" i="54"/>
  <c r="Z137" i="54"/>
  <c r="AA137" i="54"/>
  <c r="B138" i="54"/>
  <c r="C138" i="54"/>
  <c r="D138" i="54"/>
  <c r="E138" i="54"/>
  <c r="F138" i="54"/>
  <c r="G138" i="54"/>
  <c r="H138" i="54"/>
  <c r="I138" i="54"/>
  <c r="J138" i="54"/>
  <c r="K138" i="54"/>
  <c r="L138" i="54"/>
  <c r="M138" i="54"/>
  <c r="N138" i="54"/>
  <c r="P138" i="54"/>
  <c r="Q138" i="54"/>
  <c r="R138" i="54"/>
  <c r="S138" i="54"/>
  <c r="T138" i="54"/>
  <c r="U138" i="54"/>
  <c r="V138" i="54"/>
  <c r="W138" i="54"/>
  <c r="X138" i="54"/>
  <c r="Y138" i="54"/>
  <c r="Z138" i="54"/>
  <c r="AA138" i="54"/>
  <c r="B139" i="54"/>
  <c r="C139" i="54"/>
  <c r="D139" i="54"/>
  <c r="E139" i="54"/>
  <c r="F139" i="54"/>
  <c r="G139" i="54"/>
  <c r="H139" i="54"/>
  <c r="I139" i="54"/>
  <c r="J139" i="54"/>
  <c r="K139" i="54"/>
  <c r="L139" i="54"/>
  <c r="M139" i="54"/>
  <c r="N139" i="54"/>
  <c r="P139" i="54"/>
  <c r="Q139" i="54"/>
  <c r="R139" i="54"/>
  <c r="S139" i="54"/>
  <c r="T139" i="54"/>
  <c r="U139" i="54"/>
  <c r="V139" i="54"/>
  <c r="W139" i="54"/>
  <c r="X139" i="54"/>
  <c r="Y139" i="54"/>
  <c r="Z139" i="54"/>
  <c r="AA139" i="54"/>
  <c r="B140" i="54"/>
  <c r="C140" i="54"/>
  <c r="D140" i="54"/>
  <c r="E140" i="54"/>
  <c r="F140" i="54"/>
  <c r="G140" i="54"/>
  <c r="H140" i="54"/>
  <c r="I140" i="54"/>
  <c r="J140" i="54"/>
  <c r="K140" i="54"/>
  <c r="L140" i="54"/>
  <c r="M140" i="54"/>
  <c r="N140" i="54"/>
  <c r="P140" i="54"/>
  <c r="Q140" i="54"/>
  <c r="R140" i="54"/>
  <c r="S140" i="54"/>
  <c r="T140" i="54"/>
  <c r="U140" i="54"/>
  <c r="V140" i="54"/>
  <c r="W140" i="54"/>
  <c r="X140" i="54"/>
  <c r="Y140" i="54"/>
  <c r="Z140" i="54"/>
  <c r="AA140" i="54"/>
  <c r="B141" i="54"/>
  <c r="C141" i="54"/>
  <c r="D141" i="54"/>
  <c r="E141" i="54"/>
  <c r="F141" i="54"/>
  <c r="G141" i="54"/>
  <c r="H141" i="54"/>
  <c r="I141" i="54"/>
  <c r="J141" i="54"/>
  <c r="K141" i="54"/>
  <c r="L141" i="54"/>
  <c r="M141" i="54"/>
  <c r="N141" i="54"/>
  <c r="P141" i="54"/>
  <c r="Q141" i="54"/>
  <c r="R141" i="54"/>
  <c r="S141" i="54"/>
  <c r="T141" i="54"/>
  <c r="U141" i="54"/>
  <c r="V141" i="54"/>
  <c r="W141" i="54"/>
  <c r="X141" i="54"/>
  <c r="Y141" i="54"/>
  <c r="Z141" i="54"/>
  <c r="AA141" i="54"/>
  <c r="B142" i="54"/>
  <c r="C142" i="54"/>
  <c r="D142" i="54"/>
  <c r="E142" i="54"/>
  <c r="F142" i="54"/>
  <c r="G142" i="54"/>
  <c r="H142" i="54"/>
  <c r="I142" i="54"/>
  <c r="J142" i="54"/>
  <c r="K142" i="54"/>
  <c r="L142" i="54"/>
  <c r="M142" i="54"/>
  <c r="N142" i="54"/>
  <c r="P142" i="54"/>
  <c r="Q142" i="54"/>
  <c r="R142" i="54"/>
  <c r="S142" i="54"/>
  <c r="T142" i="54"/>
  <c r="U142" i="54"/>
  <c r="V142" i="54"/>
  <c r="W142" i="54"/>
  <c r="X142" i="54"/>
  <c r="Y142" i="54"/>
  <c r="Z142" i="54"/>
  <c r="AA142" i="54"/>
  <c r="B143" i="54"/>
  <c r="C143" i="54"/>
  <c r="D143" i="54"/>
  <c r="E143" i="54"/>
  <c r="F143" i="54"/>
  <c r="G143" i="54"/>
  <c r="H143" i="54"/>
  <c r="I143" i="54"/>
  <c r="J143" i="54"/>
  <c r="K143" i="54"/>
  <c r="L143" i="54"/>
  <c r="M143" i="54"/>
  <c r="N143" i="54"/>
  <c r="P143" i="54"/>
  <c r="Q143" i="54"/>
  <c r="R143" i="54"/>
  <c r="S143" i="54"/>
  <c r="T143" i="54"/>
  <c r="U143" i="54"/>
  <c r="V143" i="54"/>
  <c r="W143" i="54"/>
  <c r="X143" i="54"/>
  <c r="Y143" i="54"/>
  <c r="Z143" i="54"/>
  <c r="AA143" i="54"/>
  <c r="B144" i="54"/>
  <c r="C144" i="54"/>
  <c r="D144" i="54"/>
  <c r="E144" i="54"/>
  <c r="F144" i="54"/>
  <c r="G144" i="54"/>
  <c r="H144" i="54"/>
  <c r="I144" i="54"/>
  <c r="J144" i="54"/>
  <c r="K144" i="54"/>
  <c r="L144" i="54"/>
  <c r="M144" i="54"/>
  <c r="N144" i="54"/>
  <c r="P144" i="54"/>
  <c r="Q144" i="54"/>
  <c r="R144" i="54"/>
  <c r="S144" i="54"/>
  <c r="T144" i="54"/>
  <c r="U144" i="54"/>
  <c r="V144" i="54"/>
  <c r="W144" i="54"/>
  <c r="X144" i="54"/>
  <c r="Y144" i="54"/>
  <c r="Z144" i="54"/>
  <c r="AA144" i="54"/>
  <c r="B145" i="54"/>
  <c r="C145" i="54"/>
  <c r="D145" i="54"/>
  <c r="E145" i="54"/>
  <c r="F145" i="54"/>
  <c r="G145" i="54"/>
  <c r="H145" i="54"/>
  <c r="I145" i="54"/>
  <c r="J145" i="54"/>
  <c r="K145" i="54"/>
  <c r="L145" i="54"/>
  <c r="M145" i="54"/>
  <c r="N145" i="54"/>
  <c r="P145" i="54"/>
  <c r="Q145" i="54"/>
  <c r="R145" i="54"/>
  <c r="S145" i="54"/>
  <c r="T145" i="54"/>
  <c r="U145" i="54"/>
  <c r="V145" i="54"/>
  <c r="W145" i="54"/>
  <c r="X145" i="54"/>
  <c r="Y145" i="54"/>
  <c r="Z145" i="54"/>
  <c r="AA145" i="54"/>
  <c r="B146" i="54"/>
  <c r="C146" i="54"/>
  <c r="D146" i="54"/>
  <c r="E146" i="54"/>
  <c r="F146" i="54"/>
  <c r="G146" i="54"/>
  <c r="H146" i="54"/>
  <c r="I146" i="54"/>
  <c r="J146" i="54"/>
  <c r="K146" i="54"/>
  <c r="L146" i="54"/>
  <c r="M146" i="54"/>
  <c r="N146" i="54"/>
  <c r="P146" i="54"/>
  <c r="Q146" i="54"/>
  <c r="R146" i="54"/>
  <c r="S146" i="54"/>
  <c r="T146" i="54"/>
  <c r="U146" i="54"/>
  <c r="V146" i="54"/>
  <c r="W146" i="54"/>
  <c r="X146" i="54"/>
  <c r="Y146" i="54"/>
  <c r="Z146" i="54"/>
  <c r="AA146" i="54"/>
  <c r="B147" i="54"/>
  <c r="C147" i="54"/>
  <c r="D147" i="54"/>
  <c r="E147" i="54"/>
  <c r="F147" i="54"/>
  <c r="G147" i="54"/>
  <c r="H147" i="54"/>
  <c r="J147" i="54"/>
  <c r="K147" i="54"/>
  <c r="L147" i="54"/>
  <c r="M147" i="54"/>
  <c r="N147" i="54"/>
  <c r="P147" i="54"/>
  <c r="Q147" i="54"/>
  <c r="R147" i="54"/>
  <c r="S147" i="54"/>
  <c r="T147" i="54"/>
  <c r="U147" i="54"/>
  <c r="V147" i="54"/>
  <c r="W147" i="54"/>
  <c r="X147" i="54"/>
  <c r="Y147" i="54"/>
  <c r="Z147" i="54"/>
  <c r="AA147" i="54"/>
  <c r="B148" i="54"/>
  <c r="C148" i="54"/>
  <c r="D148" i="54"/>
  <c r="E148" i="54"/>
  <c r="F148" i="54"/>
  <c r="G148" i="54"/>
  <c r="H148" i="54"/>
  <c r="J148" i="54"/>
  <c r="K148" i="54"/>
  <c r="L148" i="54"/>
  <c r="M148" i="54"/>
  <c r="N148" i="54"/>
  <c r="P148" i="54"/>
  <c r="Q148" i="54"/>
  <c r="R148" i="54"/>
  <c r="S148" i="54"/>
  <c r="T148" i="54"/>
  <c r="U148" i="54"/>
  <c r="V148" i="54"/>
  <c r="W148" i="54"/>
  <c r="X148" i="54"/>
  <c r="Y148" i="54"/>
  <c r="Z148" i="54"/>
  <c r="AA148" i="54"/>
  <c r="B149" i="54"/>
  <c r="C149" i="54"/>
  <c r="D149" i="54"/>
  <c r="E149" i="54"/>
  <c r="F149" i="54"/>
  <c r="G149" i="54"/>
  <c r="H149" i="54"/>
  <c r="I149" i="54"/>
  <c r="J149" i="54"/>
  <c r="K149" i="54"/>
  <c r="L149" i="54"/>
  <c r="M149" i="54"/>
  <c r="N149" i="54"/>
  <c r="P149" i="54"/>
  <c r="Q149" i="54"/>
  <c r="R149" i="54"/>
  <c r="S149" i="54"/>
  <c r="T149" i="54"/>
  <c r="U149" i="54"/>
  <c r="V149" i="54"/>
  <c r="W149" i="54"/>
  <c r="X149" i="54"/>
  <c r="Y149" i="54"/>
  <c r="Z149" i="54"/>
  <c r="AA149" i="54"/>
  <c r="B150" i="54"/>
  <c r="C150" i="54"/>
  <c r="D150" i="54"/>
  <c r="E150" i="54"/>
  <c r="F150" i="54"/>
  <c r="G150" i="54"/>
  <c r="H150" i="54"/>
  <c r="I150" i="54"/>
  <c r="J150" i="54"/>
  <c r="K150" i="54"/>
  <c r="L150" i="54"/>
  <c r="M150" i="54"/>
  <c r="N150" i="54"/>
  <c r="P150" i="54"/>
  <c r="Q150" i="54"/>
  <c r="R150" i="54"/>
  <c r="S150" i="54"/>
  <c r="T150" i="54"/>
  <c r="U150" i="54"/>
  <c r="V150" i="54"/>
  <c r="W150" i="54"/>
  <c r="X150" i="54"/>
  <c r="Y150" i="54"/>
  <c r="Z150" i="54"/>
  <c r="AA150" i="54"/>
  <c r="A150" i="54"/>
  <c r="A149" i="54"/>
  <c r="A144" i="54"/>
  <c r="A145" i="54"/>
  <c r="A146" i="54"/>
  <c r="A147" i="54"/>
  <c r="A148" i="54"/>
  <c r="A143" i="54"/>
  <c r="A142" i="54"/>
  <c r="A141" i="54"/>
  <c r="A139" i="54"/>
  <c r="A140" i="54"/>
  <c r="A138" i="54"/>
  <c r="A137" i="54"/>
  <c r="A134" i="54"/>
  <c r="A135" i="54"/>
  <c r="A136" i="54"/>
  <c r="A133" i="54"/>
  <c r="A132" i="54"/>
  <c r="A131" i="54"/>
  <c r="A130" i="54"/>
  <c r="A129" i="54"/>
  <c r="A128" i="54"/>
  <c r="A127" i="54"/>
  <c r="A126" i="54"/>
  <c r="A125" i="54"/>
  <c r="A121" i="54"/>
  <c r="A122" i="54"/>
  <c r="A123" i="54"/>
  <c r="A124" i="54"/>
  <c r="A120" i="54"/>
  <c r="A119" i="54"/>
  <c r="A118" i="54"/>
  <c r="A114" i="54"/>
  <c r="A115" i="54"/>
  <c r="A116" i="54"/>
  <c r="A117" i="54"/>
  <c r="A113" i="54"/>
  <c r="M68" i="54"/>
  <c r="M69" i="54"/>
  <c r="M70" i="54"/>
  <c r="M71" i="54"/>
  <c r="M72" i="54"/>
  <c r="M73" i="54"/>
  <c r="M74" i="54"/>
  <c r="M75" i="54"/>
  <c r="M76" i="54"/>
  <c r="M77" i="54"/>
  <c r="M78" i="54"/>
  <c r="M79" i="54"/>
  <c r="M80" i="54"/>
  <c r="M81" i="54"/>
  <c r="M82" i="54"/>
  <c r="M83" i="54"/>
  <c r="M84" i="54"/>
  <c r="M85" i="54"/>
  <c r="M86" i="54"/>
  <c r="M87" i="54"/>
  <c r="M88" i="54"/>
  <c r="M89" i="54"/>
  <c r="M90" i="54"/>
  <c r="M91" i="54"/>
  <c r="M92" i="54"/>
  <c r="M93" i="54"/>
  <c r="M94" i="54"/>
  <c r="M95" i="54"/>
  <c r="M96" i="54"/>
  <c r="M97" i="54"/>
  <c r="M98" i="54"/>
  <c r="M99" i="54"/>
  <c r="M100" i="54"/>
  <c r="M101" i="54"/>
  <c r="M102" i="54"/>
  <c r="M103" i="54"/>
  <c r="M104" i="54"/>
  <c r="M105" i="54"/>
  <c r="M106" i="54"/>
  <c r="M107" i="54"/>
  <c r="B68" i="54"/>
  <c r="C68" i="54"/>
  <c r="D68" i="54"/>
  <c r="E68" i="54"/>
  <c r="G68" i="54"/>
  <c r="H68" i="54"/>
  <c r="I68" i="54"/>
  <c r="J68" i="54"/>
  <c r="K68" i="54"/>
  <c r="N68" i="54"/>
  <c r="P68" i="54"/>
  <c r="Q68" i="54"/>
  <c r="R68" i="54"/>
  <c r="S68" i="54"/>
  <c r="T68" i="54"/>
  <c r="U68" i="54"/>
  <c r="V68" i="54"/>
  <c r="W68" i="54"/>
  <c r="X68" i="54"/>
  <c r="Y68" i="54"/>
  <c r="Z68" i="54"/>
  <c r="AA68" i="54"/>
  <c r="B69" i="54"/>
  <c r="C69" i="54"/>
  <c r="D69" i="54"/>
  <c r="E69" i="54"/>
  <c r="G69" i="54"/>
  <c r="H69" i="54"/>
  <c r="I69" i="54"/>
  <c r="J69" i="54"/>
  <c r="K69" i="54"/>
  <c r="N69" i="54"/>
  <c r="P69" i="54"/>
  <c r="Q69" i="54"/>
  <c r="R69" i="54"/>
  <c r="S69" i="54"/>
  <c r="T69" i="54"/>
  <c r="U69" i="54"/>
  <c r="V69" i="54"/>
  <c r="W69" i="54"/>
  <c r="X69" i="54"/>
  <c r="Y69" i="54"/>
  <c r="Z69" i="54"/>
  <c r="AA69" i="54"/>
  <c r="B70" i="54"/>
  <c r="C70" i="54"/>
  <c r="D70" i="54"/>
  <c r="E70" i="54"/>
  <c r="G70" i="54"/>
  <c r="H70" i="54"/>
  <c r="I70" i="54"/>
  <c r="J70" i="54"/>
  <c r="K70" i="54"/>
  <c r="N70" i="54"/>
  <c r="P70" i="54"/>
  <c r="Q70" i="54"/>
  <c r="R70" i="54"/>
  <c r="S70" i="54"/>
  <c r="T70" i="54"/>
  <c r="U70" i="54"/>
  <c r="V70" i="54"/>
  <c r="W70" i="54"/>
  <c r="X70" i="54"/>
  <c r="Y70" i="54"/>
  <c r="Z70" i="54"/>
  <c r="AA70" i="54"/>
  <c r="B71" i="54"/>
  <c r="C71" i="54"/>
  <c r="D71" i="54"/>
  <c r="E71" i="54"/>
  <c r="G71" i="54"/>
  <c r="H71" i="54"/>
  <c r="I71" i="54"/>
  <c r="J71" i="54"/>
  <c r="K71" i="54"/>
  <c r="N71" i="54"/>
  <c r="P71" i="54"/>
  <c r="Q71" i="54"/>
  <c r="R71" i="54"/>
  <c r="S71" i="54"/>
  <c r="T71" i="54"/>
  <c r="U71" i="54"/>
  <c r="V71" i="54"/>
  <c r="W71" i="54"/>
  <c r="X71" i="54"/>
  <c r="Y71" i="54"/>
  <c r="Z71" i="54"/>
  <c r="AA71" i="54"/>
  <c r="B72" i="54"/>
  <c r="C72" i="54"/>
  <c r="D72" i="54"/>
  <c r="E72" i="54"/>
  <c r="G72" i="54"/>
  <c r="H72" i="54"/>
  <c r="J72" i="54"/>
  <c r="K72" i="54"/>
  <c r="N72" i="54"/>
  <c r="P72" i="54"/>
  <c r="Q72" i="54"/>
  <c r="R72" i="54"/>
  <c r="S72" i="54"/>
  <c r="T72" i="54"/>
  <c r="U72" i="54"/>
  <c r="V72" i="54"/>
  <c r="W72" i="54"/>
  <c r="X72" i="54"/>
  <c r="Y72" i="54"/>
  <c r="Z72" i="54"/>
  <c r="AA72" i="54"/>
  <c r="B73" i="54"/>
  <c r="C73" i="54"/>
  <c r="D73" i="54"/>
  <c r="E73" i="54"/>
  <c r="G73" i="54"/>
  <c r="H73" i="54"/>
  <c r="J73" i="54"/>
  <c r="K73" i="54"/>
  <c r="N73" i="54"/>
  <c r="P73" i="54"/>
  <c r="Q73" i="54"/>
  <c r="R73" i="54"/>
  <c r="S73" i="54"/>
  <c r="T73" i="54"/>
  <c r="U73" i="54"/>
  <c r="V73" i="54"/>
  <c r="W73" i="54"/>
  <c r="X73" i="54"/>
  <c r="Y73" i="54"/>
  <c r="Z73" i="54"/>
  <c r="AA73" i="54"/>
  <c r="B74" i="54"/>
  <c r="C74" i="54"/>
  <c r="D74" i="54"/>
  <c r="E74" i="54"/>
  <c r="G74" i="54"/>
  <c r="H74" i="54"/>
  <c r="J74" i="54"/>
  <c r="K74" i="54"/>
  <c r="N74" i="54"/>
  <c r="P74" i="54"/>
  <c r="Q74" i="54"/>
  <c r="R74" i="54"/>
  <c r="S74" i="54"/>
  <c r="T74" i="54"/>
  <c r="U74" i="54"/>
  <c r="V74" i="54"/>
  <c r="W74" i="54"/>
  <c r="X74" i="54"/>
  <c r="Y74" i="54"/>
  <c r="Z74" i="54"/>
  <c r="AA74" i="54"/>
  <c r="B75" i="54"/>
  <c r="C75" i="54"/>
  <c r="D75" i="54"/>
  <c r="E75" i="54"/>
  <c r="G75" i="54"/>
  <c r="H75" i="54"/>
  <c r="I75" i="54"/>
  <c r="J75" i="54"/>
  <c r="K75" i="54"/>
  <c r="N75" i="54"/>
  <c r="P75" i="54"/>
  <c r="Q75" i="54"/>
  <c r="R75" i="54"/>
  <c r="S75" i="54"/>
  <c r="T75" i="54"/>
  <c r="U75" i="54"/>
  <c r="V75" i="54"/>
  <c r="W75" i="54"/>
  <c r="X75" i="54"/>
  <c r="Y75" i="54"/>
  <c r="Z75" i="54"/>
  <c r="AA75" i="54"/>
  <c r="B76" i="54"/>
  <c r="C76" i="54"/>
  <c r="D76" i="54"/>
  <c r="E76" i="54"/>
  <c r="G76" i="54"/>
  <c r="H76" i="54"/>
  <c r="I76" i="54"/>
  <c r="J76" i="54"/>
  <c r="K76" i="54"/>
  <c r="N76" i="54"/>
  <c r="P76" i="54"/>
  <c r="Q76" i="54"/>
  <c r="R76" i="54"/>
  <c r="S76" i="54"/>
  <c r="T76" i="54"/>
  <c r="U76" i="54"/>
  <c r="V76" i="54"/>
  <c r="W76" i="54"/>
  <c r="X76" i="54"/>
  <c r="Y76" i="54"/>
  <c r="Z76" i="54"/>
  <c r="AA76" i="54"/>
  <c r="B77" i="54"/>
  <c r="C77" i="54"/>
  <c r="D77" i="54"/>
  <c r="E77" i="54"/>
  <c r="G77" i="54"/>
  <c r="H77" i="54"/>
  <c r="I77" i="54"/>
  <c r="J77" i="54"/>
  <c r="K77" i="54"/>
  <c r="N77" i="54"/>
  <c r="P77" i="54"/>
  <c r="Q77" i="54"/>
  <c r="R77" i="54"/>
  <c r="S77" i="54"/>
  <c r="T77" i="54"/>
  <c r="U77" i="54"/>
  <c r="V77" i="54"/>
  <c r="W77" i="54"/>
  <c r="X77" i="54"/>
  <c r="Y77" i="54"/>
  <c r="Z77" i="54"/>
  <c r="AA77" i="54"/>
  <c r="B78" i="54"/>
  <c r="C78" i="54"/>
  <c r="D78" i="54"/>
  <c r="E78" i="54"/>
  <c r="G78" i="54"/>
  <c r="H78" i="54"/>
  <c r="I78" i="54"/>
  <c r="J78" i="54"/>
  <c r="K78" i="54"/>
  <c r="N78" i="54"/>
  <c r="P78" i="54"/>
  <c r="Q78" i="54"/>
  <c r="R78" i="54"/>
  <c r="S78" i="54"/>
  <c r="T78" i="54"/>
  <c r="U78" i="54"/>
  <c r="V78" i="54"/>
  <c r="W78" i="54"/>
  <c r="X78" i="54"/>
  <c r="Y78" i="54"/>
  <c r="Z78" i="54"/>
  <c r="AA78" i="54"/>
  <c r="B79" i="54"/>
  <c r="C79" i="54"/>
  <c r="D79" i="54"/>
  <c r="E79" i="54"/>
  <c r="G79" i="54"/>
  <c r="H79" i="54"/>
  <c r="I79" i="54"/>
  <c r="J79" i="54"/>
  <c r="K79" i="54"/>
  <c r="N79" i="54"/>
  <c r="P79" i="54"/>
  <c r="Q79" i="54"/>
  <c r="R79" i="54"/>
  <c r="S79" i="54"/>
  <c r="T79" i="54"/>
  <c r="U79" i="54"/>
  <c r="V79" i="54"/>
  <c r="W79" i="54"/>
  <c r="X79" i="54"/>
  <c r="Y79" i="54"/>
  <c r="Z79" i="54"/>
  <c r="AA79" i="54"/>
  <c r="B80" i="54"/>
  <c r="C80" i="54"/>
  <c r="D80" i="54"/>
  <c r="E80" i="54"/>
  <c r="G80" i="54"/>
  <c r="H80" i="54"/>
  <c r="I80" i="54"/>
  <c r="J80" i="54"/>
  <c r="K80" i="54"/>
  <c r="N80" i="54"/>
  <c r="P80" i="54"/>
  <c r="Q80" i="54"/>
  <c r="R80" i="54"/>
  <c r="S80" i="54"/>
  <c r="T80" i="54"/>
  <c r="U80" i="54"/>
  <c r="V80" i="54"/>
  <c r="W80" i="54"/>
  <c r="X80" i="54"/>
  <c r="Y80" i="54"/>
  <c r="Z80" i="54"/>
  <c r="AA80" i="54"/>
  <c r="B81" i="54"/>
  <c r="C81" i="54"/>
  <c r="D81" i="54"/>
  <c r="E81" i="54"/>
  <c r="G81" i="54"/>
  <c r="H81" i="54"/>
  <c r="I81" i="54"/>
  <c r="J81" i="54"/>
  <c r="K81" i="54"/>
  <c r="N81" i="54"/>
  <c r="P81" i="54"/>
  <c r="Q81" i="54"/>
  <c r="R81" i="54"/>
  <c r="S81" i="54"/>
  <c r="T81" i="54"/>
  <c r="U81" i="54"/>
  <c r="V81" i="54"/>
  <c r="W81" i="54"/>
  <c r="X81" i="54"/>
  <c r="Y81" i="54"/>
  <c r="Z81" i="54"/>
  <c r="AA81" i="54"/>
  <c r="B82" i="54"/>
  <c r="C82" i="54"/>
  <c r="D82" i="54"/>
  <c r="E82" i="54"/>
  <c r="G82" i="54"/>
  <c r="H82" i="54"/>
  <c r="I82" i="54"/>
  <c r="J82" i="54"/>
  <c r="K82" i="54"/>
  <c r="N82" i="54"/>
  <c r="P82" i="54"/>
  <c r="Q82" i="54"/>
  <c r="R82" i="54"/>
  <c r="S82" i="54"/>
  <c r="T82" i="54"/>
  <c r="U82" i="54"/>
  <c r="V82" i="54"/>
  <c r="W82" i="54"/>
  <c r="X82" i="54"/>
  <c r="Y82" i="54"/>
  <c r="Z82" i="54"/>
  <c r="AA82" i="54"/>
  <c r="B83" i="54"/>
  <c r="C83" i="54"/>
  <c r="D83" i="54"/>
  <c r="E83" i="54"/>
  <c r="G83" i="54"/>
  <c r="H83" i="54"/>
  <c r="J83" i="54"/>
  <c r="K83" i="54"/>
  <c r="N83" i="54"/>
  <c r="P83" i="54"/>
  <c r="Q83" i="54"/>
  <c r="R83" i="54"/>
  <c r="S83" i="54"/>
  <c r="T83" i="54"/>
  <c r="U83" i="54"/>
  <c r="V83" i="54"/>
  <c r="W83" i="54"/>
  <c r="X83" i="54"/>
  <c r="Y83" i="54"/>
  <c r="Z83" i="54"/>
  <c r="AA83" i="54"/>
  <c r="B84" i="54"/>
  <c r="C84" i="54"/>
  <c r="D84" i="54"/>
  <c r="E84" i="54"/>
  <c r="G84" i="54"/>
  <c r="H84" i="54"/>
  <c r="J84" i="54"/>
  <c r="K84" i="54"/>
  <c r="N84" i="54"/>
  <c r="P84" i="54"/>
  <c r="Q84" i="54"/>
  <c r="R84" i="54"/>
  <c r="S84" i="54"/>
  <c r="T84" i="54"/>
  <c r="U84" i="54"/>
  <c r="V84" i="54"/>
  <c r="W84" i="54"/>
  <c r="X84" i="54"/>
  <c r="Y84" i="54"/>
  <c r="Z84" i="54"/>
  <c r="AA84" i="54"/>
  <c r="B85" i="54"/>
  <c r="C85" i="54"/>
  <c r="D85" i="54"/>
  <c r="E85" i="54"/>
  <c r="G85" i="54"/>
  <c r="H85" i="54"/>
  <c r="I85" i="54"/>
  <c r="J85" i="54"/>
  <c r="K85" i="54"/>
  <c r="N85" i="54"/>
  <c r="P85" i="54"/>
  <c r="Q85" i="54"/>
  <c r="R85" i="54"/>
  <c r="S85" i="54"/>
  <c r="T85" i="54"/>
  <c r="U85" i="54"/>
  <c r="V85" i="54"/>
  <c r="W85" i="54"/>
  <c r="X85" i="54"/>
  <c r="Y85" i="54"/>
  <c r="Z85" i="54"/>
  <c r="AA85" i="54"/>
  <c r="B86" i="54"/>
  <c r="C86" i="54"/>
  <c r="D86" i="54"/>
  <c r="E86" i="54"/>
  <c r="G86" i="54"/>
  <c r="H86" i="54"/>
  <c r="J86" i="54"/>
  <c r="K86" i="54"/>
  <c r="N86" i="54"/>
  <c r="P86" i="54"/>
  <c r="Q86" i="54"/>
  <c r="R86" i="54"/>
  <c r="S86" i="54"/>
  <c r="T86" i="54"/>
  <c r="U86" i="54"/>
  <c r="V86" i="54"/>
  <c r="W86" i="54"/>
  <c r="X86" i="54"/>
  <c r="Y86" i="54"/>
  <c r="Z86" i="54"/>
  <c r="AA86" i="54"/>
  <c r="B87" i="54"/>
  <c r="C87" i="54"/>
  <c r="D87" i="54"/>
  <c r="E87" i="54"/>
  <c r="G87" i="54"/>
  <c r="H87" i="54"/>
  <c r="J87" i="54"/>
  <c r="K87" i="54"/>
  <c r="N87" i="54"/>
  <c r="P87" i="54"/>
  <c r="Q87" i="54"/>
  <c r="R87" i="54"/>
  <c r="S87" i="54"/>
  <c r="T87" i="54"/>
  <c r="U87" i="54"/>
  <c r="V87" i="54"/>
  <c r="W87" i="54"/>
  <c r="X87" i="54"/>
  <c r="Y87" i="54"/>
  <c r="Z87" i="54"/>
  <c r="AA87" i="54"/>
  <c r="B88" i="54"/>
  <c r="C88" i="54"/>
  <c r="D88" i="54"/>
  <c r="E88" i="54"/>
  <c r="G88" i="54"/>
  <c r="H88" i="54"/>
  <c r="I88" i="54"/>
  <c r="J88" i="54"/>
  <c r="K88" i="54"/>
  <c r="N88" i="54"/>
  <c r="P88" i="54"/>
  <c r="Q88" i="54"/>
  <c r="R88" i="54"/>
  <c r="S88" i="54"/>
  <c r="T88" i="54"/>
  <c r="U88" i="54"/>
  <c r="V88" i="54"/>
  <c r="W88" i="54"/>
  <c r="X88" i="54"/>
  <c r="Y88" i="54"/>
  <c r="Z88" i="54"/>
  <c r="AA88" i="54"/>
  <c r="B89" i="54"/>
  <c r="C89" i="54"/>
  <c r="D89" i="54"/>
  <c r="E89" i="54"/>
  <c r="G89" i="54"/>
  <c r="H89" i="54"/>
  <c r="I89" i="54"/>
  <c r="J89" i="54"/>
  <c r="K89" i="54"/>
  <c r="N89" i="54"/>
  <c r="P89" i="54"/>
  <c r="Q89" i="54"/>
  <c r="R89" i="54"/>
  <c r="S89" i="54"/>
  <c r="T89" i="54"/>
  <c r="U89" i="54"/>
  <c r="V89" i="54"/>
  <c r="W89" i="54"/>
  <c r="X89" i="54"/>
  <c r="Y89" i="54"/>
  <c r="Z89" i="54"/>
  <c r="AA89" i="54"/>
  <c r="B90" i="54"/>
  <c r="C90" i="54"/>
  <c r="D90" i="54"/>
  <c r="E90" i="54"/>
  <c r="G90" i="54"/>
  <c r="H90" i="54"/>
  <c r="J90" i="54"/>
  <c r="K90" i="54"/>
  <c r="N90" i="54"/>
  <c r="P90" i="54"/>
  <c r="Q90" i="54"/>
  <c r="R90" i="54"/>
  <c r="S90" i="54"/>
  <c r="T90" i="54"/>
  <c r="U90" i="54"/>
  <c r="V90" i="54"/>
  <c r="W90" i="54"/>
  <c r="X90" i="54"/>
  <c r="Y90" i="54"/>
  <c r="Z90" i="54"/>
  <c r="AA90" i="54"/>
  <c r="B91" i="54"/>
  <c r="C91" i="54"/>
  <c r="D91" i="54"/>
  <c r="E91" i="54"/>
  <c r="G91" i="54"/>
  <c r="H91" i="54"/>
  <c r="J91" i="54"/>
  <c r="K91" i="54"/>
  <c r="N91" i="54"/>
  <c r="P91" i="54"/>
  <c r="Q91" i="54"/>
  <c r="R91" i="54"/>
  <c r="S91" i="54"/>
  <c r="T91" i="54"/>
  <c r="U91" i="54"/>
  <c r="V91" i="54"/>
  <c r="W91" i="54"/>
  <c r="X91" i="54"/>
  <c r="Y91" i="54"/>
  <c r="Z91" i="54"/>
  <c r="AA91" i="54"/>
  <c r="B92" i="54"/>
  <c r="C92" i="54"/>
  <c r="D92" i="54"/>
  <c r="E92" i="54"/>
  <c r="G92" i="54"/>
  <c r="H92" i="54"/>
  <c r="J92" i="54"/>
  <c r="K92" i="54"/>
  <c r="N92" i="54"/>
  <c r="P92" i="54"/>
  <c r="Q92" i="54"/>
  <c r="R92" i="54"/>
  <c r="S92" i="54"/>
  <c r="T92" i="54"/>
  <c r="U92" i="54"/>
  <c r="V92" i="54"/>
  <c r="W92" i="54"/>
  <c r="X92" i="54"/>
  <c r="Y92" i="54"/>
  <c r="Z92" i="54"/>
  <c r="AA92" i="54"/>
  <c r="B93" i="54"/>
  <c r="C93" i="54"/>
  <c r="D93" i="54"/>
  <c r="E93" i="54"/>
  <c r="G93" i="54"/>
  <c r="H93" i="54"/>
  <c r="J93" i="54"/>
  <c r="K93" i="54"/>
  <c r="N93" i="54"/>
  <c r="P93" i="54"/>
  <c r="Q93" i="54"/>
  <c r="R93" i="54"/>
  <c r="S93" i="54"/>
  <c r="T93" i="54"/>
  <c r="U93" i="54"/>
  <c r="V93" i="54"/>
  <c r="W93" i="54"/>
  <c r="X93" i="54"/>
  <c r="Y93" i="54"/>
  <c r="Z93" i="54"/>
  <c r="AA93" i="54"/>
  <c r="B94" i="54"/>
  <c r="C94" i="54"/>
  <c r="D94" i="54"/>
  <c r="E94" i="54"/>
  <c r="G94" i="54"/>
  <c r="H94" i="54"/>
  <c r="I94" i="54"/>
  <c r="J94" i="54"/>
  <c r="K94" i="54"/>
  <c r="N94" i="54"/>
  <c r="P94" i="54"/>
  <c r="Q94" i="54"/>
  <c r="R94" i="54"/>
  <c r="S94" i="54"/>
  <c r="T94" i="54"/>
  <c r="U94" i="54"/>
  <c r="V94" i="54"/>
  <c r="W94" i="54"/>
  <c r="X94" i="54"/>
  <c r="Y94" i="54"/>
  <c r="Z94" i="54"/>
  <c r="AA94" i="54"/>
  <c r="B95" i="54"/>
  <c r="C95" i="54"/>
  <c r="D95" i="54"/>
  <c r="E95" i="54"/>
  <c r="G95" i="54"/>
  <c r="H95" i="54"/>
  <c r="I95" i="54"/>
  <c r="J95" i="54"/>
  <c r="K95" i="54"/>
  <c r="N95" i="54"/>
  <c r="P95" i="54"/>
  <c r="Q95" i="54"/>
  <c r="R95" i="54"/>
  <c r="S95" i="54"/>
  <c r="T95" i="54"/>
  <c r="U95" i="54"/>
  <c r="V95" i="54"/>
  <c r="W95" i="54"/>
  <c r="X95" i="54"/>
  <c r="Y95" i="54"/>
  <c r="Z95" i="54"/>
  <c r="AA95" i="54"/>
  <c r="B96" i="54"/>
  <c r="C96" i="54"/>
  <c r="D96" i="54"/>
  <c r="E96" i="54"/>
  <c r="G96" i="54"/>
  <c r="H96" i="54"/>
  <c r="I96" i="54"/>
  <c r="J96" i="54"/>
  <c r="K96" i="54"/>
  <c r="N96" i="54"/>
  <c r="P96" i="54"/>
  <c r="Q96" i="54"/>
  <c r="R96" i="54"/>
  <c r="S96" i="54"/>
  <c r="T96" i="54"/>
  <c r="U96" i="54"/>
  <c r="V96" i="54"/>
  <c r="W96" i="54"/>
  <c r="X96" i="54"/>
  <c r="Y96" i="54"/>
  <c r="Z96" i="54"/>
  <c r="AA96" i="54"/>
  <c r="B97" i="54"/>
  <c r="C97" i="54"/>
  <c r="D97" i="54"/>
  <c r="E97" i="54"/>
  <c r="G97" i="54"/>
  <c r="H97" i="54"/>
  <c r="I97" i="54"/>
  <c r="J97" i="54"/>
  <c r="K97" i="54"/>
  <c r="N97" i="54"/>
  <c r="P97" i="54"/>
  <c r="Q97" i="54"/>
  <c r="R97" i="54"/>
  <c r="S97" i="54"/>
  <c r="T97" i="54"/>
  <c r="U97" i="54"/>
  <c r="V97" i="54"/>
  <c r="W97" i="54"/>
  <c r="X97" i="54"/>
  <c r="Y97" i="54"/>
  <c r="Z97" i="54"/>
  <c r="AA97" i="54"/>
  <c r="B98" i="54"/>
  <c r="C98" i="54"/>
  <c r="D98" i="54"/>
  <c r="E98" i="54"/>
  <c r="G98" i="54"/>
  <c r="H98" i="54"/>
  <c r="I98" i="54"/>
  <c r="J98" i="54"/>
  <c r="K98" i="54"/>
  <c r="N98" i="54"/>
  <c r="P98" i="54"/>
  <c r="Q98" i="54"/>
  <c r="R98" i="54"/>
  <c r="S98" i="54"/>
  <c r="T98" i="54"/>
  <c r="U98" i="54"/>
  <c r="V98" i="54"/>
  <c r="W98" i="54"/>
  <c r="X98" i="54"/>
  <c r="Y98" i="54"/>
  <c r="Z98" i="54"/>
  <c r="AA98" i="54"/>
  <c r="B99" i="54"/>
  <c r="C99" i="54"/>
  <c r="D99" i="54"/>
  <c r="E99" i="54"/>
  <c r="G99" i="54"/>
  <c r="H99" i="54"/>
  <c r="I99" i="54"/>
  <c r="J99" i="54"/>
  <c r="K99" i="54"/>
  <c r="N99" i="54"/>
  <c r="P99" i="54"/>
  <c r="Q99" i="54"/>
  <c r="R99" i="54"/>
  <c r="S99" i="54"/>
  <c r="T99" i="54"/>
  <c r="U99" i="54"/>
  <c r="V99" i="54"/>
  <c r="W99" i="54"/>
  <c r="X99" i="54"/>
  <c r="Y99" i="54"/>
  <c r="Z99" i="54"/>
  <c r="AA99" i="54"/>
  <c r="B100" i="54"/>
  <c r="C100" i="54"/>
  <c r="D100" i="54"/>
  <c r="E100" i="54"/>
  <c r="G100" i="54"/>
  <c r="H100" i="54"/>
  <c r="I100" i="54"/>
  <c r="J100" i="54"/>
  <c r="K100" i="54"/>
  <c r="N100" i="54"/>
  <c r="P100" i="54"/>
  <c r="Q100" i="54"/>
  <c r="R100" i="54"/>
  <c r="S100" i="54"/>
  <c r="T100" i="54"/>
  <c r="U100" i="54"/>
  <c r="V100" i="54"/>
  <c r="W100" i="54"/>
  <c r="X100" i="54"/>
  <c r="Y100" i="54"/>
  <c r="Z100" i="54"/>
  <c r="AA100" i="54"/>
  <c r="B101" i="54"/>
  <c r="C101" i="54"/>
  <c r="D101" i="54"/>
  <c r="E101" i="54"/>
  <c r="G101" i="54"/>
  <c r="H101" i="54"/>
  <c r="I101" i="54"/>
  <c r="J101" i="54"/>
  <c r="K101" i="54"/>
  <c r="N101" i="54"/>
  <c r="P101" i="54"/>
  <c r="Q101" i="54"/>
  <c r="R101" i="54"/>
  <c r="S101" i="54"/>
  <c r="T101" i="54"/>
  <c r="U101" i="54"/>
  <c r="V101" i="54"/>
  <c r="W101" i="54"/>
  <c r="X101" i="54"/>
  <c r="Y101" i="54"/>
  <c r="Z101" i="54"/>
  <c r="AA101" i="54"/>
  <c r="B102" i="54"/>
  <c r="C102" i="54"/>
  <c r="D102" i="54"/>
  <c r="E102" i="54"/>
  <c r="G102" i="54"/>
  <c r="H102" i="54"/>
  <c r="I102" i="54"/>
  <c r="J102" i="54"/>
  <c r="K102" i="54"/>
  <c r="N102" i="54"/>
  <c r="P102" i="54"/>
  <c r="Q102" i="54"/>
  <c r="R102" i="54"/>
  <c r="S102" i="54"/>
  <c r="T102" i="54"/>
  <c r="U102" i="54"/>
  <c r="V102" i="54"/>
  <c r="W102" i="54"/>
  <c r="X102" i="54"/>
  <c r="Y102" i="54"/>
  <c r="Z102" i="54"/>
  <c r="AA102" i="54"/>
  <c r="B103" i="54"/>
  <c r="C103" i="54"/>
  <c r="D103" i="54"/>
  <c r="E103" i="54"/>
  <c r="G103" i="54"/>
  <c r="H103" i="54"/>
  <c r="I103" i="54"/>
  <c r="J103" i="54"/>
  <c r="K103" i="54"/>
  <c r="N103" i="54"/>
  <c r="P103" i="54"/>
  <c r="Q103" i="54"/>
  <c r="R103" i="54"/>
  <c r="S103" i="54"/>
  <c r="T103" i="54"/>
  <c r="U103" i="54"/>
  <c r="V103" i="54"/>
  <c r="W103" i="54"/>
  <c r="X103" i="54"/>
  <c r="Y103" i="54"/>
  <c r="Z103" i="54"/>
  <c r="AA103" i="54"/>
  <c r="B104" i="54"/>
  <c r="C104" i="54"/>
  <c r="D104" i="54"/>
  <c r="E104" i="54"/>
  <c r="G104" i="54"/>
  <c r="H104" i="54"/>
  <c r="J104" i="54"/>
  <c r="K104" i="54"/>
  <c r="N104" i="54"/>
  <c r="P104" i="54"/>
  <c r="Q104" i="54"/>
  <c r="R104" i="54"/>
  <c r="S104" i="54"/>
  <c r="T104" i="54"/>
  <c r="U104" i="54"/>
  <c r="V104" i="54"/>
  <c r="W104" i="54"/>
  <c r="X104" i="54"/>
  <c r="Y104" i="54"/>
  <c r="Z104" i="54"/>
  <c r="AA104" i="54"/>
  <c r="B105" i="54"/>
  <c r="C105" i="54"/>
  <c r="D105" i="54"/>
  <c r="E105" i="54"/>
  <c r="G105" i="54"/>
  <c r="H105" i="54"/>
  <c r="J105" i="54"/>
  <c r="K105" i="54"/>
  <c r="N105" i="54"/>
  <c r="P105" i="54"/>
  <c r="Q105" i="54"/>
  <c r="R105" i="54"/>
  <c r="S105" i="54"/>
  <c r="T105" i="54"/>
  <c r="U105" i="54"/>
  <c r="V105" i="54"/>
  <c r="W105" i="54"/>
  <c r="X105" i="54"/>
  <c r="Y105" i="54"/>
  <c r="Z105" i="54"/>
  <c r="AA105" i="54"/>
  <c r="B106" i="54"/>
  <c r="C106" i="54"/>
  <c r="D106" i="54"/>
  <c r="E106" i="54"/>
  <c r="G106" i="54"/>
  <c r="H106" i="54"/>
  <c r="I106" i="54"/>
  <c r="J106" i="54"/>
  <c r="K106" i="54"/>
  <c r="N106" i="54"/>
  <c r="P106" i="54"/>
  <c r="Q106" i="54"/>
  <c r="R106" i="54"/>
  <c r="S106" i="54"/>
  <c r="T106" i="54"/>
  <c r="U106" i="54"/>
  <c r="V106" i="54"/>
  <c r="W106" i="54"/>
  <c r="X106" i="54"/>
  <c r="Y106" i="54"/>
  <c r="Z106" i="54"/>
  <c r="AA106" i="54"/>
  <c r="B107" i="54"/>
  <c r="C107" i="54"/>
  <c r="D107" i="54"/>
  <c r="E107" i="54"/>
  <c r="G107" i="54"/>
  <c r="H107" i="54"/>
  <c r="I107" i="54"/>
  <c r="J107" i="54"/>
  <c r="K107" i="54"/>
  <c r="N107" i="54"/>
  <c r="P107" i="54"/>
  <c r="Q107" i="54"/>
  <c r="R107" i="54"/>
  <c r="S107" i="54"/>
  <c r="T107" i="54"/>
  <c r="U107" i="54"/>
  <c r="V107" i="54"/>
  <c r="W107" i="54"/>
  <c r="X107" i="54"/>
  <c r="Y107" i="54"/>
  <c r="Z107" i="54"/>
  <c r="AA107" i="54"/>
  <c r="A107" i="54"/>
  <c r="A106" i="54"/>
  <c r="A101" i="54"/>
  <c r="A102" i="54"/>
  <c r="A103" i="54"/>
  <c r="A104" i="54"/>
  <c r="A105" i="54"/>
  <c r="A100" i="54"/>
  <c r="A99" i="54"/>
  <c r="A96" i="54"/>
  <c r="A97" i="54"/>
  <c r="A98" i="54"/>
  <c r="A95" i="54"/>
  <c r="A94" i="54"/>
  <c r="A91" i="54"/>
  <c r="A92" i="54"/>
  <c r="A93" i="54"/>
  <c r="A90" i="54"/>
  <c r="A89" i="54"/>
  <c r="A88" i="54"/>
  <c r="A87" i="54"/>
  <c r="A86" i="54"/>
  <c r="A83" i="54"/>
  <c r="A84" i="54"/>
  <c r="A85" i="54"/>
  <c r="A82" i="54"/>
  <c r="A81" i="54"/>
  <c r="A80" i="54"/>
  <c r="A76" i="54"/>
  <c r="A77" i="54"/>
  <c r="A78" i="54"/>
  <c r="A79" i="54"/>
  <c r="A75" i="54"/>
  <c r="A74" i="54"/>
  <c r="A69" i="54"/>
  <c r="A70" i="54"/>
  <c r="A71" i="54"/>
  <c r="A72" i="54"/>
  <c r="A73" i="54"/>
  <c r="A68" i="54"/>
  <c r="B93" i="53"/>
  <c r="C93" i="53"/>
  <c r="D93" i="53"/>
  <c r="E93" i="53"/>
  <c r="F93" i="53"/>
  <c r="G93" i="53"/>
  <c r="H93" i="53"/>
  <c r="I93" i="53"/>
  <c r="J93" i="53"/>
  <c r="K93" i="53"/>
  <c r="L93" i="53"/>
  <c r="M93" i="53"/>
  <c r="N93" i="53"/>
  <c r="P93" i="53"/>
  <c r="Q93" i="53"/>
  <c r="R93" i="53"/>
  <c r="S93" i="53"/>
  <c r="T93" i="53"/>
  <c r="U93" i="53"/>
  <c r="V93" i="53"/>
  <c r="W93" i="53"/>
  <c r="X93" i="53"/>
  <c r="Y93" i="53"/>
  <c r="Z93" i="53"/>
  <c r="AA93" i="53"/>
  <c r="B94" i="53"/>
  <c r="C94" i="53"/>
  <c r="D94" i="53"/>
  <c r="E94" i="53"/>
  <c r="F94" i="53"/>
  <c r="G94" i="53"/>
  <c r="H94" i="53"/>
  <c r="I94" i="53"/>
  <c r="J94" i="53"/>
  <c r="K94" i="53"/>
  <c r="L94" i="53"/>
  <c r="M94" i="53"/>
  <c r="N94" i="53"/>
  <c r="P94" i="53"/>
  <c r="Q94" i="53"/>
  <c r="R94" i="53"/>
  <c r="S94" i="53"/>
  <c r="T94" i="53"/>
  <c r="U94" i="53"/>
  <c r="V94" i="53"/>
  <c r="W94" i="53"/>
  <c r="X94" i="53"/>
  <c r="Y94" i="53"/>
  <c r="Z94" i="53"/>
  <c r="AA94" i="53"/>
  <c r="B95" i="53"/>
  <c r="C95" i="53"/>
  <c r="D95" i="53"/>
  <c r="E95" i="53"/>
  <c r="F95" i="53"/>
  <c r="G95" i="53"/>
  <c r="H95" i="53"/>
  <c r="I95" i="53"/>
  <c r="J95" i="53"/>
  <c r="K95" i="53"/>
  <c r="L95" i="53"/>
  <c r="M95" i="53"/>
  <c r="N95" i="53"/>
  <c r="P95" i="53"/>
  <c r="Q95" i="53"/>
  <c r="R95" i="53"/>
  <c r="S95" i="53"/>
  <c r="T95" i="53"/>
  <c r="U95" i="53"/>
  <c r="V95" i="53"/>
  <c r="W95" i="53"/>
  <c r="X95" i="53"/>
  <c r="Y95" i="53"/>
  <c r="Z95" i="53"/>
  <c r="AA95" i="53"/>
  <c r="B96" i="53"/>
  <c r="C96" i="53"/>
  <c r="D96" i="53"/>
  <c r="E96" i="53"/>
  <c r="F96" i="53"/>
  <c r="G96" i="53"/>
  <c r="H96" i="53"/>
  <c r="I96" i="53"/>
  <c r="J96" i="53"/>
  <c r="K96" i="53"/>
  <c r="L96" i="53"/>
  <c r="M96" i="53"/>
  <c r="N96" i="53"/>
  <c r="P96" i="53"/>
  <c r="Q96" i="53"/>
  <c r="R96" i="53"/>
  <c r="S96" i="53"/>
  <c r="T96" i="53"/>
  <c r="U96" i="53"/>
  <c r="V96" i="53"/>
  <c r="W96" i="53"/>
  <c r="X96" i="53"/>
  <c r="Y96" i="53"/>
  <c r="Z96" i="53"/>
  <c r="AA96" i="53"/>
  <c r="B97" i="53"/>
  <c r="C97" i="53"/>
  <c r="D97" i="53"/>
  <c r="E97" i="53"/>
  <c r="F97" i="53"/>
  <c r="G97" i="53"/>
  <c r="H97" i="53"/>
  <c r="J97" i="53"/>
  <c r="K97" i="53"/>
  <c r="L97" i="53"/>
  <c r="M97" i="53"/>
  <c r="N97" i="53"/>
  <c r="P97" i="53"/>
  <c r="Q97" i="53"/>
  <c r="R97" i="53"/>
  <c r="S97" i="53"/>
  <c r="T97" i="53"/>
  <c r="U97" i="53"/>
  <c r="V97" i="53"/>
  <c r="W97" i="53"/>
  <c r="X97" i="53"/>
  <c r="Y97" i="53"/>
  <c r="Z97" i="53"/>
  <c r="AA97" i="53"/>
  <c r="B98" i="53"/>
  <c r="C98" i="53"/>
  <c r="D98" i="53"/>
  <c r="E98" i="53"/>
  <c r="F98" i="53"/>
  <c r="G98" i="53"/>
  <c r="H98" i="53"/>
  <c r="J98" i="53"/>
  <c r="K98" i="53"/>
  <c r="L98" i="53"/>
  <c r="M98" i="53"/>
  <c r="N98" i="53"/>
  <c r="P98" i="53"/>
  <c r="Q98" i="53"/>
  <c r="R98" i="53"/>
  <c r="S98" i="53"/>
  <c r="T98" i="53"/>
  <c r="U98" i="53"/>
  <c r="V98" i="53"/>
  <c r="W98" i="53"/>
  <c r="X98" i="53"/>
  <c r="Y98" i="53"/>
  <c r="Z98" i="53"/>
  <c r="AA98" i="53"/>
  <c r="B99" i="53"/>
  <c r="C99" i="53"/>
  <c r="D99" i="53"/>
  <c r="E99" i="53"/>
  <c r="F99" i="53"/>
  <c r="G99" i="53"/>
  <c r="H99" i="53"/>
  <c r="I99" i="53"/>
  <c r="J99" i="53"/>
  <c r="K99" i="53"/>
  <c r="L99" i="53"/>
  <c r="M99" i="53"/>
  <c r="N99" i="53"/>
  <c r="P99" i="53"/>
  <c r="Q99" i="53"/>
  <c r="R99" i="53"/>
  <c r="S99" i="53"/>
  <c r="T99" i="53"/>
  <c r="U99" i="53"/>
  <c r="V99" i="53"/>
  <c r="W99" i="53"/>
  <c r="X99" i="53"/>
  <c r="Y99" i="53"/>
  <c r="Z99" i="53"/>
  <c r="AA99" i="53"/>
  <c r="A94" i="53"/>
  <c r="A95" i="53"/>
  <c r="A96" i="53"/>
  <c r="A97" i="53"/>
  <c r="A98" i="53"/>
  <c r="B65" i="53"/>
  <c r="C65" i="53"/>
  <c r="D65" i="53"/>
  <c r="E65" i="53"/>
  <c r="F65" i="53"/>
  <c r="G65" i="53"/>
  <c r="H65" i="53"/>
  <c r="I65" i="53"/>
  <c r="J65" i="53"/>
  <c r="K65" i="53"/>
  <c r="L65" i="53"/>
  <c r="M65" i="53"/>
  <c r="N65" i="53"/>
  <c r="P65" i="53"/>
  <c r="Q65" i="53"/>
  <c r="R65" i="53"/>
  <c r="S65" i="53"/>
  <c r="T65" i="53"/>
  <c r="U65" i="53"/>
  <c r="V65" i="53"/>
  <c r="W65" i="53"/>
  <c r="X65" i="53"/>
  <c r="Y65" i="53"/>
  <c r="Z65" i="53"/>
  <c r="AA65" i="53"/>
  <c r="B66" i="53"/>
  <c r="C66" i="53"/>
  <c r="D66" i="53"/>
  <c r="E66" i="53"/>
  <c r="F66" i="53"/>
  <c r="G66" i="53"/>
  <c r="H66" i="53"/>
  <c r="I66" i="53"/>
  <c r="J66" i="53"/>
  <c r="K66" i="53"/>
  <c r="L66" i="53"/>
  <c r="M66" i="53"/>
  <c r="N66" i="53"/>
  <c r="P66" i="53"/>
  <c r="Q66" i="53"/>
  <c r="R66" i="53"/>
  <c r="S66" i="53"/>
  <c r="T66" i="53"/>
  <c r="U66" i="53"/>
  <c r="V66" i="53"/>
  <c r="W66" i="53"/>
  <c r="X66" i="53"/>
  <c r="Y66" i="53"/>
  <c r="Z66" i="53"/>
  <c r="AA66" i="53"/>
  <c r="B67" i="53"/>
  <c r="C67" i="53"/>
  <c r="D67" i="53"/>
  <c r="E67" i="53"/>
  <c r="F67" i="53"/>
  <c r="G67" i="53"/>
  <c r="H67" i="53"/>
  <c r="I67" i="53"/>
  <c r="J67" i="53"/>
  <c r="K67" i="53"/>
  <c r="L67" i="53"/>
  <c r="M67" i="53"/>
  <c r="N67" i="53"/>
  <c r="P67" i="53"/>
  <c r="Q67" i="53"/>
  <c r="R67" i="53"/>
  <c r="S67" i="53"/>
  <c r="T67" i="53"/>
  <c r="U67" i="53"/>
  <c r="V67" i="53"/>
  <c r="W67" i="53"/>
  <c r="X67" i="53"/>
  <c r="Y67" i="53"/>
  <c r="Z67" i="53"/>
  <c r="AA67" i="53"/>
  <c r="B68" i="53"/>
  <c r="C68" i="53"/>
  <c r="D68" i="53"/>
  <c r="E68" i="53"/>
  <c r="F68" i="53"/>
  <c r="G68" i="53"/>
  <c r="H68" i="53"/>
  <c r="I68" i="53"/>
  <c r="J68" i="53"/>
  <c r="K68" i="53"/>
  <c r="L68" i="53"/>
  <c r="M68" i="53"/>
  <c r="N68" i="53"/>
  <c r="P68" i="53"/>
  <c r="Q68" i="53"/>
  <c r="R68" i="53"/>
  <c r="S68" i="53"/>
  <c r="T68" i="53"/>
  <c r="U68" i="53"/>
  <c r="V68" i="53"/>
  <c r="W68" i="53"/>
  <c r="X68" i="53"/>
  <c r="Y68" i="53"/>
  <c r="Z68" i="53"/>
  <c r="AA68" i="53"/>
  <c r="B69" i="53"/>
  <c r="C69" i="53"/>
  <c r="D69" i="53"/>
  <c r="E69" i="53"/>
  <c r="F69" i="53"/>
  <c r="G69" i="53"/>
  <c r="H69" i="53"/>
  <c r="J69" i="53"/>
  <c r="K69" i="53"/>
  <c r="L69" i="53"/>
  <c r="M69" i="53"/>
  <c r="N69" i="53"/>
  <c r="P69" i="53"/>
  <c r="Q69" i="53"/>
  <c r="R69" i="53"/>
  <c r="S69" i="53"/>
  <c r="T69" i="53"/>
  <c r="U69" i="53"/>
  <c r="V69" i="53"/>
  <c r="W69" i="53"/>
  <c r="X69" i="53"/>
  <c r="Y69" i="53"/>
  <c r="Z69" i="53"/>
  <c r="AA69" i="53"/>
  <c r="B70" i="53"/>
  <c r="C70" i="53"/>
  <c r="D70" i="53"/>
  <c r="E70" i="53"/>
  <c r="F70" i="53"/>
  <c r="G70" i="53"/>
  <c r="H70" i="53"/>
  <c r="J70" i="53"/>
  <c r="K70" i="53"/>
  <c r="L70" i="53"/>
  <c r="M70" i="53"/>
  <c r="N70" i="53"/>
  <c r="P70" i="53"/>
  <c r="Q70" i="53"/>
  <c r="R70" i="53"/>
  <c r="S70" i="53"/>
  <c r="T70" i="53"/>
  <c r="U70" i="53"/>
  <c r="V70" i="53"/>
  <c r="W70" i="53"/>
  <c r="X70" i="53"/>
  <c r="Y70" i="53"/>
  <c r="Z70" i="53"/>
  <c r="AA70" i="53"/>
  <c r="B71" i="53"/>
  <c r="C71" i="53"/>
  <c r="D71" i="53"/>
  <c r="E71" i="53"/>
  <c r="F71" i="53"/>
  <c r="G71" i="53"/>
  <c r="H71" i="53"/>
  <c r="I71" i="53"/>
  <c r="J71" i="53"/>
  <c r="K71" i="53"/>
  <c r="L71" i="53"/>
  <c r="M71" i="53"/>
  <c r="N71" i="53"/>
  <c r="P71" i="53"/>
  <c r="Q71" i="53"/>
  <c r="R71" i="53"/>
  <c r="S71" i="53"/>
  <c r="T71" i="53"/>
  <c r="U71" i="53"/>
  <c r="V71" i="53"/>
  <c r="W71" i="53"/>
  <c r="X71" i="53"/>
  <c r="Y71" i="53"/>
  <c r="Z71" i="53"/>
  <c r="AA71" i="53"/>
  <c r="B72" i="53"/>
  <c r="C72" i="53"/>
  <c r="D72" i="53"/>
  <c r="E72" i="53"/>
  <c r="F72" i="53"/>
  <c r="G72" i="53"/>
  <c r="H72" i="53"/>
  <c r="I72" i="53"/>
  <c r="J72" i="53"/>
  <c r="K72" i="53"/>
  <c r="L72" i="53"/>
  <c r="M72" i="53"/>
  <c r="N72" i="53"/>
  <c r="P72" i="53"/>
  <c r="Q72" i="53"/>
  <c r="R72" i="53"/>
  <c r="S72" i="53"/>
  <c r="T72" i="53"/>
  <c r="U72" i="53"/>
  <c r="V72" i="53"/>
  <c r="W72" i="53"/>
  <c r="X72" i="53"/>
  <c r="Y72" i="53"/>
  <c r="Z72" i="53"/>
  <c r="AA72" i="53"/>
  <c r="B73" i="53"/>
  <c r="C73" i="53"/>
  <c r="D73" i="53"/>
  <c r="E73" i="53"/>
  <c r="F73" i="53"/>
  <c r="G73" i="53"/>
  <c r="H73" i="53"/>
  <c r="I73" i="53"/>
  <c r="J73" i="53"/>
  <c r="K73" i="53"/>
  <c r="L73" i="53"/>
  <c r="M73" i="53"/>
  <c r="N73" i="53"/>
  <c r="P73" i="53"/>
  <c r="Q73" i="53"/>
  <c r="R73" i="53"/>
  <c r="S73" i="53"/>
  <c r="T73" i="53"/>
  <c r="U73" i="53"/>
  <c r="V73" i="53"/>
  <c r="W73" i="53"/>
  <c r="X73" i="53"/>
  <c r="Y73" i="53"/>
  <c r="Z73" i="53"/>
  <c r="AA73" i="53"/>
  <c r="B74" i="53"/>
  <c r="C74" i="53"/>
  <c r="D74" i="53"/>
  <c r="E74" i="53"/>
  <c r="F74" i="53"/>
  <c r="G74" i="53"/>
  <c r="H74" i="53"/>
  <c r="J74" i="53"/>
  <c r="K74" i="53"/>
  <c r="L74" i="53"/>
  <c r="M74" i="53"/>
  <c r="N74" i="53"/>
  <c r="P74" i="53"/>
  <c r="Q74" i="53"/>
  <c r="R74" i="53"/>
  <c r="S74" i="53"/>
  <c r="T74" i="53"/>
  <c r="U74" i="53"/>
  <c r="V74" i="53"/>
  <c r="W74" i="53"/>
  <c r="X74" i="53"/>
  <c r="Y74" i="53"/>
  <c r="Z74" i="53"/>
  <c r="AA74" i="53"/>
  <c r="B75" i="53"/>
  <c r="C75" i="53"/>
  <c r="D75" i="53"/>
  <c r="E75" i="53"/>
  <c r="F75" i="53"/>
  <c r="G75" i="53"/>
  <c r="H75" i="53"/>
  <c r="I75" i="53"/>
  <c r="J75" i="53"/>
  <c r="K75" i="53"/>
  <c r="L75" i="53"/>
  <c r="M75" i="53"/>
  <c r="N75" i="53"/>
  <c r="P75" i="53"/>
  <c r="Q75" i="53"/>
  <c r="R75" i="53"/>
  <c r="S75" i="53"/>
  <c r="T75" i="53"/>
  <c r="U75" i="53"/>
  <c r="V75" i="53"/>
  <c r="W75" i="53"/>
  <c r="X75" i="53"/>
  <c r="Y75" i="53"/>
  <c r="Z75" i="53"/>
  <c r="AA75" i="53"/>
  <c r="B76" i="53"/>
  <c r="C76" i="53"/>
  <c r="D76" i="53"/>
  <c r="E76" i="53"/>
  <c r="F76" i="53"/>
  <c r="G76" i="53"/>
  <c r="H76" i="53"/>
  <c r="I76" i="53"/>
  <c r="J76" i="53"/>
  <c r="K76" i="53"/>
  <c r="L76" i="53"/>
  <c r="M76" i="53"/>
  <c r="N76" i="53"/>
  <c r="P76" i="53"/>
  <c r="Q76" i="53"/>
  <c r="R76" i="53"/>
  <c r="S76" i="53"/>
  <c r="T76" i="53"/>
  <c r="U76" i="53"/>
  <c r="V76" i="53"/>
  <c r="W76" i="53"/>
  <c r="X76" i="53"/>
  <c r="Y76" i="53"/>
  <c r="Z76" i="53"/>
  <c r="AA76" i="53"/>
  <c r="B77" i="53"/>
  <c r="C77" i="53"/>
  <c r="D77" i="53"/>
  <c r="E77" i="53"/>
  <c r="F77" i="53"/>
  <c r="G77" i="53"/>
  <c r="H77" i="53"/>
  <c r="I77" i="53"/>
  <c r="J77" i="53"/>
  <c r="K77" i="53"/>
  <c r="L77" i="53"/>
  <c r="M77" i="53"/>
  <c r="N77" i="53"/>
  <c r="P77" i="53"/>
  <c r="Q77" i="53"/>
  <c r="R77" i="53"/>
  <c r="S77" i="53"/>
  <c r="T77" i="53"/>
  <c r="U77" i="53"/>
  <c r="V77" i="53"/>
  <c r="W77" i="53"/>
  <c r="X77" i="53"/>
  <c r="Y77" i="53"/>
  <c r="Z77" i="53"/>
  <c r="AA77" i="53"/>
  <c r="B78" i="53"/>
  <c r="C78" i="53"/>
  <c r="D78" i="53"/>
  <c r="E78" i="53"/>
  <c r="F78" i="53"/>
  <c r="G78" i="53"/>
  <c r="H78" i="53"/>
  <c r="I78" i="53"/>
  <c r="J78" i="53"/>
  <c r="K78" i="53"/>
  <c r="L78" i="53"/>
  <c r="M78" i="53"/>
  <c r="N78" i="53"/>
  <c r="P78" i="53"/>
  <c r="Q78" i="53"/>
  <c r="R78" i="53"/>
  <c r="S78" i="53"/>
  <c r="T78" i="53"/>
  <c r="U78" i="53"/>
  <c r="V78" i="53"/>
  <c r="W78" i="53"/>
  <c r="X78" i="53"/>
  <c r="Y78" i="53"/>
  <c r="Z78" i="53"/>
  <c r="AA78" i="53"/>
  <c r="B79" i="53"/>
  <c r="C79" i="53"/>
  <c r="D79" i="53"/>
  <c r="E79" i="53"/>
  <c r="F79" i="53"/>
  <c r="G79" i="53"/>
  <c r="H79" i="53"/>
  <c r="I79" i="53"/>
  <c r="J79" i="53"/>
  <c r="K79" i="53"/>
  <c r="L79" i="53"/>
  <c r="M79" i="53"/>
  <c r="N79" i="53"/>
  <c r="P79" i="53"/>
  <c r="Q79" i="53"/>
  <c r="R79" i="53"/>
  <c r="S79" i="53"/>
  <c r="T79" i="53"/>
  <c r="U79" i="53"/>
  <c r="V79" i="53"/>
  <c r="W79" i="53"/>
  <c r="X79" i="53"/>
  <c r="Y79" i="53"/>
  <c r="Z79" i="53"/>
  <c r="AA79" i="53"/>
  <c r="B80" i="53"/>
  <c r="C80" i="53"/>
  <c r="D80" i="53"/>
  <c r="E80" i="53"/>
  <c r="F80" i="53"/>
  <c r="G80" i="53"/>
  <c r="H80" i="53"/>
  <c r="I80" i="53"/>
  <c r="J80" i="53"/>
  <c r="K80" i="53"/>
  <c r="L80" i="53"/>
  <c r="M80" i="53"/>
  <c r="N80" i="53"/>
  <c r="P80" i="53"/>
  <c r="Q80" i="53"/>
  <c r="R80" i="53"/>
  <c r="S80" i="53"/>
  <c r="T80" i="53"/>
  <c r="U80" i="53"/>
  <c r="V80" i="53"/>
  <c r="W80" i="53"/>
  <c r="X80" i="53"/>
  <c r="Y80" i="53"/>
  <c r="Z80" i="53"/>
  <c r="AA80" i="53"/>
  <c r="B81" i="53"/>
  <c r="C81" i="53"/>
  <c r="D81" i="53"/>
  <c r="E81" i="53"/>
  <c r="F81" i="53"/>
  <c r="G81" i="53"/>
  <c r="H81" i="53"/>
  <c r="I81" i="53"/>
  <c r="J81" i="53"/>
  <c r="K81" i="53"/>
  <c r="L81" i="53"/>
  <c r="M81" i="53"/>
  <c r="N81" i="53"/>
  <c r="P81" i="53"/>
  <c r="Q81" i="53"/>
  <c r="R81" i="53"/>
  <c r="S81" i="53"/>
  <c r="T81" i="53"/>
  <c r="U81" i="53"/>
  <c r="V81" i="53"/>
  <c r="W81" i="53"/>
  <c r="X81" i="53"/>
  <c r="Y81" i="53"/>
  <c r="Z81" i="53"/>
  <c r="AA81" i="53"/>
  <c r="B82" i="53"/>
  <c r="C82" i="53"/>
  <c r="D82" i="53"/>
  <c r="E82" i="53"/>
  <c r="F82" i="53"/>
  <c r="G82" i="53"/>
  <c r="H82" i="53"/>
  <c r="I82" i="53"/>
  <c r="AB82" i="53" s="1"/>
  <c r="J82" i="53"/>
  <c r="K82" i="53"/>
  <c r="L82" i="53"/>
  <c r="M82" i="53"/>
  <c r="N82" i="53"/>
  <c r="P82" i="53"/>
  <c r="Q82" i="53"/>
  <c r="R82" i="53"/>
  <c r="S82" i="53"/>
  <c r="T82" i="53"/>
  <c r="U82" i="53"/>
  <c r="V82" i="53"/>
  <c r="W82" i="53"/>
  <c r="X82" i="53"/>
  <c r="Y82" i="53"/>
  <c r="Z82" i="53"/>
  <c r="AA82" i="53"/>
  <c r="B83" i="53"/>
  <c r="C83" i="53"/>
  <c r="D83" i="53"/>
  <c r="E83" i="53"/>
  <c r="F83" i="53"/>
  <c r="G83" i="53"/>
  <c r="H83" i="53"/>
  <c r="I83" i="53"/>
  <c r="J83" i="53"/>
  <c r="K83" i="53"/>
  <c r="L83" i="53"/>
  <c r="M83" i="53"/>
  <c r="N83" i="53"/>
  <c r="P83" i="53"/>
  <c r="Q83" i="53"/>
  <c r="R83" i="53"/>
  <c r="S83" i="53"/>
  <c r="T83" i="53"/>
  <c r="U83" i="53"/>
  <c r="V83" i="53"/>
  <c r="W83" i="53"/>
  <c r="X83" i="53"/>
  <c r="Y83" i="53"/>
  <c r="Z83" i="53"/>
  <c r="AA83" i="53"/>
  <c r="B84" i="53"/>
  <c r="C84" i="53"/>
  <c r="D84" i="53"/>
  <c r="E84" i="53"/>
  <c r="F84" i="53"/>
  <c r="G84" i="53"/>
  <c r="H84" i="53"/>
  <c r="I84" i="53"/>
  <c r="J84" i="53"/>
  <c r="K84" i="53"/>
  <c r="L84" i="53"/>
  <c r="M84" i="53"/>
  <c r="N84" i="53"/>
  <c r="P84" i="53"/>
  <c r="Q84" i="53"/>
  <c r="R84" i="53"/>
  <c r="S84" i="53"/>
  <c r="T84" i="53"/>
  <c r="U84" i="53"/>
  <c r="V84" i="53"/>
  <c r="W84" i="53"/>
  <c r="X84" i="53"/>
  <c r="Y84" i="53"/>
  <c r="Z84" i="53"/>
  <c r="AA84" i="53"/>
  <c r="B85" i="53"/>
  <c r="C85" i="53"/>
  <c r="D85" i="53"/>
  <c r="E85" i="53"/>
  <c r="F85" i="53"/>
  <c r="G85" i="53"/>
  <c r="H85" i="53"/>
  <c r="I85" i="53"/>
  <c r="J85" i="53"/>
  <c r="K85" i="53"/>
  <c r="L85" i="53"/>
  <c r="M85" i="53"/>
  <c r="N85" i="53"/>
  <c r="P85" i="53"/>
  <c r="Q85" i="53"/>
  <c r="R85" i="53"/>
  <c r="S85" i="53"/>
  <c r="T85" i="53"/>
  <c r="U85" i="53"/>
  <c r="V85" i="53"/>
  <c r="W85" i="53"/>
  <c r="X85" i="53"/>
  <c r="Y85" i="53"/>
  <c r="Z85" i="53"/>
  <c r="AA85" i="53"/>
  <c r="B86" i="53"/>
  <c r="C86" i="53"/>
  <c r="D86" i="53"/>
  <c r="E86" i="53"/>
  <c r="F86" i="53"/>
  <c r="G86" i="53"/>
  <c r="H86" i="53"/>
  <c r="I86" i="53"/>
  <c r="J86" i="53"/>
  <c r="K86" i="53"/>
  <c r="L86" i="53"/>
  <c r="M86" i="53"/>
  <c r="N86" i="53"/>
  <c r="P86" i="53"/>
  <c r="Q86" i="53"/>
  <c r="R86" i="53"/>
  <c r="S86" i="53"/>
  <c r="T86" i="53"/>
  <c r="U86" i="53"/>
  <c r="V86" i="53"/>
  <c r="W86" i="53"/>
  <c r="X86" i="53"/>
  <c r="Y86" i="53"/>
  <c r="Z86" i="53"/>
  <c r="AA86" i="53"/>
  <c r="B87" i="53"/>
  <c r="C87" i="53"/>
  <c r="D87" i="53"/>
  <c r="E87" i="53"/>
  <c r="F87" i="53"/>
  <c r="G87" i="53"/>
  <c r="H87" i="53"/>
  <c r="I87" i="53"/>
  <c r="J87" i="53"/>
  <c r="K87" i="53"/>
  <c r="L87" i="53"/>
  <c r="M87" i="53"/>
  <c r="N87" i="53"/>
  <c r="P87" i="53"/>
  <c r="Q87" i="53"/>
  <c r="R87" i="53"/>
  <c r="S87" i="53"/>
  <c r="T87" i="53"/>
  <c r="U87" i="53"/>
  <c r="V87" i="53"/>
  <c r="W87" i="53"/>
  <c r="X87" i="53"/>
  <c r="Y87" i="53"/>
  <c r="Z87" i="53"/>
  <c r="AA87" i="53"/>
  <c r="B88" i="53"/>
  <c r="C88" i="53"/>
  <c r="D88" i="53"/>
  <c r="E88" i="53"/>
  <c r="F88" i="53"/>
  <c r="G88" i="53"/>
  <c r="H88" i="53"/>
  <c r="J88" i="53"/>
  <c r="K88" i="53"/>
  <c r="L88" i="53"/>
  <c r="M88" i="53"/>
  <c r="N88" i="53"/>
  <c r="P88" i="53"/>
  <c r="Q88" i="53"/>
  <c r="R88" i="53"/>
  <c r="S88" i="53"/>
  <c r="T88" i="53"/>
  <c r="U88" i="53"/>
  <c r="V88" i="53"/>
  <c r="W88" i="53"/>
  <c r="X88" i="53"/>
  <c r="Y88" i="53"/>
  <c r="Z88" i="53"/>
  <c r="AA88" i="53"/>
  <c r="B89" i="53"/>
  <c r="C89" i="53"/>
  <c r="D89" i="53"/>
  <c r="E89" i="53"/>
  <c r="F89" i="53"/>
  <c r="G89" i="53"/>
  <c r="H89" i="53"/>
  <c r="J89" i="53"/>
  <c r="K89" i="53"/>
  <c r="L89" i="53"/>
  <c r="M89" i="53"/>
  <c r="N89" i="53"/>
  <c r="P89" i="53"/>
  <c r="Q89" i="53"/>
  <c r="R89" i="53"/>
  <c r="S89" i="53"/>
  <c r="T89" i="53"/>
  <c r="U89" i="53"/>
  <c r="V89" i="53"/>
  <c r="W89" i="53"/>
  <c r="X89" i="53"/>
  <c r="Y89" i="53"/>
  <c r="Z89" i="53"/>
  <c r="AA89" i="53"/>
  <c r="B90" i="53"/>
  <c r="C90" i="53"/>
  <c r="D90" i="53"/>
  <c r="E90" i="53"/>
  <c r="F90" i="53"/>
  <c r="G90" i="53"/>
  <c r="H90" i="53"/>
  <c r="I90" i="53"/>
  <c r="J90" i="53"/>
  <c r="K90" i="53"/>
  <c r="L90" i="53"/>
  <c r="M90" i="53"/>
  <c r="N90" i="53"/>
  <c r="P90" i="53"/>
  <c r="Q90" i="53"/>
  <c r="R90" i="53"/>
  <c r="S90" i="53"/>
  <c r="T90" i="53"/>
  <c r="U90" i="53"/>
  <c r="V90" i="53"/>
  <c r="W90" i="53"/>
  <c r="X90" i="53"/>
  <c r="Y90" i="53"/>
  <c r="Z90" i="53"/>
  <c r="AA90" i="53"/>
  <c r="B92" i="53"/>
  <c r="C92" i="53"/>
  <c r="D92" i="53"/>
  <c r="E92" i="53"/>
  <c r="F92" i="53"/>
  <c r="G92" i="53"/>
  <c r="H92" i="53"/>
  <c r="I92" i="53"/>
  <c r="J92" i="53"/>
  <c r="K92" i="53"/>
  <c r="L92" i="53"/>
  <c r="M92" i="53"/>
  <c r="N92" i="53"/>
  <c r="P92" i="53"/>
  <c r="Q92" i="53"/>
  <c r="R92" i="53"/>
  <c r="S92" i="53"/>
  <c r="T92" i="53"/>
  <c r="U92" i="53"/>
  <c r="V92" i="53"/>
  <c r="W92" i="53"/>
  <c r="X92" i="53"/>
  <c r="Y92" i="53"/>
  <c r="Z92" i="53"/>
  <c r="AA92" i="53"/>
  <c r="A99" i="53"/>
  <c r="A93" i="53"/>
  <c r="A92" i="53"/>
  <c r="A88" i="53"/>
  <c r="A89" i="53"/>
  <c r="A90" i="53"/>
  <c r="A87" i="53"/>
  <c r="A84" i="53"/>
  <c r="A85" i="53"/>
  <c r="A86" i="53"/>
  <c r="A83" i="53"/>
  <c r="A82" i="53"/>
  <c r="A78" i="53"/>
  <c r="A79" i="53"/>
  <c r="A80" i="53"/>
  <c r="A81" i="53"/>
  <c r="A77" i="53"/>
  <c r="A76" i="53"/>
  <c r="A75" i="53"/>
  <c r="A72" i="53"/>
  <c r="A73" i="53"/>
  <c r="A74" i="53"/>
  <c r="A71" i="53"/>
  <c r="A66" i="53"/>
  <c r="A67" i="53"/>
  <c r="A68" i="53"/>
  <c r="A69" i="53"/>
  <c r="A70" i="53"/>
  <c r="A65" i="53"/>
  <c r="B44" i="52"/>
  <c r="C44" i="52"/>
  <c r="D44" i="52"/>
  <c r="E44" i="52"/>
  <c r="F44" i="52"/>
  <c r="G44" i="52"/>
  <c r="H44" i="52"/>
  <c r="J44" i="52"/>
  <c r="K44" i="52"/>
  <c r="L44" i="52"/>
  <c r="M44" i="52"/>
  <c r="N44" i="52"/>
  <c r="P44" i="52"/>
  <c r="Q44" i="52"/>
  <c r="R44" i="52"/>
  <c r="S44" i="52"/>
  <c r="T44" i="52"/>
  <c r="U44" i="52"/>
  <c r="V44" i="52"/>
  <c r="W44" i="52"/>
  <c r="X44" i="52"/>
  <c r="Y44" i="52"/>
  <c r="Z44" i="52"/>
  <c r="AA44" i="52"/>
  <c r="B45" i="52"/>
  <c r="C45" i="52"/>
  <c r="D45" i="52"/>
  <c r="E45" i="52"/>
  <c r="F45" i="52"/>
  <c r="G45" i="52"/>
  <c r="H45" i="52"/>
  <c r="I45" i="52"/>
  <c r="J45" i="52"/>
  <c r="K45" i="52"/>
  <c r="L45" i="52"/>
  <c r="M45" i="52"/>
  <c r="N45" i="52"/>
  <c r="P45" i="52"/>
  <c r="Q45" i="52"/>
  <c r="R45" i="52"/>
  <c r="S45" i="52"/>
  <c r="T45" i="52"/>
  <c r="U45" i="52"/>
  <c r="V45" i="52"/>
  <c r="W45" i="52"/>
  <c r="X45" i="52"/>
  <c r="Y45" i="52"/>
  <c r="Z45" i="52"/>
  <c r="AA45" i="52"/>
  <c r="B46" i="52"/>
  <c r="C46" i="52"/>
  <c r="D46" i="52"/>
  <c r="E46" i="52"/>
  <c r="F46" i="52"/>
  <c r="G46" i="52"/>
  <c r="H46" i="52"/>
  <c r="I46" i="52"/>
  <c r="J46" i="52"/>
  <c r="K46" i="52"/>
  <c r="L46" i="52"/>
  <c r="M46" i="52"/>
  <c r="N46" i="52"/>
  <c r="P46" i="52"/>
  <c r="Q46" i="52"/>
  <c r="R46" i="52"/>
  <c r="S46" i="52"/>
  <c r="T46" i="52"/>
  <c r="U46" i="52"/>
  <c r="V46" i="52"/>
  <c r="W46" i="52"/>
  <c r="X46" i="52"/>
  <c r="Y46" i="52"/>
  <c r="Z46" i="52"/>
  <c r="AA46" i="52"/>
  <c r="B47" i="52"/>
  <c r="C47" i="52"/>
  <c r="D47" i="52"/>
  <c r="E47" i="52"/>
  <c r="F47" i="52"/>
  <c r="G47" i="52"/>
  <c r="H47" i="52"/>
  <c r="I47" i="52"/>
  <c r="J47" i="52"/>
  <c r="K47" i="52"/>
  <c r="L47" i="52"/>
  <c r="M47" i="52"/>
  <c r="N47" i="52"/>
  <c r="P47" i="52"/>
  <c r="Q47" i="52"/>
  <c r="R47" i="52"/>
  <c r="S47" i="52"/>
  <c r="T47" i="52"/>
  <c r="U47" i="52"/>
  <c r="V47" i="52"/>
  <c r="W47" i="52"/>
  <c r="X47" i="52"/>
  <c r="Y47" i="52"/>
  <c r="Z47" i="52"/>
  <c r="AA47" i="52"/>
  <c r="B48" i="52"/>
  <c r="C48" i="52"/>
  <c r="D48" i="52"/>
  <c r="E48" i="52"/>
  <c r="F48" i="52"/>
  <c r="G48" i="52"/>
  <c r="H48" i="52"/>
  <c r="I48" i="52"/>
  <c r="J48" i="52"/>
  <c r="K48" i="52"/>
  <c r="L48" i="52"/>
  <c r="M48" i="52"/>
  <c r="N48" i="52"/>
  <c r="P48" i="52"/>
  <c r="Q48" i="52"/>
  <c r="R48" i="52"/>
  <c r="S48" i="52"/>
  <c r="T48" i="52"/>
  <c r="U48" i="52"/>
  <c r="V48" i="52"/>
  <c r="W48" i="52"/>
  <c r="X48" i="52"/>
  <c r="Y48" i="52"/>
  <c r="Z48" i="52"/>
  <c r="AA48" i="52"/>
  <c r="B49" i="52"/>
  <c r="C49" i="52"/>
  <c r="D49" i="52"/>
  <c r="E49" i="52"/>
  <c r="F49" i="52"/>
  <c r="G49" i="52"/>
  <c r="H49" i="52"/>
  <c r="J49" i="52"/>
  <c r="K49" i="52"/>
  <c r="L49" i="52"/>
  <c r="M49" i="52"/>
  <c r="N49" i="52"/>
  <c r="P49" i="52"/>
  <c r="Q49" i="52"/>
  <c r="R49" i="52"/>
  <c r="S49" i="52"/>
  <c r="T49" i="52"/>
  <c r="U49" i="52"/>
  <c r="V49" i="52"/>
  <c r="W49" i="52"/>
  <c r="X49" i="52"/>
  <c r="Y49" i="52"/>
  <c r="Z49" i="52"/>
  <c r="AA49" i="52"/>
  <c r="B50" i="52"/>
  <c r="C50" i="52"/>
  <c r="D50" i="52"/>
  <c r="E50" i="52"/>
  <c r="F50" i="52"/>
  <c r="G50" i="52"/>
  <c r="H50" i="52"/>
  <c r="J50" i="52"/>
  <c r="K50" i="52"/>
  <c r="L50" i="52"/>
  <c r="M50" i="52"/>
  <c r="N50" i="52"/>
  <c r="P50" i="52"/>
  <c r="Q50" i="52"/>
  <c r="R50" i="52"/>
  <c r="S50" i="52"/>
  <c r="T50" i="52"/>
  <c r="U50" i="52"/>
  <c r="V50" i="52"/>
  <c r="W50" i="52"/>
  <c r="X50" i="52"/>
  <c r="Y50" i="52"/>
  <c r="Z50" i="52"/>
  <c r="AA50" i="52"/>
  <c r="B51" i="52"/>
  <c r="C51" i="52"/>
  <c r="D51" i="52"/>
  <c r="E51" i="52"/>
  <c r="F51" i="52"/>
  <c r="G51" i="52"/>
  <c r="H51" i="52"/>
  <c r="I51" i="52"/>
  <c r="J51" i="52"/>
  <c r="K51" i="52"/>
  <c r="L51" i="52"/>
  <c r="M51" i="52"/>
  <c r="N51" i="52"/>
  <c r="P51" i="52"/>
  <c r="Q51" i="52"/>
  <c r="R51" i="52"/>
  <c r="S51" i="52"/>
  <c r="T51" i="52"/>
  <c r="U51" i="52"/>
  <c r="V51" i="52"/>
  <c r="W51" i="52"/>
  <c r="X51" i="52"/>
  <c r="Y51" i="52"/>
  <c r="Z51" i="52"/>
  <c r="AA51" i="52"/>
  <c r="B52" i="52"/>
  <c r="C52" i="52"/>
  <c r="D52" i="52"/>
  <c r="E52" i="52"/>
  <c r="F52" i="52"/>
  <c r="G52" i="52"/>
  <c r="H52" i="52"/>
  <c r="J52" i="52"/>
  <c r="K52" i="52"/>
  <c r="L52" i="52"/>
  <c r="M52" i="52"/>
  <c r="N52" i="52"/>
  <c r="P52" i="52"/>
  <c r="Q52" i="52"/>
  <c r="R52" i="52"/>
  <c r="S52" i="52"/>
  <c r="T52" i="52"/>
  <c r="U52" i="52"/>
  <c r="V52" i="52"/>
  <c r="W52" i="52"/>
  <c r="X52" i="52"/>
  <c r="Y52" i="52"/>
  <c r="Z52" i="52"/>
  <c r="AA52" i="52"/>
  <c r="B53" i="52"/>
  <c r="C53" i="52"/>
  <c r="D53" i="52"/>
  <c r="E53" i="52"/>
  <c r="F53" i="52"/>
  <c r="G53" i="52"/>
  <c r="H53" i="52"/>
  <c r="J53" i="52"/>
  <c r="K53" i="52"/>
  <c r="L53" i="52"/>
  <c r="M53" i="52"/>
  <c r="N53" i="52"/>
  <c r="P53" i="52"/>
  <c r="Q53" i="52"/>
  <c r="R53" i="52"/>
  <c r="S53" i="52"/>
  <c r="T53" i="52"/>
  <c r="U53" i="52"/>
  <c r="V53" i="52"/>
  <c r="W53" i="52"/>
  <c r="X53" i="52"/>
  <c r="Y53" i="52"/>
  <c r="Z53" i="52"/>
  <c r="AA53" i="52"/>
  <c r="B54" i="52"/>
  <c r="C54" i="52"/>
  <c r="D54" i="52"/>
  <c r="E54" i="52"/>
  <c r="F54" i="52"/>
  <c r="G54" i="52"/>
  <c r="H54" i="52"/>
  <c r="I54" i="52"/>
  <c r="J54" i="52"/>
  <c r="K54" i="52"/>
  <c r="L54" i="52"/>
  <c r="M54" i="52"/>
  <c r="N54" i="52"/>
  <c r="P54" i="52"/>
  <c r="Q54" i="52"/>
  <c r="R54" i="52"/>
  <c r="S54" i="52"/>
  <c r="T54" i="52"/>
  <c r="U54" i="52"/>
  <c r="V54" i="52"/>
  <c r="W54" i="52"/>
  <c r="X54" i="52"/>
  <c r="Y54" i="52"/>
  <c r="Z54" i="52"/>
  <c r="AA54" i="52"/>
  <c r="B55" i="52"/>
  <c r="C55" i="52"/>
  <c r="D55" i="52"/>
  <c r="E55" i="52"/>
  <c r="F55" i="52"/>
  <c r="G55" i="52"/>
  <c r="H55" i="52"/>
  <c r="I55" i="52"/>
  <c r="J55" i="52"/>
  <c r="K55" i="52"/>
  <c r="L55" i="52"/>
  <c r="M55" i="52"/>
  <c r="N55" i="52"/>
  <c r="P55" i="52"/>
  <c r="Q55" i="52"/>
  <c r="R55" i="52"/>
  <c r="S55" i="52"/>
  <c r="T55" i="52"/>
  <c r="U55" i="52"/>
  <c r="V55" i="52"/>
  <c r="W55" i="52"/>
  <c r="X55" i="52"/>
  <c r="Y55" i="52"/>
  <c r="Z55" i="52"/>
  <c r="AA55" i="52"/>
  <c r="B56" i="52"/>
  <c r="C56" i="52"/>
  <c r="D56" i="52"/>
  <c r="E56" i="52"/>
  <c r="F56" i="52"/>
  <c r="G56" i="52"/>
  <c r="H56" i="52"/>
  <c r="I56" i="52"/>
  <c r="J56" i="52"/>
  <c r="K56" i="52"/>
  <c r="L56" i="52"/>
  <c r="M56" i="52"/>
  <c r="N56" i="52"/>
  <c r="P56" i="52"/>
  <c r="Q56" i="52"/>
  <c r="R56" i="52"/>
  <c r="S56" i="52"/>
  <c r="T56" i="52"/>
  <c r="U56" i="52"/>
  <c r="V56" i="52"/>
  <c r="W56" i="52"/>
  <c r="X56" i="52"/>
  <c r="Y56" i="52"/>
  <c r="Z56" i="52"/>
  <c r="AA56" i="52"/>
  <c r="B57" i="52"/>
  <c r="C57" i="52"/>
  <c r="D57" i="52"/>
  <c r="E57" i="52"/>
  <c r="F57" i="52"/>
  <c r="G57" i="52"/>
  <c r="H57" i="52"/>
  <c r="I57" i="52"/>
  <c r="J57" i="52"/>
  <c r="K57" i="52"/>
  <c r="L57" i="52"/>
  <c r="M57" i="52"/>
  <c r="N57" i="52"/>
  <c r="P57" i="52"/>
  <c r="Q57" i="52"/>
  <c r="R57" i="52"/>
  <c r="S57" i="52"/>
  <c r="T57" i="52"/>
  <c r="U57" i="52"/>
  <c r="V57" i="52"/>
  <c r="W57" i="52"/>
  <c r="X57" i="52"/>
  <c r="Y57" i="52"/>
  <c r="Z57" i="52"/>
  <c r="AA57" i="52"/>
  <c r="B58" i="52"/>
  <c r="C58" i="52"/>
  <c r="D58" i="52"/>
  <c r="E58" i="52"/>
  <c r="F58" i="52"/>
  <c r="G58" i="52"/>
  <c r="H58" i="52"/>
  <c r="J58" i="52"/>
  <c r="K58" i="52"/>
  <c r="L58" i="52"/>
  <c r="M58" i="52"/>
  <c r="N58" i="52"/>
  <c r="P58" i="52"/>
  <c r="Q58" i="52"/>
  <c r="R58" i="52"/>
  <c r="S58" i="52"/>
  <c r="T58" i="52"/>
  <c r="U58" i="52"/>
  <c r="V58" i="52"/>
  <c r="W58" i="52"/>
  <c r="X58" i="52"/>
  <c r="Y58" i="52"/>
  <c r="Z58" i="52"/>
  <c r="AA58" i="52"/>
  <c r="B59" i="52"/>
  <c r="C59" i="52"/>
  <c r="D59" i="52"/>
  <c r="E59" i="52"/>
  <c r="F59" i="52"/>
  <c r="G59" i="52"/>
  <c r="H59" i="52"/>
  <c r="I59" i="52"/>
  <c r="J59" i="52"/>
  <c r="K59" i="52"/>
  <c r="L59" i="52"/>
  <c r="M59" i="52"/>
  <c r="N59" i="52"/>
  <c r="P59" i="52"/>
  <c r="Q59" i="52"/>
  <c r="R59" i="52"/>
  <c r="S59" i="52"/>
  <c r="T59" i="52"/>
  <c r="U59" i="52"/>
  <c r="V59" i="52"/>
  <c r="W59" i="52"/>
  <c r="X59" i="52"/>
  <c r="Y59" i="52"/>
  <c r="Z59" i="52"/>
  <c r="AA59" i="52"/>
  <c r="B60" i="52"/>
  <c r="C60" i="52"/>
  <c r="D60" i="52"/>
  <c r="E60" i="52"/>
  <c r="F60" i="52"/>
  <c r="G60" i="52"/>
  <c r="H60" i="52"/>
  <c r="I60" i="52"/>
  <c r="J60" i="52"/>
  <c r="K60" i="52"/>
  <c r="L60" i="52"/>
  <c r="M60" i="52"/>
  <c r="N60" i="52"/>
  <c r="P60" i="52"/>
  <c r="Q60" i="52"/>
  <c r="R60" i="52"/>
  <c r="S60" i="52"/>
  <c r="T60" i="52"/>
  <c r="U60" i="52"/>
  <c r="V60" i="52"/>
  <c r="W60" i="52"/>
  <c r="X60" i="52"/>
  <c r="Y60" i="52"/>
  <c r="Z60" i="52"/>
  <c r="AA60" i="52"/>
  <c r="B61" i="52"/>
  <c r="C61" i="52"/>
  <c r="D61" i="52"/>
  <c r="E61" i="52"/>
  <c r="F61" i="52"/>
  <c r="G61" i="52"/>
  <c r="H61" i="52"/>
  <c r="I61" i="52"/>
  <c r="J61" i="52"/>
  <c r="K61" i="52"/>
  <c r="L61" i="52"/>
  <c r="M61" i="52"/>
  <c r="N61" i="52"/>
  <c r="P61" i="52"/>
  <c r="Q61" i="52"/>
  <c r="R61" i="52"/>
  <c r="S61" i="52"/>
  <c r="T61" i="52"/>
  <c r="U61" i="52"/>
  <c r="V61" i="52"/>
  <c r="W61" i="52"/>
  <c r="X61" i="52"/>
  <c r="Y61" i="52"/>
  <c r="Z61" i="52"/>
  <c r="AA61" i="52"/>
  <c r="A61" i="52"/>
  <c r="A60" i="52"/>
  <c r="A59" i="52"/>
  <c r="A56" i="52"/>
  <c r="A57" i="52"/>
  <c r="A58" i="52"/>
  <c r="A55" i="52"/>
  <c r="A52" i="52"/>
  <c r="A53" i="52"/>
  <c r="A54" i="52"/>
  <c r="A51" i="52"/>
  <c r="A46" i="52"/>
  <c r="A47" i="52"/>
  <c r="A48" i="52"/>
  <c r="A49" i="52"/>
  <c r="A50" i="52"/>
  <c r="A45" i="52"/>
  <c r="A44" i="52"/>
  <c r="B59" i="18"/>
  <c r="C59" i="18"/>
  <c r="D59" i="18"/>
  <c r="E59" i="18"/>
  <c r="G59" i="18"/>
  <c r="H59" i="18"/>
  <c r="I59" i="18"/>
  <c r="J59" i="18"/>
  <c r="M59" i="18"/>
  <c r="N59" i="18"/>
  <c r="P59" i="18"/>
  <c r="Q59" i="18"/>
  <c r="R59" i="18"/>
  <c r="S59" i="18"/>
  <c r="T59" i="18"/>
  <c r="U59" i="18"/>
  <c r="V59" i="18"/>
  <c r="W59" i="18"/>
  <c r="X59" i="18"/>
  <c r="Y59" i="18"/>
  <c r="Z59" i="18"/>
  <c r="AA59" i="18"/>
  <c r="B60" i="18"/>
  <c r="C60" i="18"/>
  <c r="D60" i="18"/>
  <c r="E60" i="18"/>
  <c r="G60" i="18"/>
  <c r="M60" i="18"/>
  <c r="N60" i="18"/>
  <c r="P60" i="18"/>
  <c r="Q60" i="18"/>
  <c r="R60" i="18"/>
  <c r="S60" i="18"/>
  <c r="T60" i="18"/>
  <c r="U60" i="18"/>
  <c r="V60" i="18"/>
  <c r="W60" i="18"/>
  <c r="X60" i="18"/>
  <c r="Y60" i="18"/>
  <c r="Z60" i="18"/>
  <c r="AA60" i="18"/>
  <c r="B61" i="18"/>
  <c r="C61" i="18"/>
  <c r="D61" i="18"/>
  <c r="E61" i="18"/>
  <c r="G61" i="18"/>
  <c r="M61" i="18"/>
  <c r="N61" i="18"/>
  <c r="P61" i="18"/>
  <c r="Q61" i="18"/>
  <c r="R61" i="18"/>
  <c r="S61" i="18"/>
  <c r="T61" i="18"/>
  <c r="U61" i="18"/>
  <c r="V61" i="18"/>
  <c r="W61" i="18"/>
  <c r="X61" i="18"/>
  <c r="Y61" i="18"/>
  <c r="Z61" i="18"/>
  <c r="AA61" i="18"/>
  <c r="B62" i="18"/>
  <c r="C62" i="18"/>
  <c r="D62" i="18"/>
  <c r="E62" i="18"/>
  <c r="G62" i="18"/>
  <c r="K62" i="18"/>
  <c r="M62" i="18"/>
  <c r="N62" i="18"/>
  <c r="P62" i="18"/>
  <c r="Q62" i="18"/>
  <c r="R62" i="18"/>
  <c r="S62" i="18"/>
  <c r="T62" i="18"/>
  <c r="U62" i="18"/>
  <c r="V62" i="18"/>
  <c r="W62" i="18"/>
  <c r="X62" i="18"/>
  <c r="Y62" i="18"/>
  <c r="Z62" i="18"/>
  <c r="AA62" i="18"/>
  <c r="B63" i="18"/>
  <c r="E63" i="18"/>
  <c r="G63" i="18"/>
  <c r="H63" i="18"/>
  <c r="J63" i="18"/>
  <c r="M63" i="18"/>
  <c r="N63" i="18"/>
  <c r="P63" i="18"/>
  <c r="Q63" i="18"/>
  <c r="R63" i="18"/>
  <c r="S63" i="18"/>
  <c r="T63" i="18"/>
  <c r="U63" i="18"/>
  <c r="V63" i="18"/>
  <c r="W63" i="18"/>
  <c r="X63" i="18"/>
  <c r="Y63" i="18"/>
  <c r="Z63" i="18"/>
  <c r="AA63" i="18"/>
  <c r="B64" i="18"/>
  <c r="C64" i="18"/>
  <c r="D64" i="18"/>
  <c r="E64" i="18"/>
  <c r="G64" i="18"/>
  <c r="K64" i="18"/>
  <c r="M64" i="18"/>
  <c r="N64" i="18"/>
  <c r="P64" i="18"/>
  <c r="Q64" i="18"/>
  <c r="R64" i="18"/>
  <c r="S64" i="18"/>
  <c r="T64" i="18"/>
  <c r="U64" i="18"/>
  <c r="V64" i="18"/>
  <c r="W64" i="18"/>
  <c r="X64" i="18"/>
  <c r="Y64" i="18"/>
  <c r="Z64" i="18"/>
  <c r="AA64" i="18"/>
  <c r="B65" i="18"/>
  <c r="C65" i="18"/>
  <c r="D65" i="18"/>
  <c r="E65" i="18"/>
  <c r="G65" i="18"/>
  <c r="H65" i="18"/>
  <c r="I65" i="18"/>
  <c r="J65" i="18"/>
  <c r="M65" i="18"/>
  <c r="N65" i="18"/>
  <c r="P65" i="18"/>
  <c r="Q65" i="18"/>
  <c r="R65" i="18"/>
  <c r="S65" i="18"/>
  <c r="T65" i="18"/>
  <c r="U65" i="18"/>
  <c r="V65" i="18"/>
  <c r="W65" i="18"/>
  <c r="X65" i="18"/>
  <c r="Y65" i="18"/>
  <c r="Z65" i="18"/>
  <c r="AA65" i="18"/>
  <c r="B66" i="18"/>
  <c r="C66" i="18"/>
  <c r="D66" i="18"/>
  <c r="E66" i="18"/>
  <c r="G66" i="18"/>
  <c r="M66" i="18"/>
  <c r="N66" i="18"/>
  <c r="P66" i="18"/>
  <c r="Q66" i="18"/>
  <c r="R66" i="18"/>
  <c r="S66" i="18"/>
  <c r="T66" i="18"/>
  <c r="U66" i="18"/>
  <c r="V66" i="18"/>
  <c r="W66" i="18"/>
  <c r="X66" i="18"/>
  <c r="Y66" i="18"/>
  <c r="Z66" i="18"/>
  <c r="AA66" i="18"/>
  <c r="B67" i="18"/>
  <c r="C67" i="18"/>
  <c r="D67" i="18"/>
  <c r="E67" i="18"/>
  <c r="G67" i="18"/>
  <c r="H67" i="18"/>
  <c r="I67" i="18"/>
  <c r="J67" i="18"/>
  <c r="M67" i="18"/>
  <c r="N67" i="18"/>
  <c r="P67" i="18"/>
  <c r="Q67" i="18"/>
  <c r="R67" i="18"/>
  <c r="S67" i="18"/>
  <c r="T67" i="18"/>
  <c r="U67" i="18"/>
  <c r="V67" i="18"/>
  <c r="W67" i="18"/>
  <c r="X67" i="18"/>
  <c r="Y67" i="18"/>
  <c r="Z67" i="18"/>
  <c r="AA67" i="18"/>
  <c r="B68" i="18"/>
  <c r="C68" i="18"/>
  <c r="D68" i="18"/>
  <c r="E68" i="18"/>
  <c r="G68" i="18"/>
  <c r="M68" i="18"/>
  <c r="N68" i="18"/>
  <c r="P68" i="18"/>
  <c r="Q68" i="18"/>
  <c r="R68" i="18"/>
  <c r="S68" i="18"/>
  <c r="T68" i="18"/>
  <c r="U68" i="18"/>
  <c r="V68" i="18"/>
  <c r="W68" i="18"/>
  <c r="X68" i="18"/>
  <c r="Y68" i="18"/>
  <c r="Z68" i="18"/>
  <c r="AA68" i="18"/>
  <c r="B69" i="18"/>
  <c r="C69" i="18"/>
  <c r="D69" i="18"/>
  <c r="E69" i="18"/>
  <c r="G69" i="18"/>
  <c r="M69" i="18"/>
  <c r="N69" i="18"/>
  <c r="P69" i="18"/>
  <c r="Q69" i="18"/>
  <c r="R69" i="18"/>
  <c r="S69" i="18"/>
  <c r="T69" i="18"/>
  <c r="U69" i="18"/>
  <c r="V69" i="18"/>
  <c r="W69" i="18"/>
  <c r="X69" i="18"/>
  <c r="Y69" i="18"/>
  <c r="Z69" i="18"/>
  <c r="AA69" i="18"/>
  <c r="A69" i="18"/>
  <c r="A68" i="18"/>
  <c r="A67" i="18"/>
  <c r="A66" i="18"/>
  <c r="A65" i="18"/>
  <c r="A64" i="18"/>
  <c r="A61" i="18"/>
  <c r="A62" i="18"/>
  <c r="A63" i="18"/>
  <c r="A60" i="18"/>
  <c r="A59" i="18"/>
  <c r="B53" i="18"/>
  <c r="C53" i="18"/>
  <c r="D53" i="18"/>
  <c r="E53" i="18"/>
  <c r="G53" i="18"/>
  <c r="M53" i="18"/>
  <c r="N53" i="18"/>
  <c r="P53" i="18"/>
  <c r="Q53" i="18"/>
  <c r="R53" i="18"/>
  <c r="S53" i="18"/>
  <c r="T53" i="18"/>
  <c r="U53" i="18"/>
  <c r="V53" i="18"/>
  <c r="W53" i="18"/>
  <c r="X53" i="18"/>
  <c r="Y53" i="18"/>
  <c r="Z53" i="18"/>
  <c r="AA53" i="18"/>
  <c r="B54" i="18"/>
  <c r="C54" i="18"/>
  <c r="D54" i="18"/>
  <c r="E54" i="18"/>
  <c r="G54" i="18"/>
  <c r="M54" i="18"/>
  <c r="N54" i="18"/>
  <c r="P54" i="18"/>
  <c r="Q54" i="18"/>
  <c r="R54" i="18"/>
  <c r="S54" i="18"/>
  <c r="T54" i="18"/>
  <c r="U54" i="18"/>
  <c r="V54" i="18"/>
  <c r="W54" i="18"/>
  <c r="X54" i="18"/>
  <c r="Y54" i="18"/>
  <c r="Z54" i="18"/>
  <c r="AA54" i="18"/>
  <c r="B55" i="18"/>
  <c r="C55" i="18"/>
  <c r="D55" i="18"/>
  <c r="E55" i="18"/>
  <c r="G55" i="18"/>
  <c r="M55" i="18"/>
  <c r="N55" i="18"/>
  <c r="P55" i="18"/>
  <c r="Q55" i="18"/>
  <c r="R55" i="18"/>
  <c r="S55" i="18"/>
  <c r="T55" i="18"/>
  <c r="U55" i="18"/>
  <c r="V55" i="18"/>
  <c r="W55" i="18"/>
  <c r="X55" i="18"/>
  <c r="Y55" i="18"/>
  <c r="Z55" i="18"/>
  <c r="AA55" i="18"/>
  <c r="B56" i="18"/>
  <c r="C56" i="18"/>
  <c r="D56" i="18"/>
  <c r="E56" i="18"/>
  <c r="G56" i="18"/>
  <c r="M56" i="18"/>
  <c r="N56" i="18"/>
  <c r="P56" i="18"/>
  <c r="Q56" i="18"/>
  <c r="R56" i="18"/>
  <c r="S56" i="18"/>
  <c r="T56" i="18"/>
  <c r="U56" i="18"/>
  <c r="V56" i="18"/>
  <c r="W56" i="18"/>
  <c r="X56" i="18"/>
  <c r="Y56" i="18"/>
  <c r="Z56" i="18"/>
  <c r="AA56" i="18"/>
  <c r="B57" i="18"/>
  <c r="E57" i="18"/>
  <c r="G57" i="18"/>
  <c r="H57" i="18"/>
  <c r="J57" i="18"/>
  <c r="M57" i="18"/>
  <c r="N57" i="18"/>
  <c r="P57" i="18"/>
  <c r="Q57" i="18"/>
  <c r="R57" i="18"/>
  <c r="S57" i="18"/>
  <c r="T57" i="18"/>
  <c r="U57" i="18"/>
  <c r="V57" i="18"/>
  <c r="W57" i="18"/>
  <c r="X57" i="18"/>
  <c r="Y57" i="18"/>
  <c r="Z57" i="18"/>
  <c r="AA57" i="18"/>
  <c r="B58" i="18"/>
  <c r="E58" i="18"/>
  <c r="G58" i="18"/>
  <c r="H58" i="18"/>
  <c r="J58" i="18"/>
  <c r="M58" i="18"/>
  <c r="N58" i="18"/>
  <c r="P58" i="18"/>
  <c r="Q58" i="18"/>
  <c r="R58" i="18"/>
  <c r="S58" i="18"/>
  <c r="T58" i="18"/>
  <c r="U58" i="18"/>
  <c r="V58" i="18"/>
  <c r="W58" i="18"/>
  <c r="X58" i="18"/>
  <c r="Y58" i="18"/>
  <c r="Z58" i="18"/>
  <c r="AA58" i="18"/>
  <c r="A54" i="18"/>
  <c r="A55" i="18"/>
  <c r="A56" i="18"/>
  <c r="A57" i="18"/>
  <c r="A58" i="18"/>
  <c r="A53" i="18"/>
  <c r="B50" i="18"/>
  <c r="C50" i="18"/>
  <c r="D50" i="18"/>
  <c r="E50" i="18"/>
  <c r="G50" i="18"/>
  <c r="M50" i="18"/>
  <c r="N50" i="18"/>
  <c r="P50" i="18"/>
  <c r="Q50" i="18"/>
  <c r="R50" i="18"/>
  <c r="S50" i="18"/>
  <c r="T50" i="18"/>
  <c r="U50" i="18"/>
  <c r="V50" i="18"/>
  <c r="W50" i="18"/>
  <c r="X50" i="18"/>
  <c r="Y50" i="18"/>
  <c r="Z50" i="18"/>
  <c r="AA50" i="18"/>
  <c r="B51" i="18"/>
  <c r="E51" i="18"/>
  <c r="G51" i="18"/>
  <c r="H51" i="18"/>
  <c r="J51" i="18"/>
  <c r="M51" i="18"/>
  <c r="N51" i="18"/>
  <c r="P51" i="18"/>
  <c r="Q51" i="18"/>
  <c r="R51" i="18"/>
  <c r="S51" i="18"/>
  <c r="T51" i="18"/>
  <c r="U51" i="18"/>
  <c r="V51" i="18"/>
  <c r="W51" i="18"/>
  <c r="X51" i="18"/>
  <c r="Y51" i="18"/>
  <c r="Z51" i="18"/>
  <c r="AA51" i="18"/>
  <c r="E52" i="18"/>
  <c r="G52" i="18"/>
  <c r="H52" i="18"/>
  <c r="J52" i="18"/>
  <c r="M52" i="18"/>
  <c r="N52" i="18"/>
  <c r="P52" i="18"/>
  <c r="Q52" i="18"/>
  <c r="R52" i="18"/>
  <c r="S52" i="18"/>
  <c r="T52" i="18"/>
  <c r="U52" i="18"/>
  <c r="V52" i="18"/>
  <c r="W52" i="18"/>
  <c r="X52" i="18"/>
  <c r="Y52" i="18"/>
  <c r="Z52" i="18"/>
  <c r="AA52" i="18"/>
  <c r="A51" i="18"/>
  <c r="A52" i="18"/>
  <c r="A50" i="18"/>
  <c r="B23" i="71"/>
  <c r="C23" i="71"/>
  <c r="D23" i="71"/>
  <c r="E23" i="71"/>
  <c r="F23" i="71"/>
  <c r="G23" i="71"/>
  <c r="H23" i="71"/>
  <c r="I23" i="71"/>
  <c r="J23" i="71"/>
  <c r="K23" i="71"/>
  <c r="L23" i="71"/>
  <c r="M23" i="71"/>
  <c r="N23" i="71"/>
  <c r="P23" i="71"/>
  <c r="Q23" i="71"/>
  <c r="R23" i="71"/>
  <c r="S23" i="71"/>
  <c r="T23" i="71"/>
  <c r="U23" i="71"/>
  <c r="V23" i="71"/>
  <c r="W23" i="71"/>
  <c r="X23" i="71"/>
  <c r="Y23" i="71"/>
  <c r="Z23" i="71"/>
  <c r="AA23" i="71"/>
  <c r="B24" i="71"/>
  <c r="C24" i="71"/>
  <c r="D24" i="71"/>
  <c r="E24" i="71"/>
  <c r="F24" i="71"/>
  <c r="G24" i="71"/>
  <c r="H24" i="71"/>
  <c r="J24" i="71"/>
  <c r="K24" i="71"/>
  <c r="L24" i="71"/>
  <c r="M24" i="71"/>
  <c r="N24" i="71"/>
  <c r="P24" i="71"/>
  <c r="Q24" i="71"/>
  <c r="R24" i="71"/>
  <c r="S24" i="71"/>
  <c r="T24" i="71"/>
  <c r="U24" i="71"/>
  <c r="V24" i="71"/>
  <c r="W24" i="71"/>
  <c r="X24" i="71"/>
  <c r="Y24" i="71"/>
  <c r="Z24" i="71"/>
  <c r="AA24" i="71"/>
  <c r="B25" i="71"/>
  <c r="C25" i="71"/>
  <c r="D25" i="71"/>
  <c r="E25" i="71"/>
  <c r="F25" i="71"/>
  <c r="G25" i="71"/>
  <c r="H25" i="71"/>
  <c r="J25" i="71"/>
  <c r="K25" i="71"/>
  <c r="L25" i="71"/>
  <c r="M25" i="71"/>
  <c r="N25" i="71"/>
  <c r="P25" i="71"/>
  <c r="Q25" i="71"/>
  <c r="R25" i="71"/>
  <c r="S25" i="71"/>
  <c r="T25" i="71"/>
  <c r="U25" i="71"/>
  <c r="V25" i="71"/>
  <c r="W25" i="71"/>
  <c r="X25" i="71"/>
  <c r="Y25" i="71"/>
  <c r="Z25" i="71"/>
  <c r="AA25" i="71"/>
  <c r="A24" i="71"/>
  <c r="A25" i="71"/>
  <c r="A23" i="71"/>
  <c r="B23" i="61"/>
  <c r="C23" i="61"/>
  <c r="D23" i="61"/>
  <c r="E23" i="61"/>
  <c r="F23" i="61"/>
  <c r="G23" i="61"/>
  <c r="H23" i="61"/>
  <c r="I23" i="61"/>
  <c r="J23" i="61"/>
  <c r="K23" i="61"/>
  <c r="L23" i="61"/>
  <c r="M23" i="61"/>
  <c r="N23" i="61"/>
  <c r="P23" i="61"/>
  <c r="Q23" i="61"/>
  <c r="R23" i="61"/>
  <c r="S23" i="61"/>
  <c r="T23" i="61"/>
  <c r="U23" i="61"/>
  <c r="V23" i="61"/>
  <c r="W23" i="61"/>
  <c r="X23" i="61"/>
  <c r="Y23" i="61"/>
  <c r="Z23" i="61"/>
  <c r="AA23" i="61"/>
  <c r="B24" i="61"/>
  <c r="C24" i="61"/>
  <c r="D24" i="61"/>
  <c r="E24" i="61"/>
  <c r="F24" i="61"/>
  <c r="G24" i="61"/>
  <c r="H24" i="61"/>
  <c r="J24" i="61"/>
  <c r="K24" i="61"/>
  <c r="L24" i="61"/>
  <c r="M24" i="61"/>
  <c r="N24" i="61"/>
  <c r="P24" i="61"/>
  <c r="Q24" i="61"/>
  <c r="R24" i="61"/>
  <c r="S24" i="61"/>
  <c r="T24" i="61"/>
  <c r="U24" i="61"/>
  <c r="V24" i="61"/>
  <c r="W24" i="61"/>
  <c r="X24" i="61"/>
  <c r="Y24" i="61"/>
  <c r="Z24" i="61"/>
  <c r="AA24" i="61"/>
  <c r="B25" i="61"/>
  <c r="C25" i="61"/>
  <c r="D25" i="61"/>
  <c r="E25" i="61"/>
  <c r="F25" i="61"/>
  <c r="G25" i="61"/>
  <c r="H25" i="61"/>
  <c r="J25" i="61"/>
  <c r="K25" i="61"/>
  <c r="L25" i="61"/>
  <c r="M25" i="61"/>
  <c r="N25" i="61"/>
  <c r="P25" i="61"/>
  <c r="Q25" i="61"/>
  <c r="R25" i="61"/>
  <c r="S25" i="61"/>
  <c r="T25" i="61"/>
  <c r="U25" i="61"/>
  <c r="V25" i="61"/>
  <c r="W25" i="61"/>
  <c r="X25" i="61"/>
  <c r="Y25" i="61"/>
  <c r="Z25" i="61"/>
  <c r="AA25" i="61"/>
  <c r="A24" i="61"/>
  <c r="A25" i="61"/>
  <c r="A23" i="61"/>
  <c r="B24" i="28"/>
  <c r="C24" i="28"/>
  <c r="D24" i="28"/>
  <c r="E24" i="28"/>
  <c r="F24" i="28"/>
  <c r="G24" i="28"/>
  <c r="H24" i="28"/>
  <c r="I24" i="28"/>
  <c r="J24" i="28"/>
  <c r="K24" i="28"/>
  <c r="L24" i="28"/>
  <c r="M24" i="28"/>
  <c r="N24" i="28"/>
  <c r="P24" i="28"/>
  <c r="Q24" i="28"/>
  <c r="R24" i="28"/>
  <c r="S24" i="28"/>
  <c r="T24" i="28"/>
  <c r="U24" i="28"/>
  <c r="V24" i="28"/>
  <c r="W24" i="28"/>
  <c r="X24" i="28"/>
  <c r="Y24" i="28"/>
  <c r="Z24" i="28"/>
  <c r="AA24" i="28"/>
  <c r="B25" i="28"/>
  <c r="C25" i="28"/>
  <c r="D25" i="28"/>
  <c r="E25" i="28"/>
  <c r="F25" i="28"/>
  <c r="G25" i="28"/>
  <c r="H25" i="28"/>
  <c r="J25" i="28"/>
  <c r="K25" i="28"/>
  <c r="L25" i="28"/>
  <c r="M25" i="28"/>
  <c r="N25" i="28"/>
  <c r="P25" i="28"/>
  <c r="Q25" i="28"/>
  <c r="R25" i="28"/>
  <c r="S25" i="28"/>
  <c r="T25" i="28"/>
  <c r="U25" i="28"/>
  <c r="V25" i="28"/>
  <c r="W25" i="28"/>
  <c r="X25" i="28"/>
  <c r="Y25" i="28"/>
  <c r="Z25" i="28"/>
  <c r="AA25" i="28"/>
  <c r="B26" i="28"/>
  <c r="C26" i="28"/>
  <c r="D26" i="28"/>
  <c r="E26" i="28"/>
  <c r="F26" i="28"/>
  <c r="G26" i="28"/>
  <c r="H26" i="28"/>
  <c r="J26" i="28"/>
  <c r="K26" i="28"/>
  <c r="L26" i="28"/>
  <c r="M26" i="28"/>
  <c r="N26" i="28"/>
  <c r="P26" i="28"/>
  <c r="Q26" i="28"/>
  <c r="R26" i="28"/>
  <c r="S26" i="28"/>
  <c r="T26" i="28"/>
  <c r="U26" i="28"/>
  <c r="V26" i="28"/>
  <c r="W26" i="28"/>
  <c r="X26" i="28"/>
  <c r="Y26" i="28"/>
  <c r="Z26" i="28"/>
  <c r="AA26" i="28"/>
  <c r="A25" i="28"/>
  <c r="A26" i="28"/>
  <c r="A24" i="28"/>
  <c r="B23" i="39"/>
  <c r="C23" i="39"/>
  <c r="D23" i="39"/>
  <c r="E23" i="39"/>
  <c r="F23" i="39"/>
  <c r="G23" i="39"/>
  <c r="H23" i="39"/>
  <c r="I23" i="39"/>
  <c r="J23" i="39"/>
  <c r="K23" i="39"/>
  <c r="L23" i="39"/>
  <c r="M23" i="39"/>
  <c r="N23" i="39"/>
  <c r="P23" i="39"/>
  <c r="Q23" i="39"/>
  <c r="R23" i="39"/>
  <c r="S23" i="39"/>
  <c r="T23" i="39"/>
  <c r="U23" i="39"/>
  <c r="V23" i="39"/>
  <c r="W23" i="39"/>
  <c r="X23" i="39"/>
  <c r="Y23" i="39"/>
  <c r="Z23" i="39"/>
  <c r="AA23" i="39"/>
  <c r="B24" i="39"/>
  <c r="C24" i="39"/>
  <c r="D24" i="39"/>
  <c r="E24" i="39"/>
  <c r="F24" i="39"/>
  <c r="G24" i="39"/>
  <c r="H24" i="39"/>
  <c r="J24" i="39"/>
  <c r="K24" i="39"/>
  <c r="L24" i="39"/>
  <c r="M24" i="39"/>
  <c r="N24" i="39"/>
  <c r="P24" i="39"/>
  <c r="Q24" i="39"/>
  <c r="R24" i="39"/>
  <c r="S24" i="39"/>
  <c r="T24" i="39"/>
  <c r="U24" i="39"/>
  <c r="V24" i="39"/>
  <c r="W24" i="39"/>
  <c r="X24" i="39"/>
  <c r="Y24" i="39"/>
  <c r="Z24" i="39"/>
  <c r="AA24" i="39"/>
  <c r="B25" i="39"/>
  <c r="C25" i="39"/>
  <c r="D25" i="39"/>
  <c r="E25" i="39"/>
  <c r="F25" i="39"/>
  <c r="G25" i="39"/>
  <c r="H25" i="39"/>
  <c r="J25" i="39"/>
  <c r="K25" i="39"/>
  <c r="L25" i="39"/>
  <c r="M25" i="39"/>
  <c r="N25" i="39"/>
  <c r="P25" i="39"/>
  <c r="Q25" i="39"/>
  <c r="R25" i="39"/>
  <c r="S25" i="39"/>
  <c r="T25" i="39"/>
  <c r="U25" i="39"/>
  <c r="V25" i="39"/>
  <c r="W25" i="39"/>
  <c r="X25" i="39"/>
  <c r="Y25" i="39"/>
  <c r="Z25" i="39"/>
  <c r="AA25" i="39"/>
  <c r="A24" i="39"/>
  <c r="A25" i="39"/>
  <c r="A23" i="39"/>
  <c r="B24" i="30"/>
  <c r="C24" i="30"/>
  <c r="D24" i="30"/>
  <c r="E24" i="30"/>
  <c r="F24" i="30"/>
  <c r="G24" i="30"/>
  <c r="H24" i="30"/>
  <c r="I24" i="30"/>
  <c r="J24" i="30"/>
  <c r="K24" i="30"/>
  <c r="L24" i="30"/>
  <c r="M24" i="30"/>
  <c r="N24" i="30"/>
  <c r="P24" i="30"/>
  <c r="Q24" i="30"/>
  <c r="R24" i="30"/>
  <c r="S24" i="30"/>
  <c r="T24" i="30"/>
  <c r="U24" i="30"/>
  <c r="V24" i="30"/>
  <c r="W24" i="30"/>
  <c r="X24" i="30"/>
  <c r="Y24" i="30"/>
  <c r="Z24" i="30"/>
  <c r="AA24" i="30"/>
  <c r="B25" i="30"/>
  <c r="C25" i="30"/>
  <c r="D25" i="30"/>
  <c r="E25" i="30"/>
  <c r="F25" i="30"/>
  <c r="G25" i="30"/>
  <c r="H25" i="30"/>
  <c r="J25" i="30"/>
  <c r="K25" i="30"/>
  <c r="L25" i="30"/>
  <c r="M25" i="30"/>
  <c r="N25" i="30"/>
  <c r="P25" i="30"/>
  <c r="Q25" i="30"/>
  <c r="R25" i="30"/>
  <c r="S25" i="30"/>
  <c r="T25" i="30"/>
  <c r="U25" i="30"/>
  <c r="V25" i="30"/>
  <c r="W25" i="30"/>
  <c r="X25" i="30"/>
  <c r="Y25" i="30"/>
  <c r="Z25" i="30"/>
  <c r="AA25" i="30"/>
  <c r="B26" i="30"/>
  <c r="C26" i="30"/>
  <c r="D26" i="30"/>
  <c r="E26" i="30"/>
  <c r="F26" i="30"/>
  <c r="G26" i="30"/>
  <c r="H26" i="30"/>
  <c r="J26" i="30"/>
  <c r="K26" i="30"/>
  <c r="L26" i="30"/>
  <c r="M26" i="30"/>
  <c r="N26" i="30"/>
  <c r="P26" i="30"/>
  <c r="Q26" i="30"/>
  <c r="R26" i="30"/>
  <c r="S26" i="30"/>
  <c r="T26" i="30"/>
  <c r="U26" i="30"/>
  <c r="V26" i="30"/>
  <c r="W26" i="30"/>
  <c r="X26" i="30"/>
  <c r="Y26" i="30"/>
  <c r="Z26" i="30"/>
  <c r="AA26" i="30"/>
  <c r="A25" i="30"/>
  <c r="A26" i="30"/>
  <c r="A24" i="30"/>
  <c r="A22" i="38"/>
  <c r="AA24" i="38"/>
  <c r="Z24" i="38"/>
  <c r="Y24" i="38"/>
  <c r="X24" i="38"/>
  <c r="W24" i="38"/>
  <c r="V24" i="38"/>
  <c r="U24" i="38"/>
  <c r="T24" i="38"/>
  <c r="S24" i="38"/>
  <c r="R24" i="38"/>
  <c r="Q24" i="38"/>
  <c r="P24" i="38"/>
  <c r="N24" i="38"/>
  <c r="M24" i="38"/>
  <c r="L24" i="38"/>
  <c r="K24" i="38"/>
  <c r="J24" i="38"/>
  <c r="H24" i="38"/>
  <c r="G24" i="38"/>
  <c r="F24" i="38"/>
  <c r="E24" i="38"/>
  <c r="D24" i="38"/>
  <c r="C24" i="38"/>
  <c r="B24" i="38"/>
  <c r="A24" i="38"/>
  <c r="AA23" i="38"/>
  <c r="Z23" i="38"/>
  <c r="Y23" i="38"/>
  <c r="X23" i="38"/>
  <c r="W23" i="38"/>
  <c r="V23" i="38"/>
  <c r="U23" i="38"/>
  <c r="T23" i="38"/>
  <c r="S23" i="38"/>
  <c r="R23" i="38"/>
  <c r="Q23" i="38"/>
  <c r="P23" i="38"/>
  <c r="N23" i="38"/>
  <c r="M23" i="38"/>
  <c r="L23" i="38"/>
  <c r="K23" i="38"/>
  <c r="J23" i="38"/>
  <c r="H23" i="38"/>
  <c r="G23" i="38"/>
  <c r="F23" i="38"/>
  <c r="E23" i="38"/>
  <c r="D23" i="38"/>
  <c r="C23" i="38"/>
  <c r="B23" i="38"/>
  <c r="A23" i="38"/>
  <c r="AA22" i="38"/>
  <c r="Z22" i="38"/>
  <c r="Y22" i="38"/>
  <c r="X22" i="38"/>
  <c r="W22" i="38"/>
  <c r="V22" i="38"/>
  <c r="U22" i="38"/>
  <c r="T22" i="38"/>
  <c r="S22" i="38"/>
  <c r="R22" i="38"/>
  <c r="Q22" i="38"/>
  <c r="P22" i="38"/>
  <c r="N22" i="38"/>
  <c r="M22" i="38"/>
  <c r="L22" i="38"/>
  <c r="K22" i="38"/>
  <c r="J22" i="38"/>
  <c r="I22" i="38"/>
  <c r="H22" i="38"/>
  <c r="G22" i="38"/>
  <c r="F22" i="38"/>
  <c r="E22" i="38"/>
  <c r="D22" i="38"/>
  <c r="C22" i="38"/>
  <c r="B22" i="38"/>
  <c r="AA24" i="27"/>
  <c r="Z24" i="27"/>
  <c r="Y24" i="27"/>
  <c r="X24" i="27"/>
  <c r="W24" i="27"/>
  <c r="V24" i="27"/>
  <c r="U24" i="27"/>
  <c r="T24" i="27"/>
  <c r="S24" i="27"/>
  <c r="R24" i="27"/>
  <c r="Q24" i="27"/>
  <c r="P24" i="27"/>
  <c r="N24" i="27"/>
  <c r="M24" i="27"/>
  <c r="L24" i="27"/>
  <c r="K24" i="27"/>
  <c r="J24" i="27"/>
  <c r="H24" i="27"/>
  <c r="G24" i="27"/>
  <c r="F24" i="27"/>
  <c r="E24" i="27"/>
  <c r="D24" i="27"/>
  <c r="C24" i="27"/>
  <c r="B24" i="27"/>
  <c r="AA23" i="27"/>
  <c r="Z23" i="27"/>
  <c r="Y23" i="27"/>
  <c r="X23" i="27"/>
  <c r="W23" i="27"/>
  <c r="V23" i="27"/>
  <c r="U23" i="27"/>
  <c r="T23" i="27"/>
  <c r="S23" i="27"/>
  <c r="R23" i="27"/>
  <c r="Q23" i="27"/>
  <c r="P23" i="27"/>
  <c r="N23" i="27"/>
  <c r="M23" i="27"/>
  <c r="L23" i="27"/>
  <c r="K23" i="27"/>
  <c r="J23" i="27"/>
  <c r="H23" i="27"/>
  <c r="G23" i="27"/>
  <c r="F23" i="27"/>
  <c r="E23" i="27"/>
  <c r="D23" i="27"/>
  <c r="C23" i="27"/>
  <c r="B23" i="27"/>
  <c r="AA22" i="27"/>
  <c r="Z22" i="27"/>
  <c r="Y22" i="27"/>
  <c r="X22" i="27"/>
  <c r="W22" i="27"/>
  <c r="V22" i="27"/>
  <c r="U22" i="27"/>
  <c r="T22" i="27"/>
  <c r="S22" i="27"/>
  <c r="R22" i="27"/>
  <c r="Q22" i="27"/>
  <c r="P22" i="27"/>
  <c r="N22" i="27"/>
  <c r="M22" i="27"/>
  <c r="L22" i="27"/>
  <c r="K22" i="27"/>
  <c r="J22" i="27"/>
  <c r="I22" i="27"/>
  <c r="H22" i="27"/>
  <c r="G22" i="27"/>
  <c r="F22" i="27"/>
  <c r="E22" i="27"/>
  <c r="D22" i="27"/>
  <c r="C22" i="27"/>
  <c r="B22" i="27"/>
  <c r="A23" i="27"/>
  <c r="A24" i="27"/>
  <c r="A22" i="27"/>
  <c r="B23" i="26"/>
  <c r="C23" i="26"/>
  <c r="D23" i="26"/>
  <c r="E23" i="26"/>
  <c r="G23" i="26"/>
  <c r="H23" i="26"/>
  <c r="I23" i="26"/>
  <c r="AB23" i="26" s="1"/>
  <c r="J23" i="26"/>
  <c r="M23" i="26"/>
  <c r="N23" i="26"/>
  <c r="P23" i="26"/>
  <c r="T23" i="26"/>
  <c r="U23" i="26"/>
  <c r="V23" i="26"/>
  <c r="W23" i="26"/>
  <c r="X23" i="26"/>
  <c r="Y23" i="26"/>
  <c r="Z23" i="26"/>
  <c r="AA23" i="26"/>
  <c r="A23" i="26"/>
  <c r="AA26" i="36"/>
  <c r="Z26" i="36"/>
  <c r="Y26" i="36"/>
  <c r="X26" i="36"/>
  <c r="W26" i="36"/>
  <c r="V26" i="36"/>
  <c r="U26" i="36"/>
  <c r="T26" i="36"/>
  <c r="P26" i="36"/>
  <c r="N26" i="36"/>
  <c r="M26" i="36"/>
  <c r="K26" i="36"/>
  <c r="J26" i="36"/>
  <c r="I26" i="36"/>
  <c r="H26" i="36"/>
  <c r="G26" i="36"/>
  <c r="E26" i="36"/>
  <c r="D26" i="36"/>
  <c r="C26" i="36"/>
  <c r="B26" i="36"/>
  <c r="AA25" i="36"/>
  <c r="Z25" i="36"/>
  <c r="Y25" i="36"/>
  <c r="X25" i="36"/>
  <c r="W25" i="36"/>
  <c r="V25" i="36"/>
  <c r="U25" i="36"/>
  <c r="T25" i="36"/>
  <c r="P25" i="36"/>
  <c r="N25" i="36"/>
  <c r="M25" i="36"/>
  <c r="K25" i="36"/>
  <c r="J25" i="36"/>
  <c r="I25" i="36"/>
  <c r="H25" i="36"/>
  <c r="G25" i="36"/>
  <c r="E25" i="36"/>
  <c r="D25" i="36"/>
  <c r="C25" i="36"/>
  <c r="B25" i="36"/>
  <c r="AA24" i="36"/>
  <c r="Z24" i="36"/>
  <c r="Y24" i="36"/>
  <c r="X24" i="36"/>
  <c r="W24" i="36"/>
  <c r="V24" i="36"/>
  <c r="U24" i="36"/>
  <c r="T24" i="36"/>
  <c r="P24" i="36"/>
  <c r="N24" i="36"/>
  <c r="M24" i="36"/>
  <c r="K24" i="36"/>
  <c r="J24" i="36"/>
  <c r="I24" i="36"/>
  <c r="H24" i="36"/>
  <c r="G24" i="36"/>
  <c r="E24" i="36"/>
  <c r="D24" i="36"/>
  <c r="C24" i="36"/>
  <c r="B24" i="36"/>
  <c r="A25" i="36"/>
  <c r="A26" i="36"/>
  <c r="A24" i="36"/>
  <c r="B20" i="25"/>
  <c r="C20" i="25"/>
  <c r="D20" i="25"/>
  <c r="E20" i="25"/>
  <c r="G20" i="25"/>
  <c r="I20" i="25"/>
  <c r="J20" i="25"/>
  <c r="K20" i="25"/>
  <c r="M20" i="25"/>
  <c r="N20" i="25"/>
  <c r="P20" i="25"/>
  <c r="T20" i="25"/>
  <c r="U20" i="25"/>
  <c r="V20" i="25"/>
  <c r="W20" i="25"/>
  <c r="X20" i="25"/>
  <c r="Y20" i="25"/>
  <c r="Z20" i="25"/>
  <c r="AA20" i="25"/>
  <c r="A20" i="25"/>
  <c r="U21" i="22"/>
  <c r="V21" i="22"/>
  <c r="W21" i="22"/>
  <c r="X21" i="22"/>
  <c r="Y21" i="22"/>
  <c r="Z21" i="22"/>
  <c r="AA21" i="22"/>
  <c r="K21" i="22"/>
  <c r="M21" i="22"/>
  <c r="N21" i="22"/>
  <c r="P21" i="22"/>
  <c r="T21" i="22"/>
  <c r="C21" i="22"/>
  <c r="D21" i="22"/>
  <c r="E21" i="22"/>
  <c r="G21" i="22"/>
  <c r="H21" i="22"/>
  <c r="I21" i="22"/>
  <c r="J21" i="22"/>
  <c r="B21" i="22"/>
  <c r="A21" i="22"/>
  <c r="C85" i="24"/>
  <c r="O86" i="24" s="1"/>
  <c r="O72" i="24"/>
  <c r="AB22" i="38" l="1"/>
  <c r="O85" i="24"/>
  <c r="O69" i="24"/>
  <c r="O89" i="57" s="1"/>
  <c r="O66" i="24"/>
  <c r="O86" i="57" s="1"/>
  <c r="O68" i="24"/>
  <c r="O88" i="57" s="1"/>
  <c r="O67" i="24"/>
  <c r="O87" i="57" s="1"/>
  <c r="I73" i="24"/>
  <c r="O40" i="24"/>
  <c r="O26" i="24"/>
  <c r="O15" i="24"/>
  <c r="O65" i="59" s="1"/>
  <c r="O10" i="24"/>
  <c r="O4" i="24"/>
  <c r="O21" i="24"/>
  <c r="O19" i="24"/>
  <c r="O20" i="24"/>
  <c r="I15" i="24"/>
  <c r="I65" i="59" s="1"/>
  <c r="I10" i="24"/>
  <c r="I4" i="24"/>
  <c r="I3" i="24"/>
  <c r="I9" i="24"/>
  <c r="O9" i="24"/>
  <c r="O5" i="24"/>
  <c r="O3" i="24"/>
  <c r="O62" i="60" l="1"/>
  <c r="O71" i="58"/>
  <c r="O101" i="58"/>
  <c r="O87" i="60"/>
  <c r="O56" i="59"/>
  <c r="O72" i="59"/>
  <c r="O59" i="57"/>
  <c r="O66" i="60"/>
  <c r="O75" i="58"/>
  <c r="O105" i="58"/>
  <c r="O91" i="60"/>
  <c r="O60" i="59"/>
  <c r="O76" i="59"/>
  <c r="O63" i="57"/>
  <c r="I67" i="60"/>
  <c r="I61" i="59"/>
  <c r="I76" i="58"/>
  <c r="I106" i="58"/>
  <c r="I92" i="60"/>
  <c r="I64" i="57"/>
  <c r="O94" i="60"/>
  <c r="O78" i="59"/>
  <c r="O86" i="56"/>
  <c r="O108" i="58"/>
  <c r="O63" i="56"/>
  <c r="O72" i="60"/>
  <c r="O76" i="57"/>
  <c r="O88" i="58"/>
  <c r="I91" i="60"/>
  <c r="I60" i="59"/>
  <c r="I76" i="59"/>
  <c r="I63" i="57"/>
  <c r="I66" i="60"/>
  <c r="I75" i="58"/>
  <c r="I105" i="58"/>
  <c r="O80" i="60"/>
  <c r="O55" i="59"/>
  <c r="O79" i="57"/>
  <c r="O78" i="57"/>
  <c r="O79" i="60"/>
  <c r="O54" i="59"/>
  <c r="I79" i="60"/>
  <c r="I54" i="59"/>
  <c r="I24" i="61"/>
  <c r="I36" i="55"/>
  <c r="I25" i="28"/>
  <c r="I51" i="18"/>
  <c r="I24" i="39"/>
  <c r="I23" i="27"/>
  <c r="I24" i="71"/>
  <c r="I25" i="30"/>
  <c r="I23" i="38"/>
  <c r="I78" i="57"/>
  <c r="I72" i="55"/>
  <c r="O107" i="58"/>
  <c r="O93" i="60"/>
  <c r="O77" i="59"/>
  <c r="O85" i="56"/>
  <c r="O62" i="56"/>
  <c r="O92" i="60"/>
  <c r="O64" i="57"/>
  <c r="O67" i="60"/>
  <c r="O61" i="59"/>
  <c r="O106" i="58"/>
  <c r="O76" i="58"/>
  <c r="I53" i="55"/>
  <c r="I100" i="53"/>
  <c r="AB100" i="53" s="1"/>
  <c r="I55" i="59"/>
  <c r="I79" i="57"/>
  <c r="I80" i="60"/>
  <c r="O36" i="55"/>
  <c r="O24" i="71"/>
  <c r="O25" i="30"/>
  <c r="O72" i="55"/>
  <c r="O25" i="28"/>
  <c r="O24" i="61"/>
  <c r="O23" i="27"/>
  <c r="O51" i="18"/>
  <c r="O24" i="39"/>
  <c r="O23" i="38"/>
  <c r="O106" i="54"/>
  <c r="O68" i="18"/>
  <c r="O192" i="54"/>
  <c r="O149" i="54"/>
  <c r="O79" i="55"/>
  <c r="O50" i="52"/>
  <c r="O59" i="55"/>
  <c r="O70" i="53"/>
  <c r="O162" i="54"/>
  <c r="O191" i="54"/>
  <c r="O118" i="54"/>
  <c r="O148" i="54"/>
  <c r="O73" i="54"/>
  <c r="O105" i="54"/>
  <c r="O58" i="18"/>
  <c r="O98" i="53"/>
  <c r="O43" i="55"/>
  <c r="I78" i="55"/>
  <c r="I49" i="52"/>
  <c r="I58" i="55"/>
  <c r="I42" i="55"/>
  <c r="I72" i="54"/>
  <c r="I104" i="54"/>
  <c r="I69" i="53"/>
  <c r="I161" i="54"/>
  <c r="I190" i="54"/>
  <c r="I117" i="54"/>
  <c r="I147" i="54"/>
  <c r="I57" i="18"/>
  <c r="I97" i="53"/>
  <c r="I74" i="53"/>
  <c r="I63" i="18"/>
  <c r="I58" i="52"/>
  <c r="O73" i="55"/>
  <c r="O26" i="28"/>
  <c r="O25" i="61"/>
  <c r="O24" i="38"/>
  <c r="O37" i="55"/>
  <c r="O52" i="18"/>
  <c r="O25" i="39"/>
  <c r="O24" i="27"/>
  <c r="O25" i="71"/>
  <c r="O26" i="30"/>
  <c r="O136" i="54"/>
  <c r="O93" i="54"/>
  <c r="O58" i="55"/>
  <c r="O42" i="55"/>
  <c r="O69" i="53"/>
  <c r="O190" i="54"/>
  <c r="O117" i="54"/>
  <c r="O147" i="54"/>
  <c r="O57" i="18"/>
  <c r="O49" i="52"/>
  <c r="O97" i="53"/>
  <c r="O161" i="54"/>
  <c r="O78" i="55"/>
  <c r="O72" i="54"/>
  <c r="O104" i="54"/>
  <c r="I59" i="55"/>
  <c r="I43" i="55"/>
  <c r="I70" i="53"/>
  <c r="I191" i="54"/>
  <c r="I118" i="54"/>
  <c r="I148" i="54"/>
  <c r="I58" i="18"/>
  <c r="I50" i="52"/>
  <c r="I73" i="54"/>
  <c r="I105" i="54"/>
  <c r="I98" i="53"/>
  <c r="I162" i="54"/>
  <c r="I79" i="55"/>
  <c r="O193" i="54"/>
  <c r="O150" i="54"/>
  <c r="O107" i="54"/>
  <c r="O69" i="18"/>
  <c r="O54" i="52"/>
  <c r="O174" i="54"/>
  <c r="O85" i="54"/>
  <c r="O90" i="53"/>
  <c r="O54" i="55"/>
  <c r="O38" i="55"/>
  <c r="O65" i="53"/>
  <c r="O157" i="54"/>
  <c r="O143" i="54"/>
  <c r="O53" i="18"/>
  <c r="O68" i="54"/>
  <c r="O93" i="53"/>
  <c r="O186" i="54"/>
  <c r="O113" i="54"/>
  <c r="O74" i="55"/>
  <c r="O100" i="54"/>
  <c r="O45" i="52"/>
  <c r="I37" i="55"/>
  <c r="I25" i="71"/>
  <c r="I26" i="30"/>
  <c r="I25" i="39"/>
  <c r="I73" i="55"/>
  <c r="I26" i="28"/>
  <c r="I25" i="61"/>
  <c r="I24" i="38"/>
  <c r="I24" i="27"/>
  <c r="I52" i="18"/>
  <c r="O92" i="53"/>
  <c r="O61" i="52"/>
  <c r="O67" i="18"/>
  <c r="O58" i="52"/>
  <c r="O74" i="53"/>
  <c r="O63" i="18"/>
  <c r="AA5" i="67"/>
  <c r="U5" i="67"/>
  <c r="C5" i="67"/>
  <c r="AA5" i="66"/>
  <c r="U5" i="66"/>
  <c r="C5" i="66"/>
  <c r="O5" i="60"/>
  <c r="I5" i="60"/>
  <c r="AA5" i="60"/>
  <c r="U5" i="60"/>
  <c r="C5" i="60"/>
  <c r="AA5" i="59"/>
  <c r="U5" i="59"/>
  <c r="O5" i="59"/>
  <c r="I5" i="59"/>
  <c r="C5" i="59"/>
  <c r="O39" i="59"/>
  <c r="O5" i="58"/>
  <c r="I5" i="58"/>
  <c r="I5" i="57"/>
  <c r="O5" i="57"/>
  <c r="AA57" i="58"/>
  <c r="U57" i="58"/>
  <c r="I57" i="58"/>
  <c r="C57" i="58"/>
  <c r="I56" i="58"/>
  <c r="I45" i="57"/>
  <c r="C45" i="57"/>
  <c r="I44" i="57"/>
  <c r="O5" i="56"/>
  <c r="I5" i="56"/>
  <c r="O5" i="54"/>
  <c r="I5" i="54"/>
  <c r="AA21" i="55"/>
  <c r="U21" i="55"/>
  <c r="I21" i="55"/>
  <c r="C21" i="55"/>
  <c r="I20" i="55"/>
  <c r="O51" i="53"/>
  <c r="O30" i="52"/>
  <c r="O36" i="18"/>
  <c r="C54" i="54"/>
  <c r="AA48" i="60"/>
  <c r="U48" i="60"/>
  <c r="O48" i="60"/>
  <c r="I48" i="60"/>
  <c r="C48" i="60"/>
  <c r="I47" i="60"/>
  <c r="AA39" i="59"/>
  <c r="U39" i="59"/>
  <c r="I39" i="59"/>
  <c r="C39" i="59"/>
  <c r="I38" i="59"/>
  <c r="AA45" i="57"/>
  <c r="U45" i="57"/>
  <c r="AA54" i="54"/>
  <c r="U54" i="54"/>
  <c r="I54" i="54"/>
  <c r="I53" i="54"/>
  <c r="AA51" i="53"/>
  <c r="U51" i="53"/>
  <c r="I51" i="53"/>
  <c r="C51" i="53"/>
  <c r="I50" i="53"/>
  <c r="I5" i="53"/>
  <c r="O5" i="52"/>
  <c r="AA30" i="52"/>
  <c r="U30" i="52"/>
  <c r="I30" i="52"/>
  <c r="C30" i="52"/>
  <c r="I29" i="52"/>
  <c r="AA36" i="18"/>
  <c r="U36" i="18"/>
  <c r="C36" i="18"/>
  <c r="I36" i="18"/>
  <c r="I35" i="18"/>
  <c r="I9" i="26"/>
  <c r="I11" i="36"/>
  <c r="I9" i="25"/>
  <c r="I10" i="22"/>
  <c r="O63" i="24" l="1"/>
  <c r="O2" i="24"/>
  <c r="I112" i="24"/>
  <c r="O111" i="24"/>
  <c r="O112" i="24"/>
  <c r="I110" i="24"/>
  <c r="O109" i="24"/>
  <c r="O110" i="24"/>
  <c r="O108" i="24"/>
  <c r="J117" i="8"/>
  <c r="O78" i="60" l="1"/>
  <c r="O53" i="59"/>
  <c r="O77" i="57"/>
  <c r="O71" i="55"/>
  <c r="O24" i="28"/>
  <c r="O22" i="27"/>
  <c r="O23" i="71"/>
  <c r="O24" i="30"/>
  <c r="O50" i="18"/>
  <c r="O23" i="39"/>
  <c r="O22" i="38"/>
  <c r="O23" i="61"/>
  <c r="O35" i="55"/>
  <c r="AC89" i="57" l="1"/>
  <c r="AB79" i="55" l="1"/>
  <c r="AI79" i="55" s="1"/>
  <c r="AC79" i="55"/>
  <c r="AL79" i="55" s="1"/>
  <c r="AC78" i="55"/>
  <c r="AB78" i="55"/>
  <c r="AH78" i="55" s="1"/>
  <c r="AB77" i="55"/>
  <c r="AH77" i="55" s="1"/>
  <c r="AB76" i="55"/>
  <c r="AG76" i="55" s="1"/>
  <c r="AB75" i="55"/>
  <c r="AC74" i="55"/>
  <c r="AJ74" i="55" s="1"/>
  <c r="AB74" i="55"/>
  <c r="AI74" i="55" s="1"/>
  <c r="AB73" i="55"/>
  <c r="AH73" i="55" s="1"/>
  <c r="AC73" i="55"/>
  <c r="AC72" i="55"/>
  <c r="AB72" i="55"/>
  <c r="AC71" i="55"/>
  <c r="AB71" i="55"/>
  <c r="AB86" i="56"/>
  <c r="AI86" i="56" s="1"/>
  <c r="AC86" i="56"/>
  <c r="AL86" i="56" s="1"/>
  <c r="AB85" i="56"/>
  <c r="AH85" i="56" s="1"/>
  <c r="AC85" i="56"/>
  <c r="AB84" i="56"/>
  <c r="AI84" i="56" s="1"/>
  <c r="AB83" i="56"/>
  <c r="AB82" i="56"/>
  <c r="AI82" i="56" s="1"/>
  <c r="AB81" i="56"/>
  <c r="AH81" i="56" s="1"/>
  <c r="AB80" i="56"/>
  <c r="AG80" i="56" s="1"/>
  <c r="AB79" i="56"/>
  <c r="AG76" i="56"/>
  <c r="AB76" i="56"/>
  <c r="AI76" i="56" s="1"/>
  <c r="AB193" i="54"/>
  <c r="AC193" i="54"/>
  <c r="AJ193" i="54" s="1"/>
  <c r="AB192" i="54"/>
  <c r="AI192" i="54" s="1"/>
  <c r="AC192" i="54"/>
  <c r="AL192" i="54" s="1"/>
  <c r="AB191" i="54"/>
  <c r="AH191" i="54" s="1"/>
  <c r="AC191" i="54"/>
  <c r="AC190" i="54"/>
  <c r="AB190" i="54"/>
  <c r="AB189" i="54"/>
  <c r="AG189" i="54" s="1"/>
  <c r="AB188" i="54"/>
  <c r="AB187" i="54"/>
  <c r="AI187" i="54" s="1"/>
  <c r="AB186" i="54"/>
  <c r="AH186" i="54" s="1"/>
  <c r="AC186" i="54"/>
  <c r="AB185" i="54"/>
  <c r="AH185" i="54" s="1"/>
  <c r="AB184" i="54"/>
  <c r="AG184" i="54" s="1"/>
  <c r="AB183" i="54"/>
  <c r="AI183" i="54" s="1"/>
  <c r="AB182" i="54"/>
  <c r="AH182" i="54" s="1"/>
  <c r="AB181" i="54"/>
  <c r="AB180" i="54"/>
  <c r="AB178" i="54"/>
  <c r="AI178" i="54" s="1"/>
  <c r="AB177" i="54"/>
  <c r="AH177" i="54" s="1"/>
  <c r="AB174" i="54"/>
  <c r="AI174" i="54" s="1"/>
  <c r="AC174" i="54"/>
  <c r="AB171" i="54"/>
  <c r="AB170" i="54"/>
  <c r="AI170" i="54" s="1"/>
  <c r="AB169" i="54"/>
  <c r="AH169" i="54" s="1"/>
  <c r="AB168" i="54"/>
  <c r="AB167" i="54"/>
  <c r="AG167" i="54" s="1"/>
  <c r="AB166" i="54"/>
  <c r="AI166" i="54" s="1"/>
  <c r="AB165" i="54"/>
  <c r="AH165" i="54" s="1"/>
  <c r="AB164" i="54"/>
  <c r="AI164" i="54" s="1"/>
  <c r="AB162" i="54"/>
  <c r="AC162" i="54"/>
  <c r="AJ162" i="54" s="1"/>
  <c r="AC161" i="54"/>
  <c r="AK161" i="54" s="1"/>
  <c r="AB161" i="54"/>
  <c r="AI161" i="54" s="1"/>
  <c r="AB160" i="54"/>
  <c r="AI160" i="54" s="1"/>
  <c r="AB159" i="54"/>
  <c r="AB158" i="54"/>
  <c r="AI158" i="54" s="1"/>
  <c r="AB157" i="54"/>
  <c r="AG157" i="54" s="1"/>
  <c r="AC157" i="54"/>
  <c r="AJ157" i="54" s="1"/>
  <c r="AB59" i="55"/>
  <c r="AG59" i="55" s="1"/>
  <c r="AC59" i="55"/>
  <c r="AC58" i="55"/>
  <c r="AB58" i="55"/>
  <c r="AB57" i="55"/>
  <c r="AI57" i="55" s="1"/>
  <c r="AB56" i="55"/>
  <c r="AG56" i="55" s="1"/>
  <c r="AB55" i="55"/>
  <c r="AG55" i="55" s="1"/>
  <c r="AB54" i="55"/>
  <c r="AG54" i="55" s="1"/>
  <c r="AC54" i="55"/>
  <c r="AJ54" i="55" s="1"/>
  <c r="AB53" i="55"/>
  <c r="AB113" i="54"/>
  <c r="AB150" i="54"/>
  <c r="AH150" i="54" s="1"/>
  <c r="AC150" i="54"/>
  <c r="AB149" i="54"/>
  <c r="AI149" i="54" s="1"/>
  <c r="AC149" i="54"/>
  <c r="AB148" i="54"/>
  <c r="AH148" i="54" s="1"/>
  <c r="AC148" i="54"/>
  <c r="AL148" i="54" s="1"/>
  <c r="AB147" i="54"/>
  <c r="AG147" i="54" s="1"/>
  <c r="AC147" i="54"/>
  <c r="AB146" i="54"/>
  <c r="AG146" i="54" s="1"/>
  <c r="AB145" i="54"/>
  <c r="AH145" i="54" s="1"/>
  <c r="AB144" i="54"/>
  <c r="AI144" i="54" s="1"/>
  <c r="AB143" i="54"/>
  <c r="AH143" i="54" s="1"/>
  <c r="AC143" i="54"/>
  <c r="AL143" i="54" s="1"/>
  <c r="AB142" i="54"/>
  <c r="AG142" i="54" s="1"/>
  <c r="AH141" i="54"/>
  <c r="AB141" i="54"/>
  <c r="AB140" i="54"/>
  <c r="AG140" i="54" s="1"/>
  <c r="AB139" i="54"/>
  <c r="AH139" i="54" s="1"/>
  <c r="AB138" i="54"/>
  <c r="AG138" i="54" s="1"/>
  <c r="AB137" i="54"/>
  <c r="AH137" i="54" s="1"/>
  <c r="AC136" i="54"/>
  <c r="AB132" i="54"/>
  <c r="AI132" i="54" s="1"/>
  <c r="AB131" i="54"/>
  <c r="AH131" i="54" s="1"/>
  <c r="AB126" i="54"/>
  <c r="AI126" i="54" s="1"/>
  <c r="AB125" i="54"/>
  <c r="AH125" i="54" s="1"/>
  <c r="AB124" i="54"/>
  <c r="AG124" i="54" s="1"/>
  <c r="AB123" i="54"/>
  <c r="AH123" i="54" s="1"/>
  <c r="AB122" i="54"/>
  <c r="AI122" i="54" s="1"/>
  <c r="AB121" i="54"/>
  <c r="AH121" i="54" s="1"/>
  <c r="AB120" i="54"/>
  <c r="AG120" i="54" s="1"/>
  <c r="AB118" i="54"/>
  <c r="AI118" i="54" s="1"/>
  <c r="AC118" i="54"/>
  <c r="AC117" i="54"/>
  <c r="AJ117" i="54" s="1"/>
  <c r="AB117" i="54"/>
  <c r="AB116" i="54"/>
  <c r="AI116" i="54" s="1"/>
  <c r="AB115" i="54"/>
  <c r="AH115" i="54" s="1"/>
  <c r="AB114" i="54"/>
  <c r="AC113" i="54"/>
  <c r="AB21" i="22"/>
  <c r="AH21" i="22" s="1"/>
  <c r="AB26" i="36"/>
  <c r="AG26" i="36" s="1"/>
  <c r="AB25" i="36"/>
  <c r="AI25" i="36" s="1"/>
  <c r="AB24" i="36"/>
  <c r="AH24" i="36" s="1"/>
  <c r="O98" i="24"/>
  <c r="O21" i="22" s="1"/>
  <c r="O99" i="24"/>
  <c r="O20" i="25" s="1"/>
  <c r="O100" i="24"/>
  <c r="O24" i="36" s="1"/>
  <c r="AK24" i="36" s="1"/>
  <c r="O101" i="24"/>
  <c r="O25" i="36" s="1"/>
  <c r="O102" i="24"/>
  <c r="O26" i="36" s="1"/>
  <c r="O103" i="24"/>
  <c r="O23" i="26" s="1"/>
  <c r="O104" i="24"/>
  <c r="O105" i="24"/>
  <c r="O106" i="24"/>
  <c r="O107" i="24"/>
  <c r="O97" i="24"/>
  <c r="O92" i="24"/>
  <c r="O93" i="24"/>
  <c r="AA6" i="26"/>
  <c r="AA7" i="26" s="1"/>
  <c r="U6" i="26"/>
  <c r="U7" i="26" s="1"/>
  <c r="AG25" i="36" l="1"/>
  <c r="AG164" i="54"/>
  <c r="AG84" i="56"/>
  <c r="AH84" i="56"/>
  <c r="AG82" i="56"/>
  <c r="AI76" i="55"/>
  <c r="AG74" i="55"/>
  <c r="AH76" i="55"/>
  <c r="AI59" i="55"/>
  <c r="AG148" i="54"/>
  <c r="AH189" i="54"/>
  <c r="AI123" i="54"/>
  <c r="AH174" i="54"/>
  <c r="AG166" i="54"/>
  <c r="AG174" i="54"/>
  <c r="AG183" i="54"/>
  <c r="AI137" i="54"/>
  <c r="AK26" i="36"/>
  <c r="AL26" i="36"/>
  <c r="AJ25" i="36"/>
  <c r="AM25" i="36" s="1"/>
  <c r="AK25" i="36"/>
  <c r="AD193" i="54"/>
  <c r="AI56" i="55"/>
  <c r="AG79" i="56"/>
  <c r="AO79" i="55"/>
  <c r="AE26" i="36"/>
  <c r="AI24" i="36"/>
  <c r="AI54" i="55"/>
  <c r="AH56" i="55"/>
  <c r="AD157" i="54"/>
  <c r="AG160" i="54"/>
  <c r="AH181" i="54"/>
  <c r="AI80" i="56"/>
  <c r="AH83" i="56"/>
  <c r="AG86" i="56"/>
  <c r="AH75" i="55"/>
  <c r="AH79" i="56"/>
  <c r="AG144" i="54"/>
  <c r="AF59" i="55"/>
  <c r="AG178" i="54"/>
  <c r="AG181" i="54"/>
  <c r="AH80" i="56"/>
  <c r="AG83" i="56"/>
  <c r="AG75" i="55"/>
  <c r="AG79" i="55"/>
  <c r="AG158" i="54"/>
  <c r="AH158" i="54"/>
  <c r="AH164" i="54"/>
  <c r="AK72" i="55"/>
  <c r="AL72" i="55"/>
  <c r="AJ72" i="55"/>
  <c r="AG72" i="55"/>
  <c r="AH72" i="55"/>
  <c r="AN72" i="55" s="1"/>
  <c r="AF72" i="55"/>
  <c r="AD72" i="55"/>
  <c r="AI72" i="55"/>
  <c r="AE72" i="55"/>
  <c r="AK71" i="55"/>
  <c r="AJ71" i="55"/>
  <c r="AL71" i="55"/>
  <c r="AL78" i="55"/>
  <c r="AK78" i="55"/>
  <c r="AN78" i="55" s="1"/>
  <c r="AJ78" i="55"/>
  <c r="AM74" i="55"/>
  <c r="AG71" i="55"/>
  <c r="AD71" i="55"/>
  <c r="AF71" i="55"/>
  <c r="AH71" i="55"/>
  <c r="AI71" i="55"/>
  <c r="AE71" i="55"/>
  <c r="AL73" i="55"/>
  <c r="AK73" i="55"/>
  <c r="AN73" i="55" s="1"/>
  <c r="AJ73" i="55"/>
  <c r="AF73" i="55"/>
  <c r="AK74" i="55"/>
  <c r="AF78" i="55"/>
  <c r="AK79" i="55"/>
  <c r="AF74" i="55"/>
  <c r="AI77" i="55"/>
  <c r="AE78" i="55"/>
  <c r="AJ79" i="55"/>
  <c r="AG73" i="55"/>
  <c r="AD74" i="55"/>
  <c r="AH74" i="55"/>
  <c r="AL74" i="55"/>
  <c r="AO74" i="55" s="1"/>
  <c r="AI75" i="55"/>
  <c r="AG77" i="55"/>
  <c r="AG78" i="55"/>
  <c r="AM78" i="55" s="1"/>
  <c r="AD79" i="55"/>
  <c r="AH79" i="55"/>
  <c r="AE73" i="55"/>
  <c r="AI73" i="55"/>
  <c r="AI78" i="55"/>
  <c r="AF79" i="55"/>
  <c r="AD73" i="55"/>
  <c r="AE74" i="55"/>
  <c r="AD78" i="55"/>
  <c r="AE79" i="55"/>
  <c r="AO86" i="56"/>
  <c r="AL85" i="56"/>
  <c r="AK85" i="56"/>
  <c r="AN85" i="56" s="1"/>
  <c r="AJ85" i="56"/>
  <c r="AF85" i="56"/>
  <c r="AK86" i="56"/>
  <c r="AI81" i="56"/>
  <c r="AJ86" i="56"/>
  <c r="AM86" i="56" s="1"/>
  <c r="AH76" i="56"/>
  <c r="AI79" i="56"/>
  <c r="AG81" i="56"/>
  <c r="AH82" i="56"/>
  <c r="AI83" i="56"/>
  <c r="AG85" i="56"/>
  <c r="AD86" i="56"/>
  <c r="AH86" i="56"/>
  <c r="AE85" i="56"/>
  <c r="AI85" i="56"/>
  <c r="AF86" i="56"/>
  <c r="AD85" i="56"/>
  <c r="AE86" i="56"/>
  <c r="AF162" i="54"/>
  <c r="AI168" i="54"/>
  <c r="AH171" i="54"/>
  <c r="AI185" i="54"/>
  <c r="AO192" i="54"/>
  <c r="AH193" i="54"/>
  <c r="AG132" i="54"/>
  <c r="AI140" i="54"/>
  <c r="AG143" i="54"/>
  <c r="AG149" i="54"/>
  <c r="AG161" i="54"/>
  <c r="AD162" i="54"/>
  <c r="AH167" i="54"/>
  <c r="AG168" i="54"/>
  <c r="AG170" i="54"/>
  <c r="AI181" i="54"/>
  <c r="AH184" i="54"/>
  <c r="AG185" i="54"/>
  <c r="AG187" i="54"/>
  <c r="AI189" i="54"/>
  <c r="AG192" i="54"/>
  <c r="AF113" i="54"/>
  <c r="AL162" i="54"/>
  <c r="AL193" i="54"/>
  <c r="AL157" i="54"/>
  <c r="AH162" i="54"/>
  <c r="AH180" i="54"/>
  <c r="AH188" i="54"/>
  <c r="AF193" i="54"/>
  <c r="AF157" i="54"/>
  <c r="AH157" i="54"/>
  <c r="AG162" i="54"/>
  <c r="AM162" i="54" s="1"/>
  <c r="AH168" i="54"/>
  <c r="AG171" i="54"/>
  <c r="AG180" i="54"/>
  <c r="AG188" i="54"/>
  <c r="AG193" i="54"/>
  <c r="AM193" i="54" s="1"/>
  <c r="AH159" i="54"/>
  <c r="AI159" i="54"/>
  <c r="AG159" i="54"/>
  <c r="AG190" i="54"/>
  <c r="AD190" i="54"/>
  <c r="AF190" i="54"/>
  <c r="AH190" i="54"/>
  <c r="AI190" i="54"/>
  <c r="AE190" i="54"/>
  <c r="AL186" i="54"/>
  <c r="AK186" i="54"/>
  <c r="AN186" i="54" s="1"/>
  <c r="AJ186" i="54"/>
  <c r="AL191" i="54"/>
  <c r="AK191" i="54"/>
  <c r="AN191" i="54" s="1"/>
  <c r="AJ191" i="54"/>
  <c r="AF174" i="54"/>
  <c r="AL161" i="54"/>
  <c r="AO161" i="54" s="1"/>
  <c r="AJ161" i="54"/>
  <c r="AK174" i="54"/>
  <c r="AN174" i="54" s="1"/>
  <c r="AJ174" i="54"/>
  <c r="AL174" i="54"/>
  <c r="AO174" i="54" s="1"/>
  <c r="AD174" i="54"/>
  <c r="AE174" i="54"/>
  <c r="AK190" i="54"/>
  <c r="AJ190" i="54"/>
  <c r="AL190" i="54"/>
  <c r="AF186" i="54"/>
  <c r="AF191" i="54"/>
  <c r="AK192" i="54"/>
  <c r="AK157" i="54"/>
  <c r="AF161" i="54"/>
  <c r="AK162" i="54"/>
  <c r="AI186" i="54"/>
  <c r="AE191" i="54"/>
  <c r="AI191" i="54"/>
  <c r="AJ192" i="54"/>
  <c r="AK193" i="54"/>
  <c r="AE157" i="54"/>
  <c r="AI157" i="54"/>
  <c r="AM157" i="54"/>
  <c r="AH160" i="54"/>
  <c r="AD161" i="54"/>
  <c r="AH161" i="54"/>
  <c r="AN161" i="54" s="1"/>
  <c r="AE162" i="54"/>
  <c r="AI162" i="54"/>
  <c r="AG165" i="54"/>
  <c r="AH166" i="54"/>
  <c r="AI167" i="54"/>
  <c r="AG169" i="54"/>
  <c r="AH170" i="54"/>
  <c r="AI171" i="54"/>
  <c r="AG177" i="54"/>
  <c r="AH178" i="54"/>
  <c r="AI180" i="54"/>
  <c r="AG182" i="54"/>
  <c r="AH183" i="54"/>
  <c r="AI184" i="54"/>
  <c r="AG186" i="54"/>
  <c r="AH187" i="54"/>
  <c r="AI188" i="54"/>
  <c r="AG191" i="54"/>
  <c r="AD192" i="54"/>
  <c r="AH192" i="54"/>
  <c r="AE193" i="54"/>
  <c r="AI193" i="54"/>
  <c r="AI165" i="54"/>
  <c r="AI169" i="54"/>
  <c r="AI177" i="54"/>
  <c r="AI182" i="54"/>
  <c r="AE186" i="54"/>
  <c r="AF192" i="54"/>
  <c r="AE161" i="54"/>
  <c r="AD186" i="54"/>
  <c r="AD191" i="54"/>
  <c r="AE192" i="54"/>
  <c r="AE149" i="54"/>
  <c r="AD149" i="54"/>
  <c r="AL149" i="54"/>
  <c r="AO149" i="54" s="1"/>
  <c r="AI145" i="54"/>
  <c r="AI150" i="54"/>
  <c r="AG131" i="54"/>
  <c r="AH118" i="54"/>
  <c r="AF54" i="55"/>
  <c r="AH55" i="55"/>
  <c r="AJ59" i="55"/>
  <c r="AM59" i="55" s="1"/>
  <c r="AK59" i="55"/>
  <c r="AL59" i="55"/>
  <c r="AE59" i="55"/>
  <c r="AJ58" i="55"/>
  <c r="AK58" i="55"/>
  <c r="AL58" i="55"/>
  <c r="AI58" i="55"/>
  <c r="AO58" i="55" s="1"/>
  <c r="AE58" i="55"/>
  <c r="AF58" i="55"/>
  <c r="AG58" i="55"/>
  <c r="AH58" i="55"/>
  <c r="AD58" i="55"/>
  <c r="AM54" i="55"/>
  <c r="AH53" i="55"/>
  <c r="AI53" i="55"/>
  <c r="AG53" i="55"/>
  <c r="AE54" i="55"/>
  <c r="AH57" i="55"/>
  <c r="AD54" i="55"/>
  <c r="AH54" i="55"/>
  <c r="AL54" i="55"/>
  <c r="AI55" i="55"/>
  <c r="AG57" i="55"/>
  <c r="AD59" i="55"/>
  <c r="AH59" i="55"/>
  <c r="AK54" i="55"/>
  <c r="AJ136" i="54"/>
  <c r="AL136" i="54"/>
  <c r="AH116" i="54"/>
  <c r="AH126" i="54"/>
  <c r="AG116" i="54"/>
  <c r="AH122" i="54"/>
  <c r="AG126" i="54"/>
  <c r="AH113" i="54"/>
  <c r="AG115" i="54"/>
  <c r="AE118" i="54"/>
  <c r="AG122" i="54"/>
  <c r="AG125" i="54"/>
  <c r="AF149" i="54"/>
  <c r="AH149" i="54"/>
  <c r="AI113" i="54"/>
  <c r="AH140" i="54"/>
  <c r="AE113" i="54"/>
  <c r="AL117" i="54"/>
  <c r="AG121" i="54"/>
  <c r="AH132" i="54"/>
  <c r="AG139" i="54"/>
  <c r="AI141" i="54"/>
  <c r="AH144" i="54"/>
  <c r="AJ113" i="54"/>
  <c r="AK113" i="54"/>
  <c r="AL113" i="54"/>
  <c r="AD113" i="54"/>
  <c r="AI117" i="54"/>
  <c r="AE117" i="54"/>
  <c r="AF117" i="54"/>
  <c r="AG117" i="54"/>
  <c r="AM117" i="54" s="1"/>
  <c r="AK147" i="54"/>
  <c r="AL147" i="54"/>
  <c r="AJ147" i="54"/>
  <c r="AM147" i="54" s="1"/>
  <c r="AG114" i="54"/>
  <c r="AI114" i="54"/>
  <c r="AH114" i="54"/>
  <c r="AH117" i="54"/>
  <c r="AD117" i="54"/>
  <c r="AF118" i="54"/>
  <c r="AF150" i="54"/>
  <c r="AJ118" i="54"/>
  <c r="AK118" i="54"/>
  <c r="AL118" i="54"/>
  <c r="AO118" i="54" s="1"/>
  <c r="AD118" i="54"/>
  <c r="AJ150" i="54"/>
  <c r="AK150" i="54"/>
  <c r="AN150" i="54" s="1"/>
  <c r="AL150" i="54"/>
  <c r="AD150" i="54"/>
  <c r="AE150" i="54"/>
  <c r="AK143" i="54"/>
  <c r="AN143" i="54" s="1"/>
  <c r="AF147" i="54"/>
  <c r="AK148" i="54"/>
  <c r="AN148" i="54" s="1"/>
  <c r="AK117" i="54"/>
  <c r="AK136" i="54"/>
  <c r="AF143" i="54"/>
  <c r="AJ143" i="54"/>
  <c r="AG113" i="54"/>
  <c r="AI115" i="54"/>
  <c r="AG118" i="54"/>
  <c r="AH120" i="54"/>
  <c r="AI121" i="54"/>
  <c r="AG123" i="54"/>
  <c r="AH124" i="54"/>
  <c r="AI125" i="54"/>
  <c r="AI131" i="54"/>
  <c r="AG137" i="54"/>
  <c r="AH138" i="54"/>
  <c r="AI139" i="54"/>
  <c r="AG141" i="54"/>
  <c r="AH142" i="54"/>
  <c r="AE143" i="54"/>
  <c r="AI143" i="54"/>
  <c r="AO143" i="54" s="1"/>
  <c r="AG145" i="54"/>
  <c r="AH146" i="54"/>
  <c r="AD147" i="54"/>
  <c r="AH147" i="54"/>
  <c r="AE148" i="54"/>
  <c r="AI148" i="54"/>
  <c r="AO148" i="54" s="1"/>
  <c r="AJ149" i="54"/>
  <c r="AG150" i="54"/>
  <c r="AI120" i="54"/>
  <c r="AI124" i="54"/>
  <c r="AI138" i="54"/>
  <c r="AI142" i="54"/>
  <c r="AI146" i="54"/>
  <c r="AE147" i="54"/>
  <c r="AI147" i="54"/>
  <c r="AF148" i="54"/>
  <c r="AJ148" i="54"/>
  <c r="AK149" i="54"/>
  <c r="AD143" i="54"/>
  <c r="AD148" i="54"/>
  <c r="AF21" i="22"/>
  <c r="AG21" i="22"/>
  <c r="AI21" i="22"/>
  <c r="AK21" i="22"/>
  <c r="AN21" i="22" s="1"/>
  <c r="AL21" i="22"/>
  <c r="AD21" i="22"/>
  <c r="AD22" i="22" s="1"/>
  <c r="AG10" i="22" s="1"/>
  <c r="AJ21" i="22"/>
  <c r="AE21" i="22"/>
  <c r="AE22" i="22" s="1"/>
  <c r="AG9" i="22" s="1"/>
  <c r="AH26" i="36"/>
  <c r="AN26" i="36" s="1"/>
  <c r="AD26" i="36"/>
  <c r="AI26" i="36"/>
  <c r="AF26" i="36"/>
  <c r="AL25" i="36"/>
  <c r="AO25" i="36" s="1"/>
  <c r="AE25" i="36"/>
  <c r="AN24" i="36"/>
  <c r="AG24" i="36"/>
  <c r="AE24" i="36"/>
  <c r="AF25" i="36"/>
  <c r="AD24" i="36"/>
  <c r="AH25" i="36"/>
  <c r="AN25" i="36" s="1"/>
  <c r="AD25" i="36"/>
  <c r="AJ24" i="36"/>
  <c r="AF24" i="36"/>
  <c r="AL24" i="36"/>
  <c r="AJ26" i="36"/>
  <c r="AM26" i="36" s="1"/>
  <c r="AG23" i="26"/>
  <c r="AE23" i="26"/>
  <c r="AI23" i="26"/>
  <c r="AD23" i="26"/>
  <c r="AD24" i="26" s="1"/>
  <c r="AH9" i="26" s="1"/>
  <c r="AH23" i="26"/>
  <c r="AF23" i="26"/>
  <c r="AF24" i="26" s="1"/>
  <c r="AH10" i="26" s="1"/>
  <c r="AK23" i="26"/>
  <c r="AL23" i="26"/>
  <c r="AJ23" i="26"/>
  <c r="AE24" i="26"/>
  <c r="AH8" i="26" s="1"/>
  <c r="AO24" i="36" l="1"/>
  <c r="AO26" i="36"/>
  <c r="AO59" i="55"/>
  <c r="AO54" i="55"/>
  <c r="AM79" i="55"/>
  <c r="AN157" i="54"/>
  <c r="AM174" i="54"/>
  <c r="AM148" i="54"/>
  <c r="AM191" i="54"/>
  <c r="AM192" i="54"/>
  <c r="AM161" i="54"/>
  <c r="AN118" i="54"/>
  <c r="AM149" i="54"/>
  <c r="AE27" i="36"/>
  <c r="AH9" i="36" s="1"/>
  <c r="AM24" i="36"/>
  <c r="AF22" i="22"/>
  <c r="AG11" i="22"/>
  <c r="AN23" i="26"/>
  <c r="AF27" i="36"/>
  <c r="AH11" i="36" s="1"/>
  <c r="AD27" i="36"/>
  <c r="AH10" i="36" s="1"/>
  <c r="AN193" i="54"/>
  <c r="AO85" i="56"/>
  <c r="AN79" i="55"/>
  <c r="AM143" i="54"/>
  <c r="AO162" i="54"/>
  <c r="AN162" i="54"/>
  <c r="AM73" i="55"/>
  <c r="AM72" i="55"/>
  <c r="AN71" i="55"/>
  <c r="AO71" i="55"/>
  <c r="AM71" i="55"/>
  <c r="AO78" i="55"/>
  <c r="AN74" i="55"/>
  <c r="AO73" i="55"/>
  <c r="AO72" i="55"/>
  <c r="AM85" i="56"/>
  <c r="AN86" i="56"/>
  <c r="AO193" i="54"/>
  <c r="AN192" i="54"/>
  <c r="AM186" i="54"/>
  <c r="AO190" i="54"/>
  <c r="AM190" i="54"/>
  <c r="AO191" i="54"/>
  <c r="AN113" i="54"/>
  <c r="AO150" i="54"/>
  <c r="AO186" i="54"/>
  <c r="AO157" i="54"/>
  <c r="AN149" i="54"/>
  <c r="AM150" i="54"/>
  <c r="AN147" i="54"/>
  <c r="AN190" i="54"/>
  <c r="AO113" i="54"/>
  <c r="AO117" i="54"/>
  <c r="AN59" i="55"/>
  <c r="AM58" i="55"/>
  <c r="AN54" i="55"/>
  <c r="AN58" i="55"/>
  <c r="AO147" i="54"/>
  <c r="AM113" i="54"/>
  <c r="AM118" i="54"/>
  <c r="AN117" i="54"/>
  <c r="AM21" i="22"/>
  <c r="AO21" i="22"/>
  <c r="AM23" i="26"/>
  <c r="AO23" i="26"/>
  <c r="AB23" i="71" l="1"/>
  <c r="AH23" i="71" s="1"/>
  <c r="AL25" i="71"/>
  <c r="AK25" i="71"/>
  <c r="AJ25" i="71"/>
  <c r="AB25" i="71"/>
  <c r="AG25" i="71" s="1"/>
  <c r="AL24" i="71"/>
  <c r="AK24" i="71"/>
  <c r="AJ24" i="71"/>
  <c r="AL23" i="71"/>
  <c r="AK23" i="71"/>
  <c r="AJ23" i="71"/>
  <c r="AB23" i="61"/>
  <c r="AB25" i="28"/>
  <c r="AD25" i="28" s="1"/>
  <c r="AB26" i="28"/>
  <c r="AL26" i="28"/>
  <c r="AK26" i="28"/>
  <c r="AJ26" i="28"/>
  <c r="AL25" i="28"/>
  <c r="AK25" i="28"/>
  <c r="AJ25" i="28"/>
  <c r="AL24" i="28"/>
  <c r="AK24" i="28"/>
  <c r="AJ24" i="28"/>
  <c r="AB25" i="39"/>
  <c r="AB24" i="30"/>
  <c r="AB50" i="18"/>
  <c r="AB24" i="38"/>
  <c r="D112" i="8"/>
  <c r="AM25" i="71" l="1"/>
  <c r="AD22" i="27"/>
  <c r="AB23" i="39"/>
  <c r="AB24" i="28"/>
  <c r="AD24" i="28" s="1"/>
  <c r="AE25" i="71"/>
  <c r="AN23" i="71"/>
  <c r="AB25" i="61"/>
  <c r="AB24" i="27"/>
  <c r="AF26" i="28"/>
  <c r="AG26" i="28"/>
  <c r="AM26" i="28" s="1"/>
  <c r="AI26" i="28"/>
  <c r="AO26" i="28" s="1"/>
  <c r="AE26" i="28"/>
  <c r="AB26" i="30"/>
  <c r="AI25" i="71"/>
  <c r="AO25" i="71" s="1"/>
  <c r="AB20" i="25"/>
  <c r="AI20" i="25" s="1"/>
  <c r="AB24" i="71"/>
  <c r="AD24" i="71" s="1"/>
  <c r="AF25" i="71"/>
  <c r="AG23" i="71"/>
  <c r="AM23" i="71" s="1"/>
  <c r="AF23" i="71"/>
  <c r="AE23" i="71"/>
  <c r="AI23" i="71"/>
  <c r="AO23" i="71" s="1"/>
  <c r="AD25" i="71"/>
  <c r="AH25" i="71"/>
  <c r="AN25" i="71" s="1"/>
  <c r="AD23" i="71"/>
  <c r="AI25" i="28"/>
  <c r="AO25" i="28" s="1"/>
  <c r="AH25" i="28"/>
  <c r="AN25" i="28" s="1"/>
  <c r="AG25" i="28"/>
  <c r="AM25" i="28" s="1"/>
  <c r="AI24" i="28"/>
  <c r="AO24" i="28" s="1"/>
  <c r="AF25" i="28"/>
  <c r="AD26" i="28"/>
  <c r="AH26" i="28"/>
  <c r="AN26" i="28" s="1"/>
  <c r="AE25" i="28"/>
  <c r="AG24" i="28" l="1"/>
  <c r="AM24" i="28" s="1"/>
  <c r="AE24" i="28"/>
  <c r="AE27" i="28" s="1"/>
  <c r="AH9" i="28" s="1"/>
  <c r="AH24" i="28"/>
  <c r="AN24" i="28" s="1"/>
  <c r="AF24" i="28"/>
  <c r="AF27" i="28" s="1"/>
  <c r="AH11" i="28" s="1"/>
  <c r="AH24" i="71"/>
  <c r="AN24" i="71" s="1"/>
  <c r="AE20" i="25"/>
  <c r="AE21" i="25" s="1"/>
  <c r="AH9" i="25" s="1"/>
  <c r="AF24" i="71"/>
  <c r="AF26" i="71" s="1"/>
  <c r="AH11" i="71" s="1"/>
  <c r="AG24" i="71"/>
  <c r="AM24" i="71" s="1"/>
  <c r="AF20" i="25"/>
  <c r="AF21" i="25" s="1"/>
  <c r="AH11" i="25" s="1"/>
  <c r="AG20" i="25"/>
  <c r="AI24" i="71"/>
  <c r="AO24" i="71" s="1"/>
  <c r="AL20" i="25"/>
  <c r="AO20" i="25" s="1"/>
  <c r="AJ20" i="25"/>
  <c r="AK20" i="25"/>
  <c r="AE24" i="71"/>
  <c r="AE26" i="71" s="1"/>
  <c r="AH9" i="71" s="1"/>
  <c r="AH20" i="25"/>
  <c r="AD20" i="25"/>
  <c r="AD21" i="25" s="1"/>
  <c r="AH10" i="25" s="1"/>
  <c r="AD26" i="71"/>
  <c r="AH10" i="71" s="1"/>
  <c r="AD27" i="28"/>
  <c r="AH10" i="28" s="1"/>
  <c r="AM20" i="25" l="1"/>
  <c r="AN20" i="25"/>
  <c r="AB61" i="59" l="1"/>
  <c r="AI61" i="59" s="1"/>
  <c r="AC61" i="59"/>
  <c r="AL61" i="59" s="1"/>
  <c r="AJ61" i="59" l="1"/>
  <c r="AK61" i="59"/>
  <c r="AE61" i="59"/>
  <c r="AF61" i="59"/>
  <c r="AO61" i="59"/>
  <c r="AD61" i="59"/>
  <c r="AG61" i="59"/>
  <c r="AH61" i="59"/>
  <c r="AJ25" i="61"/>
  <c r="AK25" i="61"/>
  <c r="AG25" i="61"/>
  <c r="AB24" i="61"/>
  <c r="AL25" i="39"/>
  <c r="AI25" i="39"/>
  <c r="AH25" i="39"/>
  <c r="AG25" i="39"/>
  <c r="AE25" i="39"/>
  <c r="AD25" i="39"/>
  <c r="AK25" i="39"/>
  <c r="AJ24" i="39"/>
  <c r="AB24" i="39"/>
  <c r="AL23" i="39"/>
  <c r="AJ23" i="39"/>
  <c r="AI26" i="30"/>
  <c r="AD26" i="30"/>
  <c r="AK26" i="30"/>
  <c r="AG26" i="30"/>
  <c r="AJ25" i="30"/>
  <c r="AB25" i="30"/>
  <c r="AJ24" i="30"/>
  <c r="AB61" i="56"/>
  <c r="AB59" i="56"/>
  <c r="AG61" i="56"/>
  <c r="AH61" i="56"/>
  <c r="AC101" i="58"/>
  <c r="AB104" i="58"/>
  <c r="AB102" i="58"/>
  <c r="AB101" i="58"/>
  <c r="AG101" i="58" s="1"/>
  <c r="AH104" i="58"/>
  <c r="AB103" i="58"/>
  <c r="O5" i="27"/>
  <c r="I5" i="27"/>
  <c r="AG24" i="27"/>
  <c r="AB23" i="27"/>
  <c r="O5" i="38"/>
  <c r="O6" i="38" s="1"/>
  <c r="I5" i="38"/>
  <c r="I6" i="38" s="1"/>
  <c r="AG24" i="38"/>
  <c r="AB23" i="38"/>
  <c r="AC87" i="60"/>
  <c r="AC78" i="60"/>
  <c r="AB94" i="60"/>
  <c r="AH94" i="60" s="1"/>
  <c r="AB93" i="60"/>
  <c r="AG93" i="60" s="1"/>
  <c r="AB92" i="60"/>
  <c r="AB90" i="60"/>
  <c r="AI90" i="60" s="1"/>
  <c r="AB89" i="60"/>
  <c r="AH89" i="60" s="1"/>
  <c r="AB88" i="60"/>
  <c r="AI88" i="60" s="1"/>
  <c r="AB87" i="60"/>
  <c r="AB86" i="60"/>
  <c r="AI86" i="60" s="1"/>
  <c r="AB85" i="60"/>
  <c r="AB84" i="60"/>
  <c r="AG84" i="60" s="1"/>
  <c r="AB83" i="60"/>
  <c r="AG83" i="60" s="1"/>
  <c r="AB80" i="60"/>
  <c r="AI80" i="60" s="1"/>
  <c r="AB78" i="60"/>
  <c r="AH78" i="60" s="1"/>
  <c r="AG90" i="60"/>
  <c r="AH85" i="60"/>
  <c r="AI84" i="60"/>
  <c r="AB75" i="60"/>
  <c r="AB74" i="60"/>
  <c r="AG74" i="60" s="1"/>
  <c r="AB72" i="60"/>
  <c r="AB69" i="60"/>
  <c r="AI69" i="60" s="1"/>
  <c r="AB68" i="60"/>
  <c r="AH68" i="60" s="1"/>
  <c r="AB67" i="60"/>
  <c r="AG67" i="60" s="1"/>
  <c r="AB65" i="60"/>
  <c r="AB64" i="60"/>
  <c r="AI64" i="60" s="1"/>
  <c r="AB63" i="60"/>
  <c r="AH63" i="60" s="1"/>
  <c r="AB62" i="60"/>
  <c r="AH62" i="60" s="1"/>
  <c r="AC94" i="60"/>
  <c r="AC93" i="60"/>
  <c r="AC92" i="60"/>
  <c r="AJ92" i="60" s="1"/>
  <c r="AC91" i="60"/>
  <c r="AK91" i="60" s="1"/>
  <c r="AB91" i="60"/>
  <c r="AC80" i="60"/>
  <c r="AL80" i="60" s="1"/>
  <c r="AC79" i="60"/>
  <c r="AH75" i="60"/>
  <c r="AI74" i="60"/>
  <c r="AH74" i="60"/>
  <c r="AC72" i="60"/>
  <c r="AJ72" i="60" s="1"/>
  <c r="AC67" i="60"/>
  <c r="AC66" i="60"/>
  <c r="AJ66" i="60" s="1"/>
  <c r="AB66" i="60"/>
  <c r="AG62" i="60"/>
  <c r="AC62" i="60"/>
  <c r="AC77" i="59"/>
  <c r="AC72" i="59"/>
  <c r="AC65" i="59"/>
  <c r="AC60" i="59"/>
  <c r="AC56" i="59"/>
  <c r="AC53" i="59"/>
  <c r="AB76" i="59"/>
  <c r="AB75" i="59"/>
  <c r="AH75" i="59" s="1"/>
  <c r="AB74" i="59"/>
  <c r="AG74" i="59" s="1"/>
  <c r="AB73" i="59"/>
  <c r="AG73" i="59" s="1"/>
  <c r="AB72" i="59"/>
  <c r="AI72" i="59" s="1"/>
  <c r="AC76" i="59"/>
  <c r="AJ76" i="59" s="1"/>
  <c r="AH74" i="59"/>
  <c r="AB66" i="59"/>
  <c r="AI66" i="59" s="1"/>
  <c r="AB68" i="59"/>
  <c r="AB58" i="59"/>
  <c r="AB57" i="59"/>
  <c r="AB54" i="59"/>
  <c r="AC78" i="59"/>
  <c r="AB78" i="59"/>
  <c r="AB77" i="59"/>
  <c r="AB67" i="59"/>
  <c r="AC55" i="59"/>
  <c r="AC54" i="59"/>
  <c r="AB53" i="59"/>
  <c r="AB63" i="59"/>
  <c r="AB59" i="59"/>
  <c r="AB55" i="59"/>
  <c r="AH88" i="60" l="1"/>
  <c r="AI62" i="60"/>
  <c r="AI93" i="60"/>
  <c r="AG75" i="59"/>
  <c r="AG72" i="59"/>
  <c r="AH93" i="60"/>
  <c r="AI61" i="56"/>
  <c r="AM61" i="59"/>
  <c r="AB79" i="60"/>
  <c r="AD79" i="60" s="1"/>
  <c r="AF87" i="60"/>
  <c r="AN61" i="59"/>
  <c r="AL24" i="39"/>
  <c r="AF25" i="39"/>
  <c r="AL24" i="30"/>
  <c r="AL25" i="30"/>
  <c r="AJ26" i="30"/>
  <c r="AM26" i="30" s="1"/>
  <c r="AM25" i="61"/>
  <c r="AO25" i="39"/>
  <c r="AJ24" i="61"/>
  <c r="AK24" i="61"/>
  <c r="AL24" i="61"/>
  <c r="AF24" i="61"/>
  <c r="AH24" i="61"/>
  <c r="AI24" i="61"/>
  <c r="AG24" i="61"/>
  <c r="AD24" i="61"/>
  <c r="AE24" i="61"/>
  <c r="AJ23" i="61"/>
  <c r="AK23" i="61"/>
  <c r="AL23" i="61"/>
  <c r="AF23" i="61"/>
  <c r="AE23" i="61"/>
  <c r="AG23" i="61"/>
  <c r="AH23" i="61"/>
  <c r="AD23" i="61"/>
  <c r="AI23" i="61"/>
  <c r="AF25" i="61"/>
  <c r="AE25" i="61"/>
  <c r="AI25" i="61"/>
  <c r="AD25" i="61"/>
  <c r="AH25" i="61"/>
  <c r="AN25" i="61" s="1"/>
  <c r="AL25" i="61"/>
  <c r="AF23" i="39"/>
  <c r="AG23" i="39"/>
  <c r="AM23" i="39" s="1"/>
  <c r="AD23" i="39"/>
  <c r="AI23" i="39"/>
  <c r="AO23" i="39" s="1"/>
  <c r="AE23" i="39"/>
  <c r="AH23" i="39"/>
  <c r="AF24" i="39"/>
  <c r="AG24" i="39"/>
  <c r="AM24" i="39" s="1"/>
  <c r="AI24" i="39"/>
  <c r="AE24" i="39"/>
  <c r="AH24" i="39"/>
  <c r="AD24" i="39"/>
  <c r="AN25" i="39"/>
  <c r="AK23" i="39"/>
  <c r="AK24" i="39"/>
  <c r="AJ25" i="39"/>
  <c r="AM25" i="39" s="1"/>
  <c r="AH26" i="30"/>
  <c r="AN26" i="30" s="1"/>
  <c r="AE26" i="30"/>
  <c r="AL26" i="30"/>
  <c r="AO26" i="30" s="1"/>
  <c r="AF24" i="30"/>
  <c r="AI24" i="30"/>
  <c r="AE24" i="30"/>
  <c r="AG24" i="30"/>
  <c r="AM24" i="30" s="1"/>
  <c r="AH24" i="30"/>
  <c r="AD24" i="30"/>
  <c r="AF25" i="30"/>
  <c r="AD25" i="30"/>
  <c r="AI25" i="30"/>
  <c r="AE25" i="30"/>
  <c r="AG25" i="30"/>
  <c r="AM25" i="30" s="1"/>
  <c r="AH25" i="30"/>
  <c r="AF26" i="30"/>
  <c r="AK24" i="30"/>
  <c r="AK25" i="30"/>
  <c r="AH72" i="59"/>
  <c r="AJ101" i="58"/>
  <c r="AM101" i="58" s="1"/>
  <c r="AL101" i="58"/>
  <c r="AD101" i="58"/>
  <c r="AI102" i="58"/>
  <c r="AH102" i="58"/>
  <c r="AF101" i="58"/>
  <c r="AH101" i="58"/>
  <c r="AG102" i="58"/>
  <c r="AG103" i="58"/>
  <c r="AH103" i="58"/>
  <c r="AI103" i="58"/>
  <c r="AK101" i="58"/>
  <c r="AI104" i="58"/>
  <c r="AE101" i="58"/>
  <c r="AI101" i="58"/>
  <c r="AG104" i="58"/>
  <c r="AF22" i="27"/>
  <c r="AI22" i="27"/>
  <c r="AK24" i="27"/>
  <c r="AJ24" i="27"/>
  <c r="AM24" i="27" s="1"/>
  <c r="AF23" i="27"/>
  <c r="AI23" i="27"/>
  <c r="AJ22" i="27"/>
  <c r="AK22" i="27"/>
  <c r="AL22" i="27"/>
  <c r="AE22" i="27"/>
  <c r="AJ23" i="27"/>
  <c r="AK23" i="27"/>
  <c r="AL23" i="27"/>
  <c r="AE23" i="27"/>
  <c r="AF24" i="27"/>
  <c r="AH22" i="27"/>
  <c r="AD23" i="27"/>
  <c r="AH23" i="27"/>
  <c r="AE24" i="27"/>
  <c r="AI24" i="27"/>
  <c r="AG22" i="27"/>
  <c r="AG23" i="27"/>
  <c r="AD24" i="27"/>
  <c r="AH24" i="27"/>
  <c r="AL24" i="27"/>
  <c r="AF22" i="38"/>
  <c r="AG22" i="38"/>
  <c r="AH22" i="38"/>
  <c r="AD22" i="38"/>
  <c r="AI22" i="38"/>
  <c r="AE22" i="38"/>
  <c r="AL24" i="38"/>
  <c r="AK24" i="38"/>
  <c r="AJ24" i="38"/>
  <c r="AM24" i="38" s="1"/>
  <c r="AJ23" i="38"/>
  <c r="AK23" i="38"/>
  <c r="AL23" i="38"/>
  <c r="AF23" i="38"/>
  <c r="AG23" i="38"/>
  <c r="AH23" i="38"/>
  <c r="AN23" i="38" s="1"/>
  <c r="AD23" i="38"/>
  <c r="AI23" i="38"/>
  <c r="AE23" i="38"/>
  <c r="AJ22" i="38"/>
  <c r="AK22" i="38"/>
  <c r="AL22" i="38"/>
  <c r="AF24" i="38"/>
  <c r="AE24" i="38"/>
  <c r="AI24" i="38"/>
  <c r="AD24" i="38"/>
  <c r="AH24" i="38"/>
  <c r="AJ87" i="60"/>
  <c r="AG88" i="60"/>
  <c r="AI67" i="60"/>
  <c r="AH67" i="60"/>
  <c r="AI91" i="60"/>
  <c r="AG91" i="60"/>
  <c r="AH65" i="60"/>
  <c r="AL72" i="60"/>
  <c r="AG65" i="60"/>
  <c r="AG69" i="60"/>
  <c r="AF72" i="60"/>
  <c r="AH72" i="60"/>
  <c r="AH84" i="60"/>
  <c r="AG87" i="60"/>
  <c r="AF92" i="60"/>
  <c r="AH92" i="60"/>
  <c r="AG64" i="60"/>
  <c r="AG72" i="60"/>
  <c r="AM72" i="60" s="1"/>
  <c r="AG80" i="60"/>
  <c r="AH83" i="60"/>
  <c r="AG86" i="60"/>
  <c r="AD87" i="60"/>
  <c r="AG92" i="60"/>
  <c r="AM92" i="60" s="1"/>
  <c r="AF93" i="60"/>
  <c r="AL66" i="60"/>
  <c r="AD72" i="60"/>
  <c r="AL87" i="60"/>
  <c r="AD92" i="60"/>
  <c r="AH87" i="60"/>
  <c r="AL92" i="60"/>
  <c r="AF66" i="60"/>
  <c r="AG66" i="60"/>
  <c r="AM66" i="60" s="1"/>
  <c r="AH66" i="60"/>
  <c r="AI66" i="60"/>
  <c r="AE66" i="60"/>
  <c r="AD66" i="60"/>
  <c r="AK67" i="60"/>
  <c r="AL67" i="60"/>
  <c r="AE67" i="60"/>
  <c r="AJ67" i="60"/>
  <c r="AM67" i="60" s="1"/>
  <c r="AD67" i="60"/>
  <c r="AL78" i="60"/>
  <c r="AK78" i="60"/>
  <c r="AN78" i="60" s="1"/>
  <c r="AJ78" i="60"/>
  <c r="AL94" i="60"/>
  <c r="AJ94" i="60"/>
  <c r="AK94" i="60"/>
  <c r="AN94" i="60" s="1"/>
  <c r="AK62" i="60"/>
  <c r="AN62" i="60" s="1"/>
  <c r="AL62" i="60"/>
  <c r="AO62" i="60" s="1"/>
  <c r="AE62" i="60"/>
  <c r="AJ62" i="60"/>
  <c r="AD62" i="60"/>
  <c r="AL79" i="60"/>
  <c r="AK79" i="60"/>
  <c r="AJ79" i="60"/>
  <c r="AK93" i="60"/>
  <c r="AN93" i="60" s="1"/>
  <c r="AD93" i="60"/>
  <c r="AJ93" i="60"/>
  <c r="AM93" i="60" s="1"/>
  <c r="AL93" i="60"/>
  <c r="AO93" i="60" s="1"/>
  <c r="AE93" i="60"/>
  <c r="AM62" i="60"/>
  <c r="AO80" i="60"/>
  <c r="AF78" i="60"/>
  <c r="AK80" i="60"/>
  <c r="AF94" i="60"/>
  <c r="AK66" i="60"/>
  <c r="AI79" i="60"/>
  <c r="AJ80" i="60"/>
  <c r="AI85" i="60"/>
  <c r="AK87" i="60"/>
  <c r="AI89" i="60"/>
  <c r="AJ91" i="60"/>
  <c r="AM91" i="60" s="1"/>
  <c r="AK92" i="60"/>
  <c r="AE94" i="60"/>
  <c r="AF62" i="60"/>
  <c r="AG63" i="60"/>
  <c r="AH64" i="60"/>
  <c r="AI65" i="60"/>
  <c r="AF67" i="60"/>
  <c r="AG68" i="60"/>
  <c r="AH69" i="60"/>
  <c r="AE72" i="60"/>
  <c r="AI72" i="60"/>
  <c r="AG75" i="60"/>
  <c r="AG78" i="60"/>
  <c r="AD80" i="60"/>
  <c r="AH80" i="60"/>
  <c r="AN80" i="60" s="1"/>
  <c r="AI83" i="60"/>
  <c r="AG85" i="60"/>
  <c r="AH86" i="60"/>
  <c r="AE87" i="60"/>
  <c r="AI87" i="60"/>
  <c r="AG89" i="60"/>
  <c r="AH90" i="60"/>
  <c r="AD91" i="60"/>
  <c r="AH91" i="60"/>
  <c r="AN91" i="60" s="1"/>
  <c r="AL91" i="60"/>
  <c r="AE92" i="60"/>
  <c r="AI92" i="60"/>
  <c r="AO92" i="60" s="1"/>
  <c r="AG94" i="60"/>
  <c r="AI63" i="60"/>
  <c r="AI68" i="60"/>
  <c r="AK72" i="60"/>
  <c r="AN72" i="60" s="1"/>
  <c r="AI75" i="60"/>
  <c r="AE78" i="60"/>
  <c r="AI78" i="60"/>
  <c r="AE79" i="60"/>
  <c r="AF80" i="60"/>
  <c r="AF91" i="60"/>
  <c r="AI94" i="60"/>
  <c r="AD78" i="60"/>
  <c r="AE80" i="60"/>
  <c r="AE91" i="60"/>
  <c r="AD94" i="60"/>
  <c r="AL76" i="59"/>
  <c r="AL56" i="59"/>
  <c r="AF72" i="59"/>
  <c r="AI75" i="59"/>
  <c r="AI76" i="59"/>
  <c r="AE76" i="59"/>
  <c r="AF76" i="59"/>
  <c r="AG76" i="59"/>
  <c r="AM76" i="59" s="1"/>
  <c r="AH76" i="59"/>
  <c r="AD76" i="59"/>
  <c r="AJ72" i="59"/>
  <c r="AK72" i="59"/>
  <c r="AN72" i="59" s="1"/>
  <c r="AL72" i="59"/>
  <c r="AO72" i="59" s="1"/>
  <c r="AD72" i="59"/>
  <c r="AE72" i="59"/>
  <c r="AI73" i="59"/>
  <c r="AK76" i="59"/>
  <c r="AH73" i="59"/>
  <c r="AI74" i="59"/>
  <c r="AB62" i="59"/>
  <c r="AB56" i="59"/>
  <c r="AH56" i="59" s="1"/>
  <c r="AB60" i="59"/>
  <c r="AD60" i="59" s="1"/>
  <c r="AG59" i="59"/>
  <c r="AL65" i="59"/>
  <c r="AI57" i="59"/>
  <c r="AG60" i="59"/>
  <c r="AH58" i="59"/>
  <c r="AH63" i="59"/>
  <c r="AI63" i="59"/>
  <c r="AG63" i="59"/>
  <c r="AJ53" i="59"/>
  <c r="AB64" i="59"/>
  <c r="AG64" i="59" s="1"/>
  <c r="AI68" i="59"/>
  <c r="AK77" i="59"/>
  <c r="AL54" i="59"/>
  <c r="AB65" i="59"/>
  <c r="AI65" i="59" s="1"/>
  <c r="AH66" i="59"/>
  <c r="AD78" i="59"/>
  <c r="AG66" i="59"/>
  <c r="AL55" i="59"/>
  <c r="AH77" i="59"/>
  <c r="AI77" i="59"/>
  <c r="AG77" i="59"/>
  <c r="AI78" i="59"/>
  <c r="AG78" i="59"/>
  <c r="AH78" i="59"/>
  <c r="AK53" i="59"/>
  <c r="AK60" i="59"/>
  <c r="AJ60" i="59"/>
  <c r="AL60" i="59"/>
  <c r="AJ56" i="59"/>
  <c r="AI59" i="59"/>
  <c r="AH59" i="59"/>
  <c r="AK56" i="59"/>
  <c r="AD65" i="59"/>
  <c r="AG55" i="59"/>
  <c r="AC88" i="58"/>
  <c r="AB94" i="58"/>
  <c r="AH94" i="58" s="1"/>
  <c r="AB93" i="58"/>
  <c r="AI93" i="58" s="1"/>
  <c r="AB92" i="58"/>
  <c r="AH92" i="58" s="1"/>
  <c r="AB91" i="58"/>
  <c r="AI91" i="58" s="1"/>
  <c r="AB88" i="58"/>
  <c r="AH88" i="58" s="1"/>
  <c r="AB85" i="58"/>
  <c r="AI85" i="58" s="1"/>
  <c r="AB84" i="58"/>
  <c r="AG84" i="58" s="1"/>
  <c r="AB83" i="58"/>
  <c r="AI83" i="58" s="1"/>
  <c r="AB82" i="58"/>
  <c r="AH82" i="58" s="1"/>
  <c r="AB81" i="58"/>
  <c r="AH81" i="58" s="1"/>
  <c r="AB80" i="58"/>
  <c r="AG80" i="58" s="1"/>
  <c r="AB79" i="58"/>
  <c r="AI79" i="58" s="1"/>
  <c r="AB78" i="58"/>
  <c r="AH78" i="58" s="1"/>
  <c r="AB95" i="58"/>
  <c r="AG95" i="58" s="1"/>
  <c r="AB99" i="58"/>
  <c r="AG99" i="58" s="1"/>
  <c r="AB98" i="58"/>
  <c r="AH98" i="58" s="1"/>
  <c r="AB97" i="58"/>
  <c r="AI97" i="58" s="1"/>
  <c r="AB96" i="58"/>
  <c r="AB100" i="58"/>
  <c r="AB108" i="58"/>
  <c r="AH108" i="58" s="1"/>
  <c r="AB107" i="58"/>
  <c r="AI107" i="58" s="1"/>
  <c r="AI96" i="58"/>
  <c r="AG81" i="58"/>
  <c r="AB76" i="58"/>
  <c r="AI76" i="58" s="1"/>
  <c r="AB74" i="58"/>
  <c r="AH74" i="58" s="1"/>
  <c r="AB73" i="58"/>
  <c r="AG73" i="58" s="1"/>
  <c r="AB72" i="58"/>
  <c r="AH72" i="58" s="1"/>
  <c r="AB71" i="58"/>
  <c r="AG71" i="58" s="1"/>
  <c r="AC108" i="58"/>
  <c r="AC107" i="58"/>
  <c r="AG96" i="58"/>
  <c r="AH93" i="58"/>
  <c r="AG85" i="58"/>
  <c r="AH80" i="58"/>
  <c r="AC76" i="58"/>
  <c r="AC75" i="58"/>
  <c r="AL75" i="58" s="1"/>
  <c r="AB75" i="58"/>
  <c r="AG74" i="58"/>
  <c r="AI71" i="58"/>
  <c r="AC71" i="58"/>
  <c r="AB84" i="57"/>
  <c r="AG84" i="57" s="1"/>
  <c r="AB83" i="57"/>
  <c r="AG83" i="57" s="1"/>
  <c r="AB79" i="57"/>
  <c r="AB76" i="57"/>
  <c r="AI76" i="57" s="1"/>
  <c r="AB73" i="57"/>
  <c r="AG73" i="57" s="1"/>
  <c r="AB72" i="57"/>
  <c r="AB71" i="57"/>
  <c r="AI71" i="57" s="1"/>
  <c r="AB70" i="57"/>
  <c r="AI70" i="57" s="1"/>
  <c r="AB69" i="57"/>
  <c r="AH69" i="57" s="1"/>
  <c r="AB68" i="57"/>
  <c r="AG68" i="57" s="1"/>
  <c r="AB67" i="57"/>
  <c r="AH67" i="57" s="1"/>
  <c r="AB66" i="57"/>
  <c r="AG66" i="57" s="1"/>
  <c r="AB64" i="57"/>
  <c r="AH64" i="57" s="1"/>
  <c r="AB62" i="57"/>
  <c r="AG62" i="57" s="1"/>
  <c r="AB61" i="57"/>
  <c r="AH61" i="57" s="1"/>
  <c r="AB60" i="57"/>
  <c r="AB59" i="57"/>
  <c r="AG59" i="57" s="1"/>
  <c r="AL89" i="57"/>
  <c r="AC88" i="57"/>
  <c r="AL88" i="57" s="1"/>
  <c r="AC86" i="57"/>
  <c r="AI79" i="57"/>
  <c r="AH79" i="57"/>
  <c r="AC79" i="57"/>
  <c r="AC78" i="57"/>
  <c r="AB78" i="57"/>
  <c r="AC77" i="57"/>
  <c r="AB77" i="57"/>
  <c r="AG76" i="57"/>
  <c r="AC76" i="57"/>
  <c r="AJ76" i="57" s="1"/>
  <c r="AG72" i="57"/>
  <c r="AI66" i="57"/>
  <c r="AC64" i="57"/>
  <c r="AL64" i="57" s="1"/>
  <c r="AC63" i="57"/>
  <c r="AB63" i="57"/>
  <c r="AG63" i="57" s="1"/>
  <c r="AI60" i="57"/>
  <c r="AC59" i="57"/>
  <c r="AL59" i="57" s="1"/>
  <c r="AC63" i="56"/>
  <c r="AL63" i="56" s="1"/>
  <c r="AC62" i="56"/>
  <c r="AB63" i="56"/>
  <c r="AG63" i="56" s="1"/>
  <c r="AB62" i="56"/>
  <c r="AG62" i="56" s="1"/>
  <c r="AB60" i="56"/>
  <c r="AB58" i="56"/>
  <c r="AG58" i="56" s="1"/>
  <c r="AB57" i="56"/>
  <c r="AH57" i="56" s="1"/>
  <c r="AB56" i="56"/>
  <c r="AI56" i="56" s="1"/>
  <c r="AB53" i="56"/>
  <c r="AG60" i="56"/>
  <c r="AI60" i="56"/>
  <c r="AG59" i="56"/>
  <c r="AH59" i="56"/>
  <c r="AB43" i="55"/>
  <c r="AH43" i="55" s="1"/>
  <c r="AB41" i="55"/>
  <c r="AG41" i="55" s="1"/>
  <c r="AB40" i="55"/>
  <c r="AB39" i="55"/>
  <c r="AI39" i="55" s="1"/>
  <c r="AB38" i="55"/>
  <c r="AH38" i="55" s="1"/>
  <c r="AC36" i="55"/>
  <c r="AJ36" i="55" s="1"/>
  <c r="AC35" i="55"/>
  <c r="AJ35" i="55" s="1"/>
  <c r="AB37" i="55"/>
  <c r="AH37" i="55" s="1"/>
  <c r="AC43" i="55"/>
  <c r="AC42" i="55"/>
  <c r="AB42" i="55"/>
  <c r="AH41" i="55"/>
  <c r="AC38" i="55"/>
  <c r="AG37" i="55"/>
  <c r="AC37" i="55"/>
  <c r="AB36" i="55"/>
  <c r="AB35" i="55"/>
  <c r="AB107" i="54"/>
  <c r="AH107" i="54" s="1"/>
  <c r="AB106" i="54"/>
  <c r="AG106" i="54" s="1"/>
  <c r="AB105" i="54"/>
  <c r="AH105" i="54" s="1"/>
  <c r="AB103" i="54"/>
  <c r="AI103" i="54" s="1"/>
  <c r="AB102" i="54"/>
  <c r="AB101" i="54"/>
  <c r="AG101" i="54" s="1"/>
  <c r="AB100" i="54"/>
  <c r="AH100" i="54" s="1"/>
  <c r="AB99" i="54"/>
  <c r="AI99" i="54" s="1"/>
  <c r="AB98" i="54"/>
  <c r="AH98" i="54" s="1"/>
  <c r="AB97" i="54"/>
  <c r="AG97" i="54" s="1"/>
  <c r="AB96" i="54"/>
  <c r="AH96" i="54" s="1"/>
  <c r="AB95" i="54"/>
  <c r="AI95" i="54" s="1"/>
  <c r="AB94" i="54"/>
  <c r="AH94" i="54" s="1"/>
  <c r="AB89" i="54"/>
  <c r="AG89" i="54" s="1"/>
  <c r="AB88" i="54"/>
  <c r="AH88" i="54" s="1"/>
  <c r="AB85" i="54"/>
  <c r="AG85" i="54" s="1"/>
  <c r="AB82" i="54"/>
  <c r="AH82" i="54" s="1"/>
  <c r="AB81" i="54"/>
  <c r="AG81" i="54" s="1"/>
  <c r="AB80" i="54"/>
  <c r="AH80" i="54" s="1"/>
  <c r="AB79" i="54"/>
  <c r="AG79" i="54" s="1"/>
  <c r="AB78" i="54"/>
  <c r="AG78" i="54" s="1"/>
  <c r="AB77" i="54"/>
  <c r="AG77" i="54" s="1"/>
  <c r="AB76" i="54"/>
  <c r="AH76" i="54" s="1"/>
  <c r="AB75" i="54"/>
  <c r="AI75" i="54" s="1"/>
  <c r="AB73" i="54"/>
  <c r="AH73" i="54" s="1"/>
  <c r="AB71" i="54"/>
  <c r="AG71" i="54" s="1"/>
  <c r="AB70" i="54"/>
  <c r="AH70" i="54" s="1"/>
  <c r="AB69" i="54"/>
  <c r="AI69" i="54" s="1"/>
  <c r="AB68" i="54"/>
  <c r="AG68" i="54" s="1"/>
  <c r="AC107" i="54"/>
  <c r="AC106" i="54"/>
  <c r="AC105" i="54"/>
  <c r="AC104" i="54"/>
  <c r="AK104" i="54" s="1"/>
  <c r="AB104" i="54"/>
  <c r="AH102" i="54"/>
  <c r="AC100" i="54"/>
  <c r="AC93" i="54"/>
  <c r="AC85" i="54"/>
  <c r="AC73" i="54"/>
  <c r="AL73" i="54" s="1"/>
  <c r="AC72" i="54"/>
  <c r="AB72" i="54"/>
  <c r="AG72" i="54" s="1"/>
  <c r="AC68" i="54"/>
  <c r="AC74" i="53"/>
  <c r="AC65" i="53"/>
  <c r="AH100" i="53"/>
  <c r="AB99" i="53"/>
  <c r="AG99" i="53" s="1"/>
  <c r="AB98" i="53"/>
  <c r="AB97" i="53"/>
  <c r="AB96" i="53"/>
  <c r="AI96" i="53" s="1"/>
  <c r="AB95" i="53"/>
  <c r="AH95" i="53" s="1"/>
  <c r="AB94" i="53"/>
  <c r="AG94" i="53" s="1"/>
  <c r="AB93" i="53"/>
  <c r="AI93" i="53" s="1"/>
  <c r="AB92" i="53"/>
  <c r="AI92" i="53" s="1"/>
  <c r="AH91" i="53"/>
  <c r="AB90" i="53"/>
  <c r="AG90" i="53" s="1"/>
  <c r="AB87" i="53"/>
  <c r="AH87" i="53" s="1"/>
  <c r="AB86" i="53"/>
  <c r="AG86" i="53" s="1"/>
  <c r="AB85" i="53"/>
  <c r="AH85" i="53" s="1"/>
  <c r="AB84" i="53"/>
  <c r="AG84" i="53" s="1"/>
  <c r="AB83" i="53"/>
  <c r="AB77" i="53"/>
  <c r="AI77" i="53" s="1"/>
  <c r="AB81" i="53"/>
  <c r="AI81" i="53" s="1"/>
  <c r="AB80" i="53"/>
  <c r="AH80" i="53" s="1"/>
  <c r="AB79" i="53"/>
  <c r="AG79" i="53" s="1"/>
  <c r="AB78" i="53"/>
  <c r="AH78" i="53" s="1"/>
  <c r="AB75" i="53"/>
  <c r="AH75" i="53" s="1"/>
  <c r="AB74" i="53"/>
  <c r="AG74" i="53" s="1"/>
  <c r="AB73" i="53"/>
  <c r="AH73" i="53" s="1"/>
  <c r="AB72" i="53"/>
  <c r="AI72" i="53" s="1"/>
  <c r="AB71" i="53"/>
  <c r="AG71" i="53" s="1"/>
  <c r="AB70" i="53"/>
  <c r="AG70" i="53" s="1"/>
  <c r="AB68" i="53"/>
  <c r="AI68" i="53" s="1"/>
  <c r="AB67" i="53"/>
  <c r="AI67" i="53" s="1"/>
  <c r="AB66" i="53"/>
  <c r="AH66" i="53" s="1"/>
  <c r="AB65" i="53"/>
  <c r="AG65" i="53" s="1"/>
  <c r="AC98" i="53"/>
  <c r="AC97" i="53"/>
  <c r="AJ97" i="53" s="1"/>
  <c r="AC93" i="53"/>
  <c r="AC92" i="53"/>
  <c r="AK92" i="53" s="1"/>
  <c r="AC90" i="53"/>
  <c r="AB76" i="53"/>
  <c r="AH76" i="53" s="1"/>
  <c r="AC70" i="53"/>
  <c r="AC69" i="53"/>
  <c r="AB69" i="53"/>
  <c r="AH68" i="53"/>
  <c r="AC61" i="52"/>
  <c r="AB61" i="52"/>
  <c r="AG61" i="52" s="1"/>
  <c r="AB59" i="52"/>
  <c r="AG59" i="52" s="1"/>
  <c r="AB58" i="52"/>
  <c r="AH58" i="52" s="1"/>
  <c r="AB57" i="52"/>
  <c r="AI57" i="52" s="1"/>
  <c r="AB56" i="52"/>
  <c r="AH56" i="52" s="1"/>
  <c r="AB55" i="52"/>
  <c r="AG55" i="52" s="1"/>
  <c r="AB54" i="52"/>
  <c r="AB51" i="52"/>
  <c r="AG51" i="52" s="1"/>
  <c r="AB50" i="52"/>
  <c r="AH50" i="52" s="1"/>
  <c r="AB49" i="52"/>
  <c r="AB48" i="52"/>
  <c r="AB47" i="52"/>
  <c r="AH47" i="52" s="1"/>
  <c r="AB46" i="52"/>
  <c r="AB45" i="52"/>
  <c r="AH45" i="52" s="1"/>
  <c r="AL61" i="52"/>
  <c r="AB60" i="52"/>
  <c r="AG60" i="52" s="1"/>
  <c r="AC58" i="52"/>
  <c r="AC54" i="52"/>
  <c r="AC50" i="52"/>
  <c r="AL50" i="52" s="1"/>
  <c r="AC49" i="52"/>
  <c r="AG48" i="52"/>
  <c r="AC45" i="52"/>
  <c r="AL45" i="52" s="1"/>
  <c r="V10" i="12"/>
  <c r="AC50" i="18"/>
  <c r="AB66" i="18"/>
  <c r="AG66" i="18" s="1"/>
  <c r="AB64" i="18"/>
  <c r="AH64" i="18" s="1"/>
  <c r="AB63" i="18"/>
  <c r="AI63" i="18" s="1"/>
  <c r="AB62" i="18"/>
  <c r="AH62" i="18" s="1"/>
  <c r="AB61" i="18"/>
  <c r="AG61" i="18" s="1"/>
  <c r="AB60" i="18"/>
  <c r="AI60" i="18" s="1"/>
  <c r="AB58" i="18"/>
  <c r="AB56" i="18"/>
  <c r="AB55" i="18"/>
  <c r="AB54" i="18"/>
  <c r="AB53" i="18"/>
  <c r="AB52" i="18"/>
  <c r="AH52" i="18" s="1"/>
  <c r="AC69" i="18"/>
  <c r="AB69" i="18"/>
  <c r="AG69" i="18" s="1"/>
  <c r="AC68" i="18"/>
  <c r="AB68" i="18"/>
  <c r="AC67" i="18"/>
  <c r="AB67" i="18"/>
  <c r="AB65" i="18"/>
  <c r="AC63" i="18"/>
  <c r="AB59" i="18"/>
  <c r="AC58" i="18"/>
  <c r="AC57" i="18"/>
  <c r="AB57" i="18"/>
  <c r="AC53" i="18"/>
  <c r="AC52" i="18"/>
  <c r="AC51" i="18"/>
  <c r="AA14" i="18"/>
  <c r="AA12" i="18"/>
  <c r="AA11" i="18"/>
  <c r="AA10" i="18"/>
  <c r="AA9" i="18"/>
  <c r="AA8" i="18"/>
  <c r="AA7" i="18"/>
  <c r="U14" i="18"/>
  <c r="U12" i="18"/>
  <c r="U11" i="18"/>
  <c r="U10" i="18"/>
  <c r="U9" i="18"/>
  <c r="U8" i="18"/>
  <c r="U7" i="18"/>
  <c r="O14" i="18"/>
  <c r="O12" i="18"/>
  <c r="O11" i="18"/>
  <c r="O10" i="18"/>
  <c r="O9" i="18"/>
  <c r="O8" i="18"/>
  <c r="O7" i="18"/>
  <c r="I14" i="18"/>
  <c r="I12" i="18"/>
  <c r="I11" i="18"/>
  <c r="I10" i="18"/>
  <c r="I9" i="18"/>
  <c r="I8" i="18"/>
  <c r="I7" i="18"/>
  <c r="AF79" i="60" l="1"/>
  <c r="AG79" i="60"/>
  <c r="AH79" i="60"/>
  <c r="AN79" i="60" s="1"/>
  <c r="AM72" i="59"/>
  <c r="AG64" i="57"/>
  <c r="AH63" i="56"/>
  <c r="AI58" i="52"/>
  <c r="AG80" i="53"/>
  <c r="AI73" i="53"/>
  <c r="AL35" i="55"/>
  <c r="AI80" i="54"/>
  <c r="AI88" i="54"/>
  <c r="AG81" i="53"/>
  <c r="AH71" i="53"/>
  <c r="AI87" i="53"/>
  <c r="AI47" i="52"/>
  <c r="AH61" i="52"/>
  <c r="AG63" i="18"/>
  <c r="AO24" i="61"/>
  <c r="AD25" i="27"/>
  <c r="AG10" i="27" s="1"/>
  <c r="AF54" i="52"/>
  <c r="AH100" i="58"/>
  <c r="AN101" i="58"/>
  <c r="AG68" i="18"/>
  <c r="AG45" i="52"/>
  <c r="AG49" i="52"/>
  <c r="AH54" i="52"/>
  <c r="AI86" i="53"/>
  <c r="AH93" i="53"/>
  <c r="AF98" i="53"/>
  <c r="AI37" i="55"/>
  <c r="AH71" i="57"/>
  <c r="AI73" i="58"/>
  <c r="AG100" i="58"/>
  <c r="AG67" i="18"/>
  <c r="AD35" i="55"/>
  <c r="AH84" i="58"/>
  <c r="AH60" i="18"/>
  <c r="AG79" i="58"/>
  <c r="AG83" i="58"/>
  <c r="AO94" i="60"/>
  <c r="AO72" i="60"/>
  <c r="AN67" i="60"/>
  <c r="AG56" i="52"/>
  <c r="AI46" i="52"/>
  <c r="AB51" i="18"/>
  <c r="AH51" i="18" s="1"/>
  <c r="AE25" i="27"/>
  <c r="AG9" i="27" s="1"/>
  <c r="AG69" i="54"/>
  <c r="AI85" i="54"/>
  <c r="AC87" i="57"/>
  <c r="AK87" i="57" s="1"/>
  <c r="AI61" i="57"/>
  <c r="AL36" i="55"/>
  <c r="AG73" i="54"/>
  <c r="AG107" i="54"/>
  <c r="AG98" i="54"/>
  <c r="AI70" i="54"/>
  <c r="AI100" i="54"/>
  <c r="AF105" i="54"/>
  <c r="AI79" i="54"/>
  <c r="AG99" i="54"/>
  <c r="AO23" i="61"/>
  <c r="AO24" i="27"/>
  <c r="AO25" i="30"/>
  <c r="AO24" i="39"/>
  <c r="AE26" i="39"/>
  <c r="AH9" i="39" s="1"/>
  <c r="AM23" i="38"/>
  <c r="AO24" i="30"/>
  <c r="AE25" i="38"/>
  <c r="AG9" i="38" s="1"/>
  <c r="AO79" i="60"/>
  <c r="AO65" i="59"/>
  <c r="AO67" i="60"/>
  <c r="AE26" i="61"/>
  <c r="AH9" i="61" s="1"/>
  <c r="AM24" i="61"/>
  <c r="AF25" i="38"/>
  <c r="AG11" i="38" s="1"/>
  <c r="AM22" i="38"/>
  <c r="AN23" i="39"/>
  <c r="AF26" i="39"/>
  <c r="AH11" i="39" s="1"/>
  <c r="AN24" i="27"/>
  <c r="AM23" i="61"/>
  <c r="AO25" i="61"/>
  <c r="AD26" i="61"/>
  <c r="AH10" i="61" s="1"/>
  <c r="AF26" i="61"/>
  <c r="AH11" i="61" s="1"/>
  <c r="AN24" i="61"/>
  <c r="AN23" i="61"/>
  <c r="AN24" i="39"/>
  <c r="AD26" i="39"/>
  <c r="AH10" i="39" s="1"/>
  <c r="AD27" i="30"/>
  <c r="AH10" i="30" s="1"/>
  <c r="AN24" i="30"/>
  <c r="AF27" i="30"/>
  <c r="AH11" i="30" s="1"/>
  <c r="AE27" i="30"/>
  <c r="AH9" i="30" s="1"/>
  <c r="AN25" i="30"/>
  <c r="AF25" i="27"/>
  <c r="AG11" i="27" s="1"/>
  <c r="AH107" i="58"/>
  <c r="AH76" i="58"/>
  <c r="AH85" i="58"/>
  <c r="AH96" i="58"/>
  <c r="AO101" i="58"/>
  <c r="AG97" i="58"/>
  <c r="AG107" i="58"/>
  <c r="AI67" i="57"/>
  <c r="AH73" i="57"/>
  <c r="AO23" i="27"/>
  <c r="AO22" i="27"/>
  <c r="AM23" i="27"/>
  <c r="AN22" i="27"/>
  <c r="AM22" i="27"/>
  <c r="AN23" i="27"/>
  <c r="AD25" i="38"/>
  <c r="AG10" i="38" s="1"/>
  <c r="AN24" i="38"/>
  <c r="AN22" i="38"/>
  <c r="AO24" i="38"/>
  <c r="AO23" i="38"/>
  <c r="AO22" i="38"/>
  <c r="AM94" i="60"/>
  <c r="AO87" i="60"/>
  <c r="AM87" i="60"/>
  <c r="AO91" i="60"/>
  <c r="AO78" i="60"/>
  <c r="AM80" i="60"/>
  <c r="AO66" i="60"/>
  <c r="AN92" i="60"/>
  <c r="AN87" i="60"/>
  <c r="AN66" i="60"/>
  <c r="AM79" i="60"/>
  <c r="AM78" i="60"/>
  <c r="AO76" i="59"/>
  <c r="AN76" i="59"/>
  <c r="AN56" i="59"/>
  <c r="AL53" i="59"/>
  <c r="AD56" i="59"/>
  <c r="AI67" i="59"/>
  <c r="AE56" i="59"/>
  <c r="AE55" i="59"/>
  <c r="AM60" i="59"/>
  <c r="AE77" i="59"/>
  <c r="AF77" i="59"/>
  <c r="AH64" i="59"/>
  <c r="AL77" i="59"/>
  <c r="AO77" i="59" s="1"/>
  <c r="AH57" i="59"/>
  <c r="AG57" i="59"/>
  <c r="AI58" i="59"/>
  <c r="AE78" i="59"/>
  <c r="AK78" i="59"/>
  <c r="AN78" i="59" s="1"/>
  <c r="AE60" i="59"/>
  <c r="AF60" i="59"/>
  <c r="AE65" i="59"/>
  <c r="AH60" i="59"/>
  <c r="AN60" i="59" s="1"/>
  <c r="AF65" i="59"/>
  <c r="AF78" i="59"/>
  <c r="AJ78" i="59"/>
  <c r="AM78" i="59" s="1"/>
  <c r="AD77" i="59"/>
  <c r="AK55" i="59"/>
  <c r="AJ65" i="59"/>
  <c r="AK65" i="59"/>
  <c r="AI60" i="59"/>
  <c r="AO60" i="59" s="1"/>
  <c r="AJ77" i="59"/>
  <c r="AM77" i="59" s="1"/>
  <c r="AL78" i="59"/>
  <c r="AO78" i="59" s="1"/>
  <c r="AJ55" i="59"/>
  <c r="AM55" i="59" s="1"/>
  <c r="AG58" i="59"/>
  <c r="AH67" i="59"/>
  <c r="AF56" i="59"/>
  <c r="AI56" i="59"/>
  <c r="AO56" i="59" s="1"/>
  <c r="AI64" i="59"/>
  <c r="AG68" i="59"/>
  <c r="AG67" i="59"/>
  <c r="AG56" i="59"/>
  <c r="AM56" i="59" s="1"/>
  <c r="AI62" i="59"/>
  <c r="AG62" i="59"/>
  <c r="AH62" i="59"/>
  <c r="AH65" i="59"/>
  <c r="AG65" i="59"/>
  <c r="AI55" i="59"/>
  <c r="AO55" i="59" s="1"/>
  <c r="AJ54" i="59"/>
  <c r="AD55" i="59"/>
  <c r="AH68" i="59"/>
  <c r="AK54" i="59"/>
  <c r="AH55" i="59"/>
  <c r="AF55" i="59"/>
  <c r="AN77" i="59"/>
  <c r="AG92" i="58"/>
  <c r="AI99" i="58"/>
  <c r="AF107" i="58"/>
  <c r="AH97" i="58"/>
  <c r="AI95" i="58"/>
  <c r="AG93" i="58"/>
  <c r="AG91" i="58"/>
  <c r="AI81" i="58"/>
  <c r="AJ75" i="58"/>
  <c r="AH71" i="58"/>
  <c r="AG76" i="58"/>
  <c r="AK71" i="58"/>
  <c r="AJ71" i="58"/>
  <c r="AM71" i="58" s="1"/>
  <c r="AL71" i="58"/>
  <c r="AO71" i="58" s="1"/>
  <c r="AD71" i="58"/>
  <c r="AE71" i="58"/>
  <c r="AL108" i="58"/>
  <c r="AK108" i="58"/>
  <c r="AN108" i="58" s="1"/>
  <c r="AJ108" i="58"/>
  <c r="AF75" i="58"/>
  <c r="AG75" i="58"/>
  <c r="AH75" i="58"/>
  <c r="AI75" i="58"/>
  <c r="AO75" i="58" s="1"/>
  <c r="AE75" i="58"/>
  <c r="AD75" i="58"/>
  <c r="AK76" i="58"/>
  <c r="AJ76" i="58"/>
  <c r="AL76" i="58"/>
  <c r="AO76" i="58" s="1"/>
  <c r="AD76" i="58"/>
  <c r="AE76" i="58"/>
  <c r="AL88" i="58"/>
  <c r="AK88" i="58"/>
  <c r="AN88" i="58" s="1"/>
  <c r="AJ88" i="58"/>
  <c r="AK107" i="58"/>
  <c r="AL107" i="58"/>
  <c r="AO107" i="58" s="1"/>
  <c r="AJ107" i="58"/>
  <c r="AD107" i="58"/>
  <c r="AE107" i="58"/>
  <c r="AK75" i="58"/>
  <c r="AE88" i="58"/>
  <c r="AI98" i="58"/>
  <c r="AF71" i="58"/>
  <c r="AG72" i="58"/>
  <c r="AH73" i="58"/>
  <c r="AI74" i="58"/>
  <c r="AF76" i="58"/>
  <c r="AG78" i="58"/>
  <c r="AH79" i="58"/>
  <c r="AI80" i="58"/>
  <c r="AG82" i="58"/>
  <c r="AH83" i="58"/>
  <c r="AI84" i="58"/>
  <c r="AG88" i="58"/>
  <c r="AH91" i="58"/>
  <c r="AI92" i="58"/>
  <c r="AG94" i="58"/>
  <c r="AH95" i="58"/>
  <c r="AG98" i="58"/>
  <c r="AH99" i="58"/>
  <c r="AI100" i="58"/>
  <c r="AG108" i="58"/>
  <c r="AF88" i="58"/>
  <c r="AF108" i="58"/>
  <c r="AI72" i="58"/>
  <c r="AI78" i="58"/>
  <c r="AI82" i="58"/>
  <c r="AI88" i="58"/>
  <c r="AI94" i="58"/>
  <c r="AE108" i="58"/>
  <c r="AI108" i="58"/>
  <c r="AD88" i="58"/>
  <c r="AD108" i="58"/>
  <c r="AL86" i="57"/>
  <c r="AH84" i="57"/>
  <c r="AH59" i="57"/>
  <c r="AJ77" i="57"/>
  <c r="AL77" i="57"/>
  <c r="AJ78" i="57"/>
  <c r="AL78" i="57"/>
  <c r="AH70" i="57"/>
  <c r="AL76" i="57"/>
  <c r="AO76" i="57" s="1"/>
  <c r="AH60" i="57"/>
  <c r="AG69" i="57"/>
  <c r="AM76" i="57"/>
  <c r="AG60" i="57"/>
  <c r="AD76" i="57"/>
  <c r="AH66" i="57"/>
  <c r="AG70" i="57"/>
  <c r="AH76" i="57"/>
  <c r="AI77" i="57"/>
  <c r="AE77" i="57"/>
  <c r="AH77" i="57"/>
  <c r="AF77" i="57"/>
  <c r="AG77" i="57"/>
  <c r="AD77" i="57"/>
  <c r="AI78" i="57"/>
  <c r="AE78" i="57"/>
  <c r="AH78" i="57"/>
  <c r="AF78" i="57"/>
  <c r="AG78" i="57"/>
  <c r="AD78" i="57"/>
  <c r="AJ79" i="57"/>
  <c r="AK79" i="57"/>
  <c r="AN79" i="57" s="1"/>
  <c r="AL79" i="57"/>
  <c r="AO79" i="57" s="1"/>
  <c r="AD79" i="57"/>
  <c r="AE79" i="57"/>
  <c r="AK63" i="57"/>
  <c r="AL63" i="57"/>
  <c r="AJ63" i="57"/>
  <c r="AM63" i="57" s="1"/>
  <c r="AF79" i="57"/>
  <c r="AK59" i="57"/>
  <c r="AF63" i="57"/>
  <c r="AK64" i="57"/>
  <c r="AN64" i="57" s="1"/>
  <c r="AK86" i="57"/>
  <c r="AK88" i="57"/>
  <c r="AK89" i="57"/>
  <c r="AF59" i="57"/>
  <c r="AJ59" i="57"/>
  <c r="AM59" i="57" s="1"/>
  <c r="AI62" i="57"/>
  <c r="AE63" i="57"/>
  <c r="AI63" i="57"/>
  <c r="AF64" i="57"/>
  <c r="AJ64" i="57"/>
  <c r="AI68" i="57"/>
  <c r="AI72" i="57"/>
  <c r="AK76" i="57"/>
  <c r="AK77" i="57"/>
  <c r="AK78" i="57"/>
  <c r="AI83" i="57"/>
  <c r="AJ86" i="57"/>
  <c r="AJ88" i="57"/>
  <c r="AJ89" i="57"/>
  <c r="AE59" i="57"/>
  <c r="AI59" i="57"/>
  <c r="AO59" i="57" s="1"/>
  <c r="AG61" i="57"/>
  <c r="AH62" i="57"/>
  <c r="AD63" i="57"/>
  <c r="AH63" i="57"/>
  <c r="AE64" i="57"/>
  <c r="AI64" i="57"/>
  <c r="AO64" i="57" s="1"/>
  <c r="AG67" i="57"/>
  <c r="AH68" i="57"/>
  <c r="AI69" i="57"/>
  <c r="AG71" i="57"/>
  <c r="AH72" i="57"/>
  <c r="AI73" i="57"/>
  <c r="AF76" i="57"/>
  <c r="AG79" i="57"/>
  <c r="AH83" i="57"/>
  <c r="AI84" i="57"/>
  <c r="AD59" i="57"/>
  <c r="AD64" i="57"/>
  <c r="AE76" i="57"/>
  <c r="AH53" i="56"/>
  <c r="AG53" i="56"/>
  <c r="AH56" i="56"/>
  <c r="AG56" i="56"/>
  <c r="AI57" i="56"/>
  <c r="AH60" i="56"/>
  <c r="AK62" i="56"/>
  <c r="AL62" i="56"/>
  <c r="AJ62" i="56"/>
  <c r="AM62" i="56" s="1"/>
  <c r="AF62" i="56"/>
  <c r="AK63" i="56"/>
  <c r="AE62" i="56"/>
  <c r="AI62" i="56"/>
  <c r="AF63" i="56"/>
  <c r="AI53" i="56"/>
  <c r="AG57" i="56"/>
  <c r="AH58" i="56"/>
  <c r="AI59" i="56"/>
  <c r="AD62" i="56"/>
  <c r="AH62" i="56"/>
  <c r="AE63" i="56"/>
  <c r="AI63" i="56"/>
  <c r="AO63" i="56" s="1"/>
  <c r="AI58" i="56"/>
  <c r="AJ63" i="56"/>
  <c r="AM63" i="56" s="1"/>
  <c r="AD63" i="56"/>
  <c r="AH40" i="55"/>
  <c r="AG40" i="55"/>
  <c r="AG39" i="55"/>
  <c r="AI41" i="55"/>
  <c r="AK42" i="55"/>
  <c r="AJ42" i="55"/>
  <c r="AL42" i="55"/>
  <c r="AG42" i="55"/>
  <c r="AD42" i="55"/>
  <c r="AF42" i="55"/>
  <c r="AH42" i="55"/>
  <c r="AI42" i="55"/>
  <c r="AE42" i="55"/>
  <c r="AL43" i="55"/>
  <c r="AK43" i="55"/>
  <c r="AN43" i="55" s="1"/>
  <c r="AJ43" i="55"/>
  <c r="AF35" i="55"/>
  <c r="AG35" i="55"/>
  <c r="AH35" i="55"/>
  <c r="AI35" i="55"/>
  <c r="AE35" i="55"/>
  <c r="AF36" i="55"/>
  <c r="AH36" i="55"/>
  <c r="AD36" i="55"/>
  <c r="AI36" i="55"/>
  <c r="AE36" i="55"/>
  <c r="AG36" i="55"/>
  <c r="AM36" i="55" s="1"/>
  <c r="AK37" i="55"/>
  <c r="AN37" i="55" s="1"/>
  <c r="AL37" i="55"/>
  <c r="AE37" i="55"/>
  <c r="AJ37" i="55"/>
  <c r="AM37" i="55" s="1"/>
  <c r="AD37" i="55"/>
  <c r="AL38" i="55"/>
  <c r="AJ38" i="55"/>
  <c r="AK38" i="55"/>
  <c r="AN38" i="55" s="1"/>
  <c r="AF38" i="55"/>
  <c r="AF43" i="55"/>
  <c r="AK36" i="55"/>
  <c r="AI38" i="55"/>
  <c r="AE43" i="55"/>
  <c r="AF37" i="55"/>
  <c r="AG38" i="55"/>
  <c r="AH39" i="55"/>
  <c r="AI40" i="55"/>
  <c r="AG43" i="55"/>
  <c r="AK35" i="55"/>
  <c r="AE38" i="55"/>
  <c r="AI43" i="55"/>
  <c r="AD38" i="55"/>
  <c r="AD43" i="55"/>
  <c r="AL68" i="54"/>
  <c r="AH78" i="54"/>
  <c r="AH68" i="54"/>
  <c r="AE85" i="54"/>
  <c r="AL85" i="54"/>
  <c r="AD85" i="54"/>
  <c r="AL107" i="54"/>
  <c r="AK107" i="54"/>
  <c r="AN107" i="54" s="1"/>
  <c r="AH75" i="54"/>
  <c r="AH95" i="54"/>
  <c r="AH103" i="54"/>
  <c r="AG75" i="54"/>
  <c r="AG95" i="54"/>
  <c r="AG103" i="54"/>
  <c r="AH69" i="54"/>
  <c r="AI76" i="54"/>
  <c r="AH79" i="54"/>
  <c r="AG82" i="54"/>
  <c r="AF85" i="54"/>
  <c r="AH85" i="54"/>
  <c r="AG94" i="54"/>
  <c r="AI96" i="54"/>
  <c r="AH99" i="54"/>
  <c r="AG102" i="54"/>
  <c r="AL104" i="54"/>
  <c r="AI105" i="54"/>
  <c r="AK93" i="54"/>
  <c r="AL93" i="54"/>
  <c r="AJ93" i="54"/>
  <c r="AI104" i="54"/>
  <c r="AE104" i="54"/>
  <c r="AG104" i="54"/>
  <c r="AH104" i="54"/>
  <c r="AN104" i="54" s="1"/>
  <c r="AF104" i="54"/>
  <c r="AD104" i="54"/>
  <c r="AJ105" i="54"/>
  <c r="AL105" i="54"/>
  <c r="AD105" i="54"/>
  <c r="AE105" i="54"/>
  <c r="AK105" i="54"/>
  <c r="AN105" i="54" s="1"/>
  <c r="AK106" i="54"/>
  <c r="AL106" i="54"/>
  <c r="AJ106" i="54"/>
  <c r="AM106" i="54" s="1"/>
  <c r="AJ100" i="54"/>
  <c r="AD100" i="54"/>
  <c r="AE100" i="54"/>
  <c r="AK100" i="54"/>
  <c r="AN100" i="54" s="1"/>
  <c r="AL100" i="54"/>
  <c r="AK72" i="54"/>
  <c r="AJ72" i="54"/>
  <c r="AM72" i="54" s="1"/>
  <c r="AL72" i="54"/>
  <c r="AF100" i="54"/>
  <c r="AF72" i="54"/>
  <c r="AJ68" i="54"/>
  <c r="AE72" i="54"/>
  <c r="AF73" i="54"/>
  <c r="AI77" i="54"/>
  <c r="AI81" i="54"/>
  <c r="AI106" i="54"/>
  <c r="AF107" i="54"/>
  <c r="AE68" i="54"/>
  <c r="AI68" i="54"/>
  <c r="AG70" i="54"/>
  <c r="AH71" i="54"/>
  <c r="AD72" i="54"/>
  <c r="AH72" i="54"/>
  <c r="AE73" i="54"/>
  <c r="AI73" i="54"/>
  <c r="AO73" i="54" s="1"/>
  <c r="AG76" i="54"/>
  <c r="AH77" i="54"/>
  <c r="AI78" i="54"/>
  <c r="AG80" i="54"/>
  <c r="AH81" i="54"/>
  <c r="AI82" i="54"/>
  <c r="AJ85" i="54"/>
  <c r="AM85" i="54" s="1"/>
  <c r="AG88" i="54"/>
  <c r="AH89" i="54"/>
  <c r="AI94" i="54"/>
  <c r="AG96" i="54"/>
  <c r="AH97" i="54"/>
  <c r="AI98" i="54"/>
  <c r="AG100" i="54"/>
  <c r="AH101" i="54"/>
  <c r="AI102" i="54"/>
  <c r="AJ104" i="54"/>
  <c r="AG105" i="54"/>
  <c r="AD106" i="54"/>
  <c r="AH106" i="54"/>
  <c r="AE107" i="54"/>
  <c r="AI107" i="54"/>
  <c r="AK68" i="54"/>
  <c r="AK73" i="54"/>
  <c r="AN73" i="54" s="1"/>
  <c r="AF106" i="54"/>
  <c r="AF68" i="54"/>
  <c r="AI71" i="54"/>
  <c r="AI72" i="54"/>
  <c r="AJ73" i="54"/>
  <c r="AK85" i="54"/>
  <c r="AI89" i="54"/>
  <c r="AI97" i="54"/>
  <c r="AI101" i="54"/>
  <c r="AE106" i="54"/>
  <c r="AJ107" i="54"/>
  <c r="AD68" i="54"/>
  <c r="AD73" i="54"/>
  <c r="AD107" i="54"/>
  <c r="AG100" i="53"/>
  <c r="AH98" i="53"/>
  <c r="AG85" i="53"/>
  <c r="AG72" i="53"/>
  <c r="AH67" i="53"/>
  <c r="AG96" i="53"/>
  <c r="AG67" i="53"/>
  <c r="AH72" i="53"/>
  <c r="AG76" i="53"/>
  <c r="AI83" i="53"/>
  <c r="AH86" i="53"/>
  <c r="AG92" i="53"/>
  <c r="AF93" i="53"/>
  <c r="AG95" i="53"/>
  <c r="AH77" i="53"/>
  <c r="AL92" i="53"/>
  <c r="AO92" i="53" s="1"/>
  <c r="AH96" i="53"/>
  <c r="AG77" i="53"/>
  <c r="AH92" i="53"/>
  <c r="AN92" i="53" s="1"/>
  <c r="AG66" i="53"/>
  <c r="AG75" i="53"/>
  <c r="AI78" i="53"/>
  <c r="AH81" i="53"/>
  <c r="AH83" i="53"/>
  <c r="AG91" i="53"/>
  <c r="AD92" i="53"/>
  <c r="AL97" i="53"/>
  <c r="AI98" i="53"/>
  <c r="AK65" i="53"/>
  <c r="AL65" i="53"/>
  <c r="AJ65" i="53"/>
  <c r="AM65" i="53" s="1"/>
  <c r="AK74" i="53"/>
  <c r="AJ74" i="53"/>
  <c r="AM74" i="53" s="1"/>
  <c r="AL74" i="53"/>
  <c r="AK70" i="53"/>
  <c r="AL70" i="53"/>
  <c r="AJ70" i="53"/>
  <c r="AM70" i="53" s="1"/>
  <c r="AJ69" i="53"/>
  <c r="AK69" i="53"/>
  <c r="AL69" i="53"/>
  <c r="AI97" i="53"/>
  <c r="AE97" i="53"/>
  <c r="AG97" i="53"/>
  <c r="AM97" i="53" s="1"/>
  <c r="AH97" i="53"/>
  <c r="AF97" i="53"/>
  <c r="AD97" i="53"/>
  <c r="AJ98" i="53"/>
  <c r="AL98" i="53"/>
  <c r="AK98" i="53"/>
  <c r="AD98" i="53"/>
  <c r="AE98" i="53"/>
  <c r="AK90" i="53"/>
  <c r="AJ90" i="53"/>
  <c r="AM90" i="53" s="1"/>
  <c r="AL90" i="53"/>
  <c r="AI82" i="53"/>
  <c r="AH82" i="53"/>
  <c r="AG82" i="53"/>
  <c r="AF69" i="53"/>
  <c r="AD69" i="53"/>
  <c r="AE69" i="53"/>
  <c r="AG69" i="53"/>
  <c r="AH69" i="53"/>
  <c r="AI69" i="53"/>
  <c r="AJ93" i="53"/>
  <c r="AD93" i="53"/>
  <c r="AK93" i="53"/>
  <c r="AL93" i="53"/>
  <c r="AO93" i="53" s="1"/>
  <c r="AE93" i="53"/>
  <c r="AF74" i="53"/>
  <c r="AF90" i="53"/>
  <c r="AI65" i="53"/>
  <c r="AE70" i="53"/>
  <c r="AI79" i="53"/>
  <c r="AI84" i="53"/>
  <c r="AE90" i="53"/>
  <c r="AK97" i="53"/>
  <c r="AI99" i="53"/>
  <c r="AD65" i="53"/>
  <c r="AH65" i="53"/>
  <c r="AI66" i="53"/>
  <c r="AG68" i="53"/>
  <c r="AD70" i="53"/>
  <c r="AH70" i="53"/>
  <c r="AI71" i="53"/>
  <c r="AG73" i="53"/>
  <c r="AD74" i="53"/>
  <c r="AH74" i="53"/>
  <c r="AI75" i="53"/>
  <c r="AI76" i="53"/>
  <c r="AG78" i="53"/>
  <c r="AH79" i="53"/>
  <c r="AI80" i="53"/>
  <c r="AG83" i="53"/>
  <c r="AH84" i="53"/>
  <c r="AI85" i="53"/>
  <c r="AG87" i="53"/>
  <c r="AD90" i="53"/>
  <c r="AH90" i="53"/>
  <c r="AI91" i="53"/>
  <c r="AF92" i="53"/>
  <c r="AJ92" i="53"/>
  <c r="AG93" i="53"/>
  <c r="AH94" i="53"/>
  <c r="AI95" i="53"/>
  <c r="AG98" i="53"/>
  <c r="AH99" i="53"/>
  <c r="AI100" i="53"/>
  <c r="AF65" i="53"/>
  <c r="AF70" i="53"/>
  <c r="AE65" i="53"/>
  <c r="AI70" i="53"/>
  <c r="AE74" i="53"/>
  <c r="AI74" i="53"/>
  <c r="AI90" i="53"/>
  <c r="AI94" i="53"/>
  <c r="AE92" i="53"/>
  <c r="AG57" i="52"/>
  <c r="AI51" i="52"/>
  <c r="AH51" i="52"/>
  <c r="AH46" i="52"/>
  <c r="AG46" i="52"/>
  <c r="AG50" i="52"/>
  <c r="AI54" i="52"/>
  <c r="AH57" i="52"/>
  <c r="AK49" i="52"/>
  <c r="AL49" i="52"/>
  <c r="AJ49" i="52"/>
  <c r="AJ58" i="52"/>
  <c r="AL58" i="52"/>
  <c r="AO58" i="52" s="1"/>
  <c r="AD58" i="52"/>
  <c r="AK58" i="52"/>
  <c r="AN58" i="52" s="1"/>
  <c r="AE58" i="52"/>
  <c r="AJ54" i="52"/>
  <c r="AL54" i="52"/>
  <c r="AK54" i="52"/>
  <c r="AD54" i="52"/>
  <c r="AE54" i="52"/>
  <c r="AF58" i="52"/>
  <c r="AK61" i="52"/>
  <c r="AN61" i="52" s="1"/>
  <c r="AJ45" i="52"/>
  <c r="AM45" i="52" s="1"/>
  <c r="AI49" i="52"/>
  <c r="AF50" i="52"/>
  <c r="AI59" i="52"/>
  <c r="AI60" i="52"/>
  <c r="AF61" i="52"/>
  <c r="AE45" i="52"/>
  <c r="AI45" i="52"/>
  <c r="AO45" i="52" s="1"/>
  <c r="AG47" i="52"/>
  <c r="AH48" i="52"/>
  <c r="AD49" i="52"/>
  <c r="AH49" i="52"/>
  <c r="AE50" i="52"/>
  <c r="AI50" i="52"/>
  <c r="AO50" i="52" s="1"/>
  <c r="AG54" i="52"/>
  <c r="AH55" i="52"/>
  <c r="AI56" i="52"/>
  <c r="AG58" i="52"/>
  <c r="AH59" i="52"/>
  <c r="AH60" i="52"/>
  <c r="AE61" i="52"/>
  <c r="AI61" i="52"/>
  <c r="AO61" i="52" s="1"/>
  <c r="AK45" i="52"/>
  <c r="AN45" i="52" s="1"/>
  <c r="AF49" i="52"/>
  <c r="AK50" i="52"/>
  <c r="AN50" i="52" s="1"/>
  <c r="AF45" i="52"/>
  <c r="AI48" i="52"/>
  <c r="AE49" i="52"/>
  <c r="AJ50" i="52"/>
  <c r="AI55" i="52"/>
  <c r="AJ61" i="52"/>
  <c r="AM61" i="52" s="1"/>
  <c r="AD45" i="52"/>
  <c r="AD50" i="52"/>
  <c r="AD61" i="52"/>
  <c r="AD50" i="18"/>
  <c r="AL52" i="18"/>
  <c r="AG50" i="18"/>
  <c r="AE63" i="18"/>
  <c r="AL63" i="18"/>
  <c r="AO63" i="18" s="1"/>
  <c r="AG52" i="18"/>
  <c r="AF63" i="18"/>
  <c r="AH63" i="18"/>
  <c r="AG62" i="18"/>
  <c r="AD63" i="18"/>
  <c r="AI64" i="18"/>
  <c r="AK51" i="18"/>
  <c r="AL51" i="18"/>
  <c r="AJ51" i="18"/>
  <c r="AK67" i="18"/>
  <c r="AL67" i="18"/>
  <c r="AJ67" i="18"/>
  <c r="AH65" i="18"/>
  <c r="AG65" i="18"/>
  <c r="AI65" i="18"/>
  <c r="AK68" i="18"/>
  <c r="AL68" i="18"/>
  <c r="AJ68" i="18"/>
  <c r="AK69" i="18"/>
  <c r="AL69" i="18"/>
  <c r="AJ69" i="18"/>
  <c r="AM69" i="18" s="1"/>
  <c r="AK50" i="18"/>
  <c r="AJ50" i="18"/>
  <c r="AL50" i="18"/>
  <c r="AI59" i="18"/>
  <c r="AG59" i="18"/>
  <c r="AH59" i="18"/>
  <c r="AF67" i="18"/>
  <c r="AF68" i="18"/>
  <c r="AF69" i="18"/>
  <c r="AE50" i="18"/>
  <c r="AF52" i="18"/>
  <c r="AI61" i="18"/>
  <c r="AK63" i="18"/>
  <c r="AH50" i="18"/>
  <c r="AE52" i="18"/>
  <c r="AI52" i="18"/>
  <c r="AG60" i="18"/>
  <c r="AH61" i="18"/>
  <c r="AI62" i="18"/>
  <c r="AJ63" i="18"/>
  <c r="AG64" i="18"/>
  <c r="AH66" i="18"/>
  <c r="AD67" i="18"/>
  <c r="AH67" i="18"/>
  <c r="AD68" i="18"/>
  <c r="AH68" i="18"/>
  <c r="AD69" i="18"/>
  <c r="AH69" i="18"/>
  <c r="AF50" i="18"/>
  <c r="AK52" i="18"/>
  <c r="AN52" i="18" s="1"/>
  <c r="AI50" i="18"/>
  <c r="AJ52" i="18"/>
  <c r="AI66" i="18"/>
  <c r="AE67" i="18"/>
  <c r="AI67" i="18"/>
  <c r="AE68" i="18"/>
  <c r="AI68" i="18"/>
  <c r="AE69" i="18"/>
  <c r="AI69" i="18"/>
  <c r="AD52" i="18"/>
  <c r="AM92" i="53" l="1"/>
  <c r="AM108" i="58"/>
  <c r="AM76" i="58"/>
  <c r="AN76" i="58"/>
  <c r="AN107" i="58"/>
  <c r="AM64" i="57"/>
  <c r="AN63" i="56"/>
  <c r="AO37" i="55"/>
  <c r="AM38" i="55"/>
  <c r="AM43" i="55"/>
  <c r="AM107" i="54"/>
  <c r="AO100" i="54"/>
  <c r="AN93" i="53"/>
  <c r="AM63" i="18"/>
  <c r="AG51" i="18"/>
  <c r="AM51" i="18" s="1"/>
  <c r="AM68" i="18"/>
  <c r="AM67" i="18"/>
  <c r="AE51" i="18"/>
  <c r="AM49" i="52"/>
  <c r="AM98" i="53"/>
  <c r="AL87" i="57"/>
  <c r="AN54" i="52"/>
  <c r="AN98" i="53"/>
  <c r="AF51" i="18"/>
  <c r="AD51" i="18"/>
  <c r="AI51" i="18"/>
  <c r="AO51" i="18" s="1"/>
  <c r="AO85" i="54"/>
  <c r="AN59" i="57"/>
  <c r="AJ87" i="57"/>
  <c r="AN76" i="57"/>
  <c r="AM35" i="55"/>
  <c r="AO35" i="55"/>
  <c r="AO36" i="55"/>
  <c r="AM73" i="54"/>
  <c r="AN106" i="54"/>
  <c r="AM68" i="54"/>
  <c r="AO68" i="54"/>
  <c r="AN85" i="54"/>
  <c r="AN90" i="53"/>
  <c r="AN63" i="18"/>
  <c r="AN68" i="54"/>
  <c r="AO77" i="57"/>
  <c r="AM52" i="18"/>
  <c r="AM50" i="18"/>
  <c r="AO108" i="58"/>
  <c r="AM107" i="58"/>
  <c r="AM78" i="57"/>
  <c r="AN78" i="57"/>
  <c r="AN65" i="59"/>
  <c r="AN55" i="59"/>
  <c r="AM65" i="59"/>
  <c r="AF53" i="59"/>
  <c r="AH53" i="59"/>
  <c r="AN53" i="59" s="1"/>
  <c r="AG53" i="59"/>
  <c r="AM53" i="59" s="1"/>
  <c r="AI53" i="59"/>
  <c r="AO53" i="59" s="1"/>
  <c r="AD53" i="59"/>
  <c r="AE53" i="59"/>
  <c r="AF54" i="59"/>
  <c r="AD54" i="59"/>
  <c r="AG54" i="59"/>
  <c r="AM54" i="59" s="1"/>
  <c r="AI54" i="59"/>
  <c r="AO54" i="59" s="1"/>
  <c r="AH54" i="59"/>
  <c r="AN54" i="59" s="1"/>
  <c r="AE54" i="59"/>
  <c r="AM88" i="58"/>
  <c r="AN75" i="58"/>
  <c r="AM75" i="58"/>
  <c r="AN71" i="58"/>
  <c r="AO88" i="58"/>
  <c r="AM77" i="57"/>
  <c r="AO63" i="57"/>
  <c r="AO78" i="57"/>
  <c r="AM79" i="57"/>
  <c r="AN77" i="57"/>
  <c r="AN63" i="57"/>
  <c r="AO104" i="54"/>
  <c r="AN62" i="56"/>
  <c r="AO62" i="56"/>
  <c r="AO38" i="55"/>
  <c r="AN35" i="55"/>
  <c r="AO42" i="55"/>
  <c r="AM42" i="55"/>
  <c r="AN36" i="55"/>
  <c r="AO43" i="55"/>
  <c r="AN42" i="55"/>
  <c r="AO106" i="54"/>
  <c r="AO105" i="54"/>
  <c r="AO72" i="54"/>
  <c r="AO107" i="54"/>
  <c r="AM105" i="54"/>
  <c r="AM100" i="54"/>
  <c r="AM104" i="54"/>
  <c r="AN72" i="54"/>
  <c r="AO65" i="53"/>
  <c r="AO74" i="53"/>
  <c r="AO70" i="53"/>
  <c r="AN65" i="53"/>
  <c r="AO69" i="53"/>
  <c r="AO98" i="53"/>
  <c r="AN97" i="53"/>
  <c r="AN74" i="53"/>
  <c r="AO97" i="53"/>
  <c r="AO90" i="53"/>
  <c r="AN70" i="53"/>
  <c r="AM69" i="53"/>
  <c r="AM93" i="53"/>
  <c r="AN69" i="53"/>
  <c r="AM54" i="52"/>
  <c r="AM50" i="52"/>
  <c r="AO54" i="52"/>
  <c r="AO49" i="52"/>
  <c r="AM58" i="52"/>
  <c r="AN49" i="52"/>
  <c r="AO52" i="18"/>
  <c r="AN69" i="18"/>
  <c r="AO67" i="18"/>
  <c r="AN67" i="18"/>
  <c r="AO68" i="18"/>
  <c r="AN50" i="18"/>
  <c r="AO50" i="18"/>
  <c r="AN68" i="18"/>
  <c r="AN51" i="18"/>
  <c r="AO69" i="18"/>
  <c r="I89" i="44" l="1"/>
  <c r="H89" i="44"/>
  <c r="K87" i="44"/>
  <c r="K89" i="44" s="1"/>
  <c r="J87" i="44"/>
  <c r="J89" i="44" s="1"/>
  <c r="H87" i="44"/>
  <c r="G87" i="44"/>
  <c r="G89" i="44" s="1"/>
  <c r="E87" i="44"/>
  <c r="D87" i="44"/>
  <c r="D89" i="44" s="1"/>
  <c r="H190" i="35"/>
  <c r="H192" i="35" s="1"/>
  <c r="G190" i="35"/>
  <c r="G192" i="35" s="1"/>
  <c r="E190" i="35"/>
  <c r="E192" i="35" s="1"/>
  <c r="D190" i="35"/>
  <c r="D192" i="35" s="1"/>
  <c r="C190" i="35"/>
  <c r="I190" i="35"/>
  <c r="I192" i="35" s="1"/>
  <c r="B190" i="35"/>
  <c r="B192" i="35" s="1"/>
  <c r="N136" i="14"/>
  <c r="N138" i="14" s="1"/>
  <c r="I136" i="14"/>
  <c r="I138" i="14" s="1"/>
  <c r="M136" i="14"/>
  <c r="M138" i="14" s="1"/>
  <c r="K136" i="14"/>
  <c r="K138" i="14" s="1"/>
  <c r="J136" i="14"/>
  <c r="J138" i="14" s="1"/>
  <c r="H136" i="14"/>
  <c r="G136" i="14"/>
  <c r="G138" i="14" s="1"/>
  <c r="O117" i="8"/>
  <c r="O119" i="8" s="1"/>
  <c r="N117" i="8"/>
  <c r="N119" i="8" s="1"/>
  <c r="K117" i="8"/>
  <c r="J119" i="8"/>
  <c r="Q117" i="8"/>
  <c r="Q119" i="8" s="1"/>
  <c r="AD112" i="8"/>
  <c r="P117" i="8" s="1"/>
  <c r="P119" i="8" s="1"/>
  <c r="M117" i="8"/>
  <c r="M119" i="8" s="1"/>
  <c r="O68" i="12"/>
  <c r="O70" i="12" s="1"/>
  <c r="N68" i="12"/>
  <c r="N70" i="12" s="1"/>
  <c r="P68" i="12"/>
  <c r="P70" i="12" s="1"/>
  <c r="M68" i="12"/>
  <c r="M70" i="12" s="1"/>
  <c r="J68" i="12"/>
  <c r="J70" i="12" s="1"/>
  <c r="K68" i="12"/>
  <c r="K70" i="12" s="1"/>
  <c r="I68" i="12"/>
  <c r="Q68" i="12" l="1"/>
  <c r="I70" i="12"/>
  <c r="P73" i="12" s="1"/>
  <c r="Q70" i="12"/>
  <c r="M87" i="44"/>
  <c r="J190" i="35"/>
  <c r="O136" i="14"/>
  <c r="T117" i="8"/>
  <c r="I24" i="44" l="1"/>
  <c r="T75" i="44"/>
  <c r="T76" i="44"/>
  <c r="T77" i="44"/>
  <c r="T78" i="44"/>
  <c r="T79" i="44"/>
  <c r="T80" i="44"/>
  <c r="T81" i="44"/>
  <c r="T82" i="44"/>
  <c r="T83" i="44"/>
  <c r="T74" i="44"/>
  <c r="I176" i="35"/>
  <c r="H176" i="35"/>
  <c r="I185" i="35"/>
  <c r="H185" i="35"/>
  <c r="I184" i="35"/>
  <c r="H184" i="35"/>
  <c r="I183" i="35"/>
  <c r="H183" i="35"/>
  <c r="I182" i="35"/>
  <c r="H182" i="35"/>
  <c r="I181" i="35"/>
  <c r="H181" i="35"/>
  <c r="I180" i="35"/>
  <c r="H180" i="35"/>
  <c r="I179" i="35"/>
  <c r="H179" i="35"/>
  <c r="I178" i="35"/>
  <c r="H178" i="35"/>
  <c r="I177" i="35"/>
  <c r="H177" i="35"/>
  <c r="I37" i="35"/>
  <c r="I35" i="14"/>
  <c r="B122" i="14"/>
  <c r="C122" i="14"/>
  <c r="B123" i="14"/>
  <c r="C123" i="14"/>
  <c r="B124" i="14"/>
  <c r="C124" i="14"/>
  <c r="B125" i="14"/>
  <c r="C125" i="14"/>
  <c r="B126" i="14"/>
  <c r="C126" i="14"/>
  <c r="B127" i="14"/>
  <c r="C127" i="14"/>
  <c r="B128" i="14"/>
  <c r="C128" i="14"/>
  <c r="B129" i="14"/>
  <c r="C129" i="14"/>
  <c r="B130" i="14"/>
  <c r="C130" i="14"/>
  <c r="C121" i="14"/>
  <c r="B121" i="14"/>
  <c r="C112" i="8"/>
  <c r="T114" i="8" s="1"/>
  <c r="I33" i="8"/>
  <c r="C104" i="8"/>
  <c r="C105" i="8"/>
  <c r="D105" i="8"/>
  <c r="C106" i="8"/>
  <c r="D106" i="8"/>
  <c r="C107" i="8"/>
  <c r="D107" i="8"/>
  <c r="C108" i="8"/>
  <c r="D108" i="8"/>
  <c r="C109" i="8"/>
  <c r="D109" i="8"/>
  <c r="C110" i="8"/>
  <c r="D110" i="8"/>
  <c r="C111" i="8"/>
  <c r="D111" i="8"/>
  <c r="C113" i="8"/>
  <c r="D113" i="8"/>
  <c r="D104" i="8"/>
  <c r="J19" i="12"/>
  <c r="C60" i="12"/>
  <c r="D60" i="12"/>
  <c r="C61" i="12"/>
  <c r="D61" i="12"/>
  <c r="C57" i="12"/>
  <c r="D57" i="12"/>
  <c r="C62" i="12"/>
  <c r="D62" i="12"/>
  <c r="C63" i="12"/>
  <c r="D63" i="12"/>
  <c r="C64" i="12"/>
  <c r="D64" i="12"/>
  <c r="C59" i="12"/>
  <c r="D59" i="12"/>
  <c r="C56" i="12"/>
  <c r="D56" i="12"/>
  <c r="C58" i="12"/>
  <c r="D58" i="12"/>
  <c r="D55" i="12"/>
  <c r="C55" i="12"/>
  <c r="C18" i="44"/>
  <c r="AB41" i="44" s="1"/>
  <c r="AH41" i="44" s="1"/>
  <c r="C25" i="44"/>
  <c r="AC54" i="44" s="1"/>
  <c r="C26" i="44"/>
  <c r="C29" i="44"/>
  <c r="AB66" i="44" s="1"/>
  <c r="C28" i="44"/>
  <c r="AB62" i="44" s="1"/>
  <c r="C27" i="44"/>
  <c r="AB57" i="44" s="1"/>
  <c r="C24" i="44"/>
  <c r="AB52" i="44" s="1"/>
  <c r="C23" i="44"/>
  <c r="AB50" i="44" s="1"/>
  <c r="C22" i="44"/>
  <c r="AB48" i="44" s="1"/>
  <c r="C20" i="44"/>
  <c r="C19" i="44"/>
  <c r="AC44" i="44" s="1"/>
  <c r="C17" i="44"/>
  <c r="AC37" i="44" s="1"/>
  <c r="AL37" i="44" s="1"/>
  <c r="C21" i="44"/>
  <c r="AB47" i="44" s="1"/>
  <c r="AH47" i="44" s="1"/>
  <c r="Q75" i="44"/>
  <c r="Q76" i="44"/>
  <c r="Q77" i="44"/>
  <c r="Q78" i="44"/>
  <c r="Q79" i="44"/>
  <c r="Q80" i="44"/>
  <c r="Q81" i="44"/>
  <c r="Q82" i="44"/>
  <c r="Q83" i="44"/>
  <c r="Q74" i="44"/>
  <c r="O73" i="24"/>
  <c r="AB43" i="44" l="1"/>
  <c r="AB54" i="44"/>
  <c r="AC49" i="44"/>
  <c r="AJ49" i="44" s="1"/>
  <c r="AB67" i="44"/>
  <c r="AH67" i="44" s="1"/>
  <c r="O53" i="55"/>
  <c r="AC53" i="55" s="1"/>
  <c r="AD53" i="55" s="1"/>
  <c r="O100" i="53"/>
  <c r="AC100" i="53" s="1"/>
  <c r="AB51" i="44"/>
  <c r="AC51" i="44"/>
  <c r="AL51" i="44" s="1"/>
  <c r="AB45" i="44"/>
  <c r="AK53" i="55"/>
  <c r="AJ53" i="55"/>
  <c r="AL53" i="55"/>
  <c r="AF53" i="55"/>
  <c r="AE53" i="55"/>
  <c r="AF54" i="44"/>
  <c r="AJ54" i="44"/>
  <c r="M184" i="35"/>
  <c r="N184" i="35"/>
  <c r="P184" i="35"/>
  <c r="AB63" i="44"/>
  <c r="AG63" i="44" s="1"/>
  <c r="AB35" i="44"/>
  <c r="AH35" i="44" s="1"/>
  <c r="AC46" i="44"/>
  <c r="AL46" i="44" s="1"/>
  <c r="AC48" i="44"/>
  <c r="AK48" i="44" s="1"/>
  <c r="AB65" i="44"/>
  <c r="AG65" i="44" s="1"/>
  <c r="AC67" i="44"/>
  <c r="AK67" i="44" s="1"/>
  <c r="AN67" i="44" s="1"/>
  <c r="AC53" i="44"/>
  <c r="AL53" i="44" s="1"/>
  <c r="AB55" i="44"/>
  <c r="AG55" i="44" s="1"/>
  <c r="AC41" i="44"/>
  <c r="AE41" i="44" s="1"/>
  <c r="AC52" i="44"/>
  <c r="AK52" i="44" s="1"/>
  <c r="AC55" i="44"/>
  <c r="AK55" i="44" s="1"/>
  <c r="AB49" i="44"/>
  <c r="AG49" i="44" s="1"/>
  <c r="AC66" i="44"/>
  <c r="AJ66" i="44" s="1"/>
  <c r="AB46" i="44"/>
  <c r="AC50" i="44"/>
  <c r="AF50" i="44" s="1"/>
  <c r="AB53" i="44"/>
  <c r="AD53" i="44" s="1"/>
  <c r="AB61" i="44"/>
  <c r="AC35" i="44"/>
  <c r="AJ35" i="44" s="1"/>
  <c r="AL66" i="44"/>
  <c r="AC65" i="44"/>
  <c r="AC63" i="44"/>
  <c r="AC61" i="44"/>
  <c r="AB60" i="44"/>
  <c r="AG60" i="44" s="1"/>
  <c r="AC64" i="44"/>
  <c r="AC62" i="44"/>
  <c r="AE62" i="44" s="1"/>
  <c r="AC60" i="44"/>
  <c r="AJ60" i="44" s="1"/>
  <c r="AB64" i="44"/>
  <c r="AH64" i="44" s="1"/>
  <c r="AG57" i="44"/>
  <c r="AH57" i="44"/>
  <c r="AB58" i="44"/>
  <c r="AG58" i="44" s="1"/>
  <c r="AC58" i="44"/>
  <c r="AC59" i="44"/>
  <c r="AB56" i="44"/>
  <c r="AH56" i="44" s="1"/>
  <c r="AC57" i="44"/>
  <c r="AF57" i="44" s="1"/>
  <c r="AB59" i="44"/>
  <c r="AI59" i="44" s="1"/>
  <c r="AC56" i="44"/>
  <c r="AJ56" i="44" s="1"/>
  <c r="AK49" i="44"/>
  <c r="AC47" i="44"/>
  <c r="AF47" i="44" s="1"/>
  <c r="AL44" i="44"/>
  <c r="AJ44" i="44"/>
  <c r="AK44" i="44"/>
  <c r="AC45" i="44"/>
  <c r="AE45" i="44" s="1"/>
  <c r="AC43" i="44"/>
  <c r="AF43" i="44" s="1"/>
  <c r="AG43" i="44"/>
  <c r="AC42" i="44"/>
  <c r="AL42" i="44" s="1"/>
  <c r="AB44" i="44"/>
  <c r="AG44" i="44" s="1"/>
  <c r="AH43" i="44"/>
  <c r="AB42" i="44"/>
  <c r="AH42" i="44" s="1"/>
  <c r="AB38" i="44"/>
  <c r="AB39" i="44"/>
  <c r="AB37" i="44"/>
  <c r="AG37" i="44" s="1"/>
  <c r="AB40" i="44"/>
  <c r="AG40" i="44" s="1"/>
  <c r="AC36" i="44"/>
  <c r="AK36" i="44" s="1"/>
  <c r="AC40" i="44"/>
  <c r="AJ40" i="44" s="1"/>
  <c r="AC38" i="44"/>
  <c r="AK38" i="44" s="1"/>
  <c r="AB36" i="44"/>
  <c r="AC39" i="44"/>
  <c r="AF37" i="44"/>
  <c r="AK37" i="44"/>
  <c r="AL67" i="44"/>
  <c r="AG67" i="44"/>
  <c r="AI67" i="44"/>
  <c r="AH63" i="44"/>
  <c r="AI63" i="44"/>
  <c r="AD63" i="44"/>
  <c r="AI57" i="44"/>
  <c r="AD55" i="44"/>
  <c r="AK54" i="44"/>
  <c r="AE54" i="44"/>
  <c r="AL54" i="44"/>
  <c r="AE52" i="44"/>
  <c r="AJ51" i="44"/>
  <c r="AE51" i="44"/>
  <c r="AK51" i="44"/>
  <c r="AF51" i="44"/>
  <c r="AG51" i="44"/>
  <c r="AH51" i="44"/>
  <c r="AI51" i="44"/>
  <c r="AO51" i="44" s="1"/>
  <c r="AD51" i="44"/>
  <c r="AL49" i="44"/>
  <c r="AH49" i="44"/>
  <c r="AF48" i="44"/>
  <c r="AI47" i="44"/>
  <c r="AG47" i="44"/>
  <c r="AJ46" i="44"/>
  <c r="AI43" i="44"/>
  <c r="AD43" i="44"/>
  <c r="AH45" i="44"/>
  <c r="AG45" i="44"/>
  <c r="AJ43" i="44"/>
  <c r="AE43" i="44"/>
  <c r="AI45" i="44"/>
  <c r="AK42" i="44"/>
  <c r="AL41" i="44"/>
  <c r="AG41" i="44"/>
  <c r="AI41" i="44"/>
  <c r="AJ37" i="44"/>
  <c r="AM49" i="44"/>
  <c r="AG66" i="44"/>
  <c r="AG62" i="44"/>
  <c r="AG56" i="44"/>
  <c r="AG54" i="44"/>
  <c r="AG52" i="44"/>
  <c r="AG50" i="44"/>
  <c r="AG48" i="44"/>
  <c r="AH66" i="44"/>
  <c r="AH62" i="44"/>
  <c r="AD62" i="44"/>
  <c r="AH54" i="44"/>
  <c r="AD54" i="44"/>
  <c r="AH52" i="44"/>
  <c r="AH50" i="44"/>
  <c r="AH48" i="44"/>
  <c r="AH46" i="44"/>
  <c r="AI66" i="44"/>
  <c r="AI62" i="44"/>
  <c r="AI54" i="44"/>
  <c r="AI52" i="44"/>
  <c r="AI50" i="44"/>
  <c r="AI48" i="44"/>
  <c r="AI40" i="44"/>
  <c r="AL50" i="44" l="1"/>
  <c r="AE49" i="44"/>
  <c r="AH53" i="44"/>
  <c r="AF46" i="44"/>
  <c r="AO50" i="44"/>
  <c r="AO66" i="44"/>
  <c r="AM44" i="44"/>
  <c r="AK46" i="44"/>
  <c r="AD46" i="44"/>
  <c r="AL60" i="44"/>
  <c r="AL36" i="44"/>
  <c r="AD42" i="44"/>
  <c r="AJ67" i="44"/>
  <c r="AM67" i="44" s="1"/>
  <c r="AE65" i="44"/>
  <c r="AD52" i="44"/>
  <c r="AG46" i="44"/>
  <c r="AL35" i="44"/>
  <c r="AO41" i="44"/>
  <c r="AE67" i="44"/>
  <c r="AE50" i="44"/>
  <c r="AF53" i="44"/>
  <c r="AD61" i="44"/>
  <c r="AD41" i="44"/>
  <c r="AF61" i="44"/>
  <c r="AE66" i="44"/>
  <c r="AK35" i="44"/>
  <c r="AN35" i="44" s="1"/>
  <c r="AI46" i="44"/>
  <c r="AM37" i="44"/>
  <c r="AF41" i="44"/>
  <c r="AE46" i="44"/>
  <c r="AH65" i="44"/>
  <c r="AE61" i="44"/>
  <c r="AF67" i="44"/>
  <c r="AF62" i="44"/>
  <c r="AK66" i="44"/>
  <c r="AN66" i="44" s="1"/>
  <c r="AM66" i="44"/>
  <c r="AH59" i="44"/>
  <c r="AD38" i="44"/>
  <c r="AD66" i="44"/>
  <c r="AN51" i="44"/>
  <c r="AF56" i="44"/>
  <c r="AH61" i="44"/>
  <c r="AF66" i="44"/>
  <c r="AD67" i="44"/>
  <c r="AD37" i="44"/>
  <c r="AI65" i="44"/>
  <c r="AF52" i="44"/>
  <c r="AE63" i="44"/>
  <c r="AN53" i="55"/>
  <c r="AM53" i="55"/>
  <c r="AO53" i="55"/>
  <c r="AL55" i="44"/>
  <c r="AJ55" i="44"/>
  <c r="AM55" i="44" s="1"/>
  <c r="AG53" i="44"/>
  <c r="AI53" i="44"/>
  <c r="AO53" i="44" s="1"/>
  <c r="AG61" i="44"/>
  <c r="AI61" i="44"/>
  <c r="AJ41" i="44"/>
  <c r="AM41" i="44" s="1"/>
  <c r="AK41" i="44"/>
  <c r="AN41" i="44" s="1"/>
  <c r="AD50" i="44"/>
  <c r="AK60" i="44"/>
  <c r="AK50" i="44"/>
  <c r="AN50" i="44" s="1"/>
  <c r="AK53" i="44"/>
  <c r="AM60" i="44"/>
  <c r="AO54" i="44"/>
  <c r="AH44" i="44"/>
  <c r="AN44" i="44" s="1"/>
  <c r="AN52" i="44"/>
  <c r="AH58" i="44"/>
  <c r="AM54" i="44"/>
  <c r="AI49" i="44"/>
  <c r="AO49" i="44" s="1"/>
  <c r="AF49" i="44"/>
  <c r="AF55" i="44"/>
  <c r="AH55" i="44"/>
  <c r="AN55" i="44" s="1"/>
  <c r="AJ57" i="44"/>
  <c r="AM57" i="44" s="1"/>
  <c r="AG59" i="44"/>
  <c r="AE60" i="44"/>
  <c r="AI37" i="44"/>
  <c r="AO37" i="44" s="1"/>
  <c r="AH37" i="44"/>
  <c r="AN37" i="44" s="1"/>
  <c r="AE36" i="44"/>
  <c r="AE40" i="44"/>
  <c r="AN42" i="44"/>
  <c r="AE53" i="44"/>
  <c r="O184" i="35"/>
  <c r="AL48" i="44"/>
  <c r="AO48" i="44" s="1"/>
  <c r="AJ48" i="44"/>
  <c r="AM48" i="44" s="1"/>
  <c r="AL52" i="44"/>
  <c r="AO52" i="44" s="1"/>
  <c r="AJ52" i="44"/>
  <c r="AM52" i="44" s="1"/>
  <c r="AI58" i="44"/>
  <c r="AJ50" i="44"/>
  <c r="AM50" i="44" s="1"/>
  <c r="AE55" i="44"/>
  <c r="AD57" i="44"/>
  <c r="AI44" i="44"/>
  <c r="AO44" i="44" s="1"/>
  <c r="AI64" i="44"/>
  <c r="AD44" i="44"/>
  <c r="AD48" i="44"/>
  <c r="AD58" i="44"/>
  <c r="AD64" i="44"/>
  <c r="AG64" i="44"/>
  <c r="AF45" i="44"/>
  <c r="AD49" i="44"/>
  <c r="AI55" i="44"/>
  <c r="AF60" i="44"/>
  <c r="AF65" i="44"/>
  <c r="AE37" i="44"/>
  <c r="AF38" i="44"/>
  <c r="AE48" i="44"/>
  <c r="AJ53" i="44"/>
  <c r="AJ64" i="44"/>
  <c r="AK64" i="44"/>
  <c r="AN64" i="44" s="1"/>
  <c r="AL64" i="44"/>
  <c r="AK63" i="44"/>
  <c r="AN63" i="44" s="1"/>
  <c r="AL63" i="44"/>
  <c r="AJ63" i="44"/>
  <c r="AM63" i="44" s="1"/>
  <c r="AF63" i="44"/>
  <c r="AH60" i="44"/>
  <c r="AO63" i="44"/>
  <c r="AJ65" i="44"/>
  <c r="AM65" i="44" s="1"/>
  <c r="AL65" i="44"/>
  <c r="AK65" i="44"/>
  <c r="AD65" i="44"/>
  <c r="AF64" i="44"/>
  <c r="AE64" i="44"/>
  <c r="AL62" i="44"/>
  <c r="AO62" i="44" s="1"/>
  <c r="AJ62" i="44"/>
  <c r="AM62" i="44" s="1"/>
  <c r="AK62" i="44"/>
  <c r="AK61" i="44"/>
  <c r="AL61" i="44"/>
  <c r="AJ61" i="44"/>
  <c r="AM61" i="44" s="1"/>
  <c r="AN62" i="44"/>
  <c r="AI60" i="44"/>
  <c r="AD60" i="44"/>
  <c r="AJ59" i="44"/>
  <c r="AL59" i="44"/>
  <c r="AO59" i="44" s="1"/>
  <c r="AK59" i="44"/>
  <c r="AL58" i="44"/>
  <c r="AK58" i="44"/>
  <c r="AJ58" i="44"/>
  <c r="AM58" i="44" s="1"/>
  <c r="AM56" i="44"/>
  <c r="AI56" i="44"/>
  <c r="AD56" i="44"/>
  <c r="AE57" i="44"/>
  <c r="AD59" i="44"/>
  <c r="AF59" i="44"/>
  <c r="AE59" i="44"/>
  <c r="AE56" i="44"/>
  <c r="AL56" i="44"/>
  <c r="AK57" i="44"/>
  <c r="AN57" i="44" s="1"/>
  <c r="AL57" i="44"/>
  <c r="AO57" i="44" s="1"/>
  <c r="AE58" i="44"/>
  <c r="AF58" i="44"/>
  <c r="AK56" i="44"/>
  <c r="AN56" i="44" s="1"/>
  <c r="AM51" i="44"/>
  <c r="AN49" i="44"/>
  <c r="AN48" i="44"/>
  <c r="AL47" i="44"/>
  <c r="AO47" i="44" s="1"/>
  <c r="AK47" i="44"/>
  <c r="AN47" i="44" s="1"/>
  <c r="AJ47" i="44"/>
  <c r="AM47" i="44" s="1"/>
  <c r="AD47" i="44"/>
  <c r="AE47" i="44"/>
  <c r="AO46" i="44"/>
  <c r="AN46" i="44"/>
  <c r="AF44" i="44"/>
  <c r="AE44" i="44"/>
  <c r="AL45" i="44"/>
  <c r="AO45" i="44" s="1"/>
  <c r="AK45" i="44"/>
  <c r="AN45" i="44" s="1"/>
  <c r="AJ45" i="44"/>
  <c r="AM45" i="44" s="1"/>
  <c r="AE42" i="44"/>
  <c r="AI42" i="44"/>
  <c r="AO42" i="44" s="1"/>
  <c r="AF42" i="44"/>
  <c r="AK43" i="44"/>
  <c r="AN43" i="44" s="1"/>
  <c r="AL43" i="44"/>
  <c r="AO43" i="44" s="1"/>
  <c r="AG42" i="44"/>
  <c r="AJ42" i="44"/>
  <c r="AM43" i="44"/>
  <c r="AD45" i="44"/>
  <c r="AL39" i="44"/>
  <c r="AJ39" i="44"/>
  <c r="AK39" i="44"/>
  <c r="AK40" i="44"/>
  <c r="AL40" i="44"/>
  <c r="AO40" i="44" s="1"/>
  <c r="AI38" i="44"/>
  <c r="AH36" i="44"/>
  <c r="AG38" i="44"/>
  <c r="AI36" i="44"/>
  <c r="AO36" i="44" s="1"/>
  <c r="AD36" i="44"/>
  <c r="AD40" i="44"/>
  <c r="AG36" i="44"/>
  <c r="AF36" i="44"/>
  <c r="AD39" i="44"/>
  <c r="AI39" i="44"/>
  <c r="AF39" i="44"/>
  <c r="AG39" i="44"/>
  <c r="AH39" i="44"/>
  <c r="AE39" i="44"/>
  <c r="AL38" i="44"/>
  <c r="AJ38" i="44"/>
  <c r="AH40" i="44"/>
  <c r="AE38" i="44"/>
  <c r="AH38" i="44"/>
  <c r="AJ36" i="44"/>
  <c r="AF40" i="44"/>
  <c r="AN36" i="44"/>
  <c r="AO67" i="44"/>
  <c r="AN54" i="44"/>
  <c r="AM46" i="44"/>
  <c r="AM40" i="44"/>
  <c r="AE35" i="44"/>
  <c r="AD35" i="44"/>
  <c r="AI35" i="44"/>
  <c r="AF35" i="44"/>
  <c r="AG35" i="44"/>
  <c r="AM64" i="44" l="1"/>
  <c r="AO65" i="44"/>
  <c r="AM36" i="44"/>
  <c r="AM38" i="44"/>
  <c r="AN60" i="44"/>
  <c r="AN58" i="44"/>
  <c r="AN61" i="44"/>
  <c r="AO64" i="44"/>
  <c r="AN53" i="44"/>
  <c r="AO35" i="44"/>
  <c r="AO60" i="44"/>
  <c r="AO55" i="44"/>
  <c r="AO58" i="44"/>
  <c r="AO61" i="44"/>
  <c r="AN39" i="44"/>
  <c r="AN59" i="44"/>
  <c r="AN65" i="44"/>
  <c r="AN40" i="44"/>
  <c r="AM42" i="44"/>
  <c r="AM39" i="44"/>
  <c r="AM59" i="44"/>
  <c r="AM53" i="44"/>
  <c r="AO56" i="44"/>
  <c r="AD68" i="44"/>
  <c r="I11" i="44" s="1"/>
  <c r="AF68" i="44"/>
  <c r="K11" i="44" s="1"/>
  <c r="I26" i="44" s="1"/>
  <c r="AE68" i="44"/>
  <c r="J11" i="44" s="1"/>
  <c r="AO38" i="44"/>
  <c r="AN38" i="44"/>
  <c r="AO39" i="44"/>
  <c r="AM35" i="44"/>
  <c r="I29" i="44" l="1"/>
  <c r="E88" i="44"/>
  <c r="Y10" i="44"/>
  <c r="AA10" i="44"/>
  <c r="C59" i="35"/>
  <c r="AC156" i="35" s="1"/>
  <c r="C60" i="35"/>
  <c r="AB157" i="35" s="1"/>
  <c r="C61" i="35"/>
  <c r="AC158" i="35" s="1"/>
  <c r="C62" i="35"/>
  <c r="AB160" i="35" s="1"/>
  <c r="D65" i="35"/>
  <c r="C65" i="35" s="1"/>
  <c r="D64" i="35"/>
  <c r="C64" i="35" s="1"/>
  <c r="AB164" i="35" s="1"/>
  <c r="AH164" i="35" s="1"/>
  <c r="D63" i="35"/>
  <c r="C63" i="35" s="1"/>
  <c r="AB163" i="35" s="1"/>
  <c r="D58" i="35"/>
  <c r="C58" i="35" s="1"/>
  <c r="AB155" i="35" s="1"/>
  <c r="D57" i="35"/>
  <c r="C57" i="35" s="1"/>
  <c r="AC154" i="35" s="1"/>
  <c r="D56" i="35"/>
  <c r="C56" i="35" s="1"/>
  <c r="AC152" i="35" s="1"/>
  <c r="AL152" i="35" s="1"/>
  <c r="D55" i="35"/>
  <c r="C55" i="35" s="1"/>
  <c r="AC150" i="35" s="1"/>
  <c r="D54" i="35"/>
  <c r="C54" i="35" s="1"/>
  <c r="AB147" i="35" s="1"/>
  <c r="AI147" i="35" s="1"/>
  <c r="D53" i="35"/>
  <c r="C53" i="35" s="1"/>
  <c r="AB146" i="35" s="1"/>
  <c r="AG146" i="35" s="1"/>
  <c r="D52" i="35"/>
  <c r="C52" i="35" s="1"/>
  <c r="AB145" i="35" s="1"/>
  <c r="AI145" i="35" s="1"/>
  <c r="D51" i="35"/>
  <c r="C51" i="35" s="1"/>
  <c r="AB140" i="35" s="1"/>
  <c r="AG140" i="35" s="1"/>
  <c r="D50" i="35"/>
  <c r="C50" i="35" s="1"/>
  <c r="C45" i="35"/>
  <c r="AB124" i="35" s="1"/>
  <c r="AH124" i="35" s="1"/>
  <c r="C46" i="35"/>
  <c r="AB125" i="35" s="1"/>
  <c r="C47" i="35"/>
  <c r="AB126" i="35" s="1"/>
  <c r="C33" i="35"/>
  <c r="AB93" i="35" s="1"/>
  <c r="AI93" i="35" s="1"/>
  <c r="C34" i="35"/>
  <c r="AB94" i="35" s="1"/>
  <c r="AH94" i="35" s="1"/>
  <c r="C35" i="35"/>
  <c r="AC95" i="35" s="1"/>
  <c r="AL95" i="35" s="1"/>
  <c r="D49" i="35"/>
  <c r="C49" i="35" s="1"/>
  <c r="AB131" i="35" s="1"/>
  <c r="D48" i="35"/>
  <c r="C48" i="35" s="1"/>
  <c r="AB127" i="35" s="1"/>
  <c r="AI127" i="35" s="1"/>
  <c r="D44" i="35"/>
  <c r="C44" i="35" s="1"/>
  <c r="AB123" i="35" s="1"/>
  <c r="AI123" i="35" s="1"/>
  <c r="D43" i="35"/>
  <c r="C43" i="35" s="1"/>
  <c r="AB120" i="35" s="1"/>
  <c r="AH120" i="35" s="1"/>
  <c r="D42" i="35"/>
  <c r="C42" i="35" s="1"/>
  <c r="AB116" i="35" s="1"/>
  <c r="AI116" i="35" s="1"/>
  <c r="D41" i="35"/>
  <c r="C41" i="35" s="1"/>
  <c r="AB115" i="35" s="1"/>
  <c r="AI115" i="35" s="1"/>
  <c r="D40" i="35"/>
  <c r="C40" i="35" s="1"/>
  <c r="AB111" i="35" s="1"/>
  <c r="D39" i="35"/>
  <c r="C39" i="35" s="1"/>
  <c r="AB109" i="35" s="1"/>
  <c r="AI109" i="35" s="1"/>
  <c r="D38" i="35"/>
  <c r="C38" i="35" s="1"/>
  <c r="AC105" i="35" s="1"/>
  <c r="AK105" i="35" s="1"/>
  <c r="C32" i="8"/>
  <c r="C33" i="8"/>
  <c r="C34" i="8"/>
  <c r="C35" i="8"/>
  <c r="C36" i="8"/>
  <c r="C37" i="8"/>
  <c r="C31" i="8"/>
  <c r="C18" i="8"/>
  <c r="C19" i="8"/>
  <c r="C20" i="8"/>
  <c r="C21" i="8"/>
  <c r="C22" i="8"/>
  <c r="C23" i="8"/>
  <c r="C24" i="8"/>
  <c r="C25" i="8"/>
  <c r="C26" i="8"/>
  <c r="C27" i="8"/>
  <c r="C28" i="8"/>
  <c r="C29" i="8"/>
  <c r="C30" i="8"/>
  <c r="C17" i="8"/>
  <c r="D37" i="35"/>
  <c r="C37" i="35" s="1"/>
  <c r="D36" i="35"/>
  <c r="C36" i="35" s="1"/>
  <c r="AB96" i="35" s="1"/>
  <c r="D32" i="35"/>
  <c r="C32" i="35" s="1"/>
  <c r="AB90" i="35" s="1"/>
  <c r="AI90" i="35" s="1"/>
  <c r="D31" i="35"/>
  <c r="C31" i="35" s="1"/>
  <c r="AB89" i="35" s="1"/>
  <c r="AI89" i="35" s="1"/>
  <c r="D30" i="35"/>
  <c r="C30" i="35" s="1"/>
  <c r="AB85" i="35" s="1"/>
  <c r="D29" i="35"/>
  <c r="C29" i="35" s="1"/>
  <c r="AB84" i="35" s="1"/>
  <c r="D28" i="35"/>
  <c r="C28" i="35" s="1"/>
  <c r="AB83" i="35" s="1"/>
  <c r="AG83" i="35" s="1"/>
  <c r="D27" i="35"/>
  <c r="C27" i="35" s="1"/>
  <c r="AB78" i="35" s="1"/>
  <c r="D26" i="35"/>
  <c r="C26" i="35" s="1"/>
  <c r="AB75" i="35" s="1"/>
  <c r="AI75" i="35" s="1"/>
  <c r="D45" i="14"/>
  <c r="C45" i="14" s="1"/>
  <c r="D44" i="14"/>
  <c r="C44" i="14" s="1"/>
  <c r="D43" i="14"/>
  <c r="C43" i="14" s="1"/>
  <c r="D42" i="14"/>
  <c r="C42" i="14" s="1"/>
  <c r="D41" i="14"/>
  <c r="C41" i="14" s="1"/>
  <c r="D40" i="14"/>
  <c r="C40" i="14" s="1"/>
  <c r="D39" i="14"/>
  <c r="C39" i="14" s="1"/>
  <c r="D38" i="14"/>
  <c r="C38" i="14" s="1"/>
  <c r="D37" i="14"/>
  <c r="C37" i="14" s="1"/>
  <c r="D36" i="14"/>
  <c r="C36" i="14" s="1"/>
  <c r="D35" i="14"/>
  <c r="C35" i="14" s="1"/>
  <c r="D34" i="14"/>
  <c r="C34" i="14" s="1"/>
  <c r="O79" i="24"/>
  <c r="O78" i="24"/>
  <c r="O69" i="59" s="1"/>
  <c r="AC69" i="59" s="1"/>
  <c r="O45" i="24"/>
  <c r="O36" i="24"/>
  <c r="O92" i="58" s="1"/>
  <c r="AC92" i="58" s="1"/>
  <c r="O35" i="24"/>
  <c r="O91" i="58" s="1"/>
  <c r="AC91" i="58" s="1"/>
  <c r="O34" i="24"/>
  <c r="O90" i="58" s="1"/>
  <c r="AC90" i="58" s="1"/>
  <c r="O33" i="24"/>
  <c r="O89" i="58" s="1"/>
  <c r="AC89" i="58" s="1"/>
  <c r="O49" i="24"/>
  <c r="O48" i="24"/>
  <c r="O47" i="24"/>
  <c r="O46" i="24"/>
  <c r="O65" i="24"/>
  <c r="O85" i="57" s="1"/>
  <c r="AC85" i="57" s="1"/>
  <c r="O83" i="24"/>
  <c r="O84" i="24"/>
  <c r="O82" i="24"/>
  <c r="O87" i="24"/>
  <c r="O88" i="24"/>
  <c r="O89" i="24"/>
  <c r="O94" i="24"/>
  <c r="O58" i="24"/>
  <c r="O57" i="24"/>
  <c r="O55" i="24"/>
  <c r="O54" i="24"/>
  <c r="O53" i="24"/>
  <c r="O52" i="24"/>
  <c r="O51" i="24"/>
  <c r="O50" i="24"/>
  <c r="O17" i="24"/>
  <c r="O39" i="24"/>
  <c r="O38" i="24"/>
  <c r="O37" i="24"/>
  <c r="O76" i="24"/>
  <c r="O81" i="24"/>
  <c r="O93" i="58" s="1"/>
  <c r="AC93" i="58" s="1"/>
  <c r="O113" i="24"/>
  <c r="O80" i="24"/>
  <c r="O56" i="24"/>
  <c r="O80" i="57" s="1"/>
  <c r="AC80" i="57" s="1"/>
  <c r="O64" i="24"/>
  <c r="O84" i="57" s="1"/>
  <c r="AC84" i="57" s="1"/>
  <c r="O74" i="24"/>
  <c r="O76" i="56" s="1"/>
  <c r="AC76" i="56" s="1"/>
  <c r="O59" i="24"/>
  <c r="O18" i="24"/>
  <c r="O66" i="18" s="1"/>
  <c r="AC66" i="18" s="1"/>
  <c r="O75" i="24"/>
  <c r="O179" i="54" s="1"/>
  <c r="AC179" i="54" s="1"/>
  <c r="O22" i="24"/>
  <c r="O77" i="24"/>
  <c r="O91" i="53" s="1"/>
  <c r="AC91" i="53" s="1"/>
  <c r="O60" i="24"/>
  <c r="O82" i="53" s="1"/>
  <c r="AC82" i="53" s="1"/>
  <c r="O25" i="24"/>
  <c r="O24" i="24"/>
  <c r="O23" i="24"/>
  <c r="O44" i="24"/>
  <c r="O43" i="24"/>
  <c r="O42" i="24"/>
  <c r="O41" i="24"/>
  <c r="O31" i="24"/>
  <c r="O30" i="24"/>
  <c r="O29" i="24"/>
  <c r="O28" i="24"/>
  <c r="O27" i="24"/>
  <c r="O61" i="24"/>
  <c r="O75" i="60" s="1"/>
  <c r="AC75" i="60" s="1"/>
  <c r="O16" i="24"/>
  <c r="O32" i="24"/>
  <c r="O11" i="24"/>
  <c r="O14" i="24"/>
  <c r="O64" i="59" s="1"/>
  <c r="AC64" i="59" s="1"/>
  <c r="O13" i="24"/>
  <c r="O63" i="59" s="1"/>
  <c r="AC63" i="59" s="1"/>
  <c r="O12" i="24"/>
  <c r="O62" i="59" s="1"/>
  <c r="AC62" i="59" s="1"/>
  <c r="O8" i="24"/>
  <c r="O7" i="24"/>
  <c r="O6" i="24"/>
  <c r="C13" i="12"/>
  <c r="AB29" i="12" s="1"/>
  <c r="AF62" i="59" l="1"/>
  <c r="AJ62" i="59"/>
  <c r="AM62" i="59" s="1"/>
  <c r="AK62" i="59"/>
  <c r="AN62" i="59" s="1"/>
  <c r="AD62" i="59"/>
  <c r="AE62" i="59"/>
  <c r="AL62" i="59"/>
  <c r="AO62" i="59" s="1"/>
  <c r="O66" i="57"/>
  <c r="AC66" i="57" s="1"/>
  <c r="O78" i="58"/>
  <c r="AC78" i="58" s="1"/>
  <c r="O86" i="60"/>
  <c r="AC86" i="60" s="1"/>
  <c r="O99" i="58"/>
  <c r="AC99" i="58" s="1"/>
  <c r="O82" i="56"/>
  <c r="AC82" i="56" s="1"/>
  <c r="O59" i="56"/>
  <c r="AC59" i="56" s="1"/>
  <c r="AK80" i="57"/>
  <c r="AL80" i="57"/>
  <c r="AJ80" i="57"/>
  <c r="O94" i="58"/>
  <c r="AC94" i="58" s="1"/>
  <c r="O53" i="56"/>
  <c r="AC53" i="56" s="1"/>
  <c r="O68" i="60"/>
  <c r="AC68" i="60" s="1"/>
  <c r="O68" i="59"/>
  <c r="AC68" i="59" s="1"/>
  <c r="O73" i="56"/>
  <c r="AC73" i="56" s="1"/>
  <c r="O50" i="56"/>
  <c r="AC50" i="56" s="1"/>
  <c r="O77" i="60"/>
  <c r="AC77" i="60" s="1"/>
  <c r="O78" i="56"/>
  <c r="AC78" i="56" s="1"/>
  <c r="O55" i="56"/>
  <c r="AC55" i="56" s="1"/>
  <c r="AL85" i="57"/>
  <c r="AJ85" i="57"/>
  <c r="AK85" i="57"/>
  <c r="AD92" i="58"/>
  <c r="AK92" i="58"/>
  <c r="AN92" i="58" s="1"/>
  <c r="AL92" i="58"/>
  <c r="AO92" i="58" s="1"/>
  <c r="AE92" i="58"/>
  <c r="AJ92" i="58"/>
  <c r="AM92" i="58" s="1"/>
  <c r="AF92" i="58"/>
  <c r="AB100" i="35"/>
  <c r="AB99" i="35"/>
  <c r="AI99" i="35" s="1"/>
  <c r="AB102" i="35"/>
  <c r="AH102" i="35" s="1"/>
  <c r="AB98" i="35"/>
  <c r="AI98" i="35" s="1"/>
  <c r="AB101" i="35"/>
  <c r="AI101" i="35" s="1"/>
  <c r="AB97" i="35"/>
  <c r="AB78" i="8"/>
  <c r="AC78" i="8"/>
  <c r="AB67" i="8"/>
  <c r="AB69" i="8"/>
  <c r="AC66" i="8"/>
  <c r="AB68" i="8"/>
  <c r="AC69" i="8"/>
  <c r="AB66" i="8"/>
  <c r="AG66" i="8" s="1"/>
  <c r="AC68" i="8"/>
  <c r="AC67" i="8"/>
  <c r="AL67" i="8" s="1"/>
  <c r="AB55" i="8"/>
  <c r="AC55" i="8"/>
  <c r="AB98" i="8"/>
  <c r="AC98" i="8"/>
  <c r="AC91" i="8"/>
  <c r="AB91" i="8"/>
  <c r="AB88" i="8"/>
  <c r="AB89" i="8"/>
  <c r="AC88" i="8"/>
  <c r="AC89" i="8"/>
  <c r="AC90" i="8"/>
  <c r="AB90" i="8"/>
  <c r="AB170" i="35"/>
  <c r="AC170" i="35"/>
  <c r="AB171" i="35"/>
  <c r="AC171" i="35"/>
  <c r="AC84" i="35"/>
  <c r="AC107" i="35"/>
  <c r="AC117" i="35"/>
  <c r="AC126" i="35"/>
  <c r="AC133" i="35"/>
  <c r="AC144" i="35"/>
  <c r="AC79" i="35"/>
  <c r="AB91" i="35"/>
  <c r="AI91" i="35" s="1"/>
  <c r="AB106" i="35"/>
  <c r="AG106" i="35" s="1"/>
  <c r="AB128" i="35"/>
  <c r="AH128" i="35" s="1"/>
  <c r="AB142" i="35"/>
  <c r="AG142" i="35" s="1"/>
  <c r="AB152" i="35"/>
  <c r="AH152" i="35" s="1"/>
  <c r="AB158" i="35"/>
  <c r="AG158" i="35" s="1"/>
  <c r="O83" i="58"/>
  <c r="AC83" i="58" s="1"/>
  <c r="O83" i="56"/>
  <c r="AC83" i="56" s="1"/>
  <c r="O60" i="56"/>
  <c r="AC60" i="56" s="1"/>
  <c r="O71" i="57"/>
  <c r="AC71" i="57" s="1"/>
  <c r="O70" i="57"/>
  <c r="AC70" i="57" s="1"/>
  <c r="O82" i="58"/>
  <c r="AC82" i="58" s="1"/>
  <c r="O88" i="60"/>
  <c r="AC88" i="60" s="1"/>
  <c r="O60" i="57"/>
  <c r="AC60" i="57" s="1"/>
  <c r="O63" i="60"/>
  <c r="AC63" i="60" s="1"/>
  <c r="O57" i="59"/>
  <c r="AC57" i="59" s="1"/>
  <c r="O73" i="59"/>
  <c r="AC73" i="59" s="1"/>
  <c r="O72" i="58"/>
  <c r="AC72" i="58" s="1"/>
  <c r="O102" i="58"/>
  <c r="AC102" i="58" s="1"/>
  <c r="AL63" i="59"/>
  <c r="AO63" i="59" s="1"/>
  <c r="AE63" i="59"/>
  <c r="AD63" i="59"/>
  <c r="AJ63" i="59"/>
  <c r="AM63" i="59" s="1"/>
  <c r="AK63" i="59"/>
  <c r="AN63" i="59" s="1"/>
  <c r="AF63" i="59"/>
  <c r="O74" i="60"/>
  <c r="AC74" i="60" s="1"/>
  <c r="O95" i="58"/>
  <c r="AC95" i="58" s="1"/>
  <c r="O66" i="59"/>
  <c r="AC66" i="59" s="1"/>
  <c r="O79" i="58"/>
  <c r="AC79" i="58" s="1"/>
  <c r="O67" i="57"/>
  <c r="AC67" i="57" s="1"/>
  <c r="O83" i="60"/>
  <c r="AC83" i="60" s="1"/>
  <c r="O79" i="56"/>
  <c r="AC79" i="56" s="1"/>
  <c r="O56" i="56"/>
  <c r="AC56" i="56" s="1"/>
  <c r="O96" i="58"/>
  <c r="AC96" i="58" s="1"/>
  <c r="O85" i="58"/>
  <c r="AC85" i="58" s="1"/>
  <c r="O69" i="60"/>
  <c r="AC69" i="60" s="1"/>
  <c r="O73" i="57"/>
  <c r="AC73" i="57" s="1"/>
  <c r="O101" i="53"/>
  <c r="AC101" i="53" s="1"/>
  <c r="O81" i="60"/>
  <c r="AC81" i="60" s="1"/>
  <c r="O128" i="54"/>
  <c r="AC128" i="54" s="1"/>
  <c r="O81" i="57"/>
  <c r="AC81" i="57" s="1"/>
  <c r="O70" i="56"/>
  <c r="AC70" i="56" s="1"/>
  <c r="O47" i="56"/>
  <c r="AC47" i="56" s="1"/>
  <c r="O74" i="56"/>
  <c r="AC74" i="56" s="1"/>
  <c r="O51" i="56"/>
  <c r="AC51" i="56" s="1"/>
  <c r="AL89" i="58"/>
  <c r="AJ89" i="58"/>
  <c r="AK89" i="58"/>
  <c r="O100" i="58"/>
  <c r="AC100" i="58" s="1"/>
  <c r="O83" i="57"/>
  <c r="AC83" i="57" s="1"/>
  <c r="AC45" i="8"/>
  <c r="AB44" i="8"/>
  <c r="AB46" i="8"/>
  <c r="AB48" i="8"/>
  <c r="AC49" i="8"/>
  <c r="AC44" i="8"/>
  <c r="AC47" i="8"/>
  <c r="AC48" i="8"/>
  <c r="AB45" i="8"/>
  <c r="AB49" i="8"/>
  <c r="AC46" i="8"/>
  <c r="AB47" i="8"/>
  <c r="AC72" i="8"/>
  <c r="AC74" i="8"/>
  <c r="AC77" i="8"/>
  <c r="AB75" i="8"/>
  <c r="AC75" i="8"/>
  <c r="AB77" i="8"/>
  <c r="AB74" i="8"/>
  <c r="AB72" i="8"/>
  <c r="AB76" i="8"/>
  <c r="AC76" i="8"/>
  <c r="AC73" i="8"/>
  <c r="AB73" i="8"/>
  <c r="AC62" i="8"/>
  <c r="AB63" i="8"/>
  <c r="AC65" i="8"/>
  <c r="AC63" i="8"/>
  <c r="AB65" i="8"/>
  <c r="AB64" i="8"/>
  <c r="AB62" i="8"/>
  <c r="AC64" i="8"/>
  <c r="AB54" i="8"/>
  <c r="AC54" i="8"/>
  <c r="AB97" i="8"/>
  <c r="AC97" i="8"/>
  <c r="AC85" i="8"/>
  <c r="AC87" i="8"/>
  <c r="AB82" i="8"/>
  <c r="AB87" i="8"/>
  <c r="AC86" i="8"/>
  <c r="AB86" i="8"/>
  <c r="AB83" i="8"/>
  <c r="AC82" i="8"/>
  <c r="AB85" i="8"/>
  <c r="AB84" i="8"/>
  <c r="AC83" i="8"/>
  <c r="AC84" i="8"/>
  <c r="AB139" i="35"/>
  <c r="AI139" i="35" s="1"/>
  <c r="AB135" i="35"/>
  <c r="AI135" i="35" s="1"/>
  <c r="AB138" i="35"/>
  <c r="AH138" i="35" s="1"/>
  <c r="AB134" i="35"/>
  <c r="AI134" i="35" s="1"/>
  <c r="AB137" i="35"/>
  <c r="AI137" i="35" s="1"/>
  <c r="AB136" i="35"/>
  <c r="AI136" i="35" s="1"/>
  <c r="AC72" i="35"/>
  <c r="AC92" i="35"/>
  <c r="AC103" i="35"/>
  <c r="AK103" i="35" s="1"/>
  <c r="AC109" i="35"/>
  <c r="AB118" i="35"/>
  <c r="AC129" i="35"/>
  <c r="AC148" i="35"/>
  <c r="AK148" i="35" s="1"/>
  <c r="AB81" i="35"/>
  <c r="AI81" i="35" s="1"/>
  <c r="AB95" i="35"/>
  <c r="AI95" i="35" s="1"/>
  <c r="AB104" i="35"/>
  <c r="AI104" i="35" s="1"/>
  <c r="AB117" i="35"/>
  <c r="AI117" i="35" s="1"/>
  <c r="AB141" i="35"/>
  <c r="AB148" i="35"/>
  <c r="AG148" i="35" s="1"/>
  <c r="AB153" i="35"/>
  <c r="AI153" i="35" s="1"/>
  <c r="AC163" i="35"/>
  <c r="AJ163" i="35" s="1"/>
  <c r="AJ64" i="59"/>
  <c r="AM64" i="59" s="1"/>
  <c r="AK64" i="59"/>
  <c r="AN64" i="59" s="1"/>
  <c r="AL64" i="59"/>
  <c r="AO64" i="59" s="1"/>
  <c r="AF64" i="59"/>
  <c r="AE64" i="59"/>
  <c r="AD64" i="59"/>
  <c r="AD75" i="60"/>
  <c r="AL75" i="60"/>
  <c r="AO75" i="60" s="1"/>
  <c r="AE75" i="60"/>
  <c r="AJ75" i="60"/>
  <c r="AM75" i="60" s="1"/>
  <c r="AK75" i="60"/>
  <c r="AN75" i="60" s="1"/>
  <c r="AF75" i="60"/>
  <c r="O68" i="57"/>
  <c r="AC68" i="57" s="1"/>
  <c r="O80" i="58"/>
  <c r="AC80" i="58" s="1"/>
  <c r="O84" i="60"/>
  <c r="AC84" i="60" s="1"/>
  <c r="O97" i="58"/>
  <c r="AC97" i="58" s="1"/>
  <c r="O80" i="56"/>
  <c r="AC80" i="56" s="1"/>
  <c r="O57" i="56"/>
  <c r="AC57" i="56" s="1"/>
  <c r="O70" i="60"/>
  <c r="AC70" i="60" s="1"/>
  <c r="O74" i="57"/>
  <c r="AC74" i="57" s="1"/>
  <c r="O86" i="58"/>
  <c r="AC86" i="58" s="1"/>
  <c r="O77" i="58"/>
  <c r="AC77" i="58" s="1"/>
  <c r="O73" i="60"/>
  <c r="AC73" i="60" s="1"/>
  <c r="O65" i="57"/>
  <c r="AC65" i="57" s="1"/>
  <c r="AJ76" i="56"/>
  <c r="AM76" i="56" s="1"/>
  <c r="AL76" i="56"/>
  <c r="AO76" i="56" s="1"/>
  <c r="AK76" i="56"/>
  <c r="AN76" i="56" s="1"/>
  <c r="AF76" i="56"/>
  <c r="AD76" i="56"/>
  <c r="AE76" i="56"/>
  <c r="O82" i="60"/>
  <c r="AC82" i="60" s="1"/>
  <c r="O71" i="59"/>
  <c r="AC71" i="59" s="1"/>
  <c r="O82" i="57"/>
  <c r="AC82" i="57" s="1"/>
  <c r="O71" i="56"/>
  <c r="AC71" i="56" s="1"/>
  <c r="O48" i="56"/>
  <c r="AC48" i="56" s="1"/>
  <c r="O75" i="56"/>
  <c r="AC75" i="56" s="1"/>
  <c r="O52" i="56"/>
  <c r="AC52" i="56" s="1"/>
  <c r="AK90" i="58"/>
  <c r="AJ90" i="58"/>
  <c r="AL90" i="58"/>
  <c r="AK69" i="59"/>
  <c r="AJ69" i="59"/>
  <c r="AL69" i="59"/>
  <c r="AB79" i="8"/>
  <c r="AC79" i="8"/>
  <c r="AB71" i="8"/>
  <c r="AC71" i="8"/>
  <c r="AC80" i="8"/>
  <c r="AB80" i="8"/>
  <c r="AB50" i="8"/>
  <c r="AC51" i="8"/>
  <c r="AC53" i="8"/>
  <c r="AB52" i="8"/>
  <c r="AC52" i="8"/>
  <c r="AB53" i="8"/>
  <c r="AC50" i="8"/>
  <c r="AB51" i="8"/>
  <c r="AC96" i="8"/>
  <c r="AB96" i="8"/>
  <c r="AD158" i="35"/>
  <c r="AC80" i="35"/>
  <c r="AC104" i="35"/>
  <c r="AD104" i="35" s="1"/>
  <c r="AC110" i="35"/>
  <c r="AC119" i="35"/>
  <c r="AB130" i="35"/>
  <c r="AC140" i="35"/>
  <c r="AC157" i="35"/>
  <c r="AB76" i="35"/>
  <c r="AB80" i="35"/>
  <c r="AI80" i="35" s="1"/>
  <c r="AB121" i="35"/>
  <c r="AI121" i="35" s="1"/>
  <c r="AC145" i="35"/>
  <c r="AL145" i="35" s="1"/>
  <c r="AB151" i="35"/>
  <c r="AI151" i="35" s="1"/>
  <c r="AB154" i="35"/>
  <c r="AI154" i="35" s="1"/>
  <c r="O64" i="60"/>
  <c r="AC64" i="60" s="1"/>
  <c r="O73" i="58"/>
  <c r="AC73" i="58" s="1"/>
  <c r="O103" i="58"/>
  <c r="AC103" i="58" s="1"/>
  <c r="O89" i="60"/>
  <c r="AC89" i="60" s="1"/>
  <c r="O58" i="59"/>
  <c r="AC58" i="59" s="1"/>
  <c r="O74" i="59"/>
  <c r="AC74" i="59" s="1"/>
  <c r="O61" i="57"/>
  <c r="AC61" i="57" s="1"/>
  <c r="O90" i="60"/>
  <c r="AC90" i="60" s="1"/>
  <c r="O62" i="57"/>
  <c r="AC62" i="57" s="1"/>
  <c r="O65" i="60"/>
  <c r="AC65" i="60" s="1"/>
  <c r="O59" i="59"/>
  <c r="AC59" i="59" s="1"/>
  <c r="O75" i="59"/>
  <c r="AC75" i="59" s="1"/>
  <c r="O74" i="58"/>
  <c r="AC74" i="58" s="1"/>
  <c r="O104" i="58"/>
  <c r="AC104" i="58" s="1"/>
  <c r="O67" i="59"/>
  <c r="AC67" i="59" s="1"/>
  <c r="O72" i="57"/>
  <c r="AC72" i="57" s="1"/>
  <c r="O84" i="58"/>
  <c r="AC84" i="58" s="1"/>
  <c r="O84" i="56"/>
  <c r="AC84" i="56" s="1"/>
  <c r="O61" i="56"/>
  <c r="AC61" i="56" s="1"/>
  <c r="O81" i="58"/>
  <c r="AC81" i="58" s="1"/>
  <c r="O69" i="57"/>
  <c r="AC69" i="57" s="1"/>
  <c r="O85" i="60"/>
  <c r="AC85" i="60" s="1"/>
  <c r="O81" i="56"/>
  <c r="AC81" i="56" s="1"/>
  <c r="O98" i="58"/>
  <c r="AC98" i="58" s="1"/>
  <c r="O58" i="56"/>
  <c r="AC58" i="56" s="1"/>
  <c r="O87" i="58"/>
  <c r="AC87" i="58" s="1"/>
  <c r="O71" i="60"/>
  <c r="AC71" i="60" s="1"/>
  <c r="O75" i="57"/>
  <c r="AC75" i="57" s="1"/>
  <c r="AL84" i="57"/>
  <c r="AO84" i="57" s="1"/>
  <c r="AF84" i="57"/>
  <c r="AK84" i="57"/>
  <c r="AN84" i="57" s="1"/>
  <c r="AJ84" i="57"/>
  <c r="AM84" i="57" s="1"/>
  <c r="AD84" i="57"/>
  <c r="AE84" i="57"/>
  <c r="AD93" i="58"/>
  <c r="AF93" i="58"/>
  <c r="AJ93" i="58"/>
  <c r="AM93" i="58" s="1"/>
  <c r="AL93" i="58"/>
  <c r="AO93" i="58" s="1"/>
  <c r="AK93" i="58"/>
  <c r="AN93" i="58" s="1"/>
  <c r="AE93" i="58"/>
  <c r="O72" i="56"/>
  <c r="AC72" i="56" s="1"/>
  <c r="O49" i="56"/>
  <c r="AC49" i="56" s="1"/>
  <c r="O76" i="60"/>
  <c r="AC76" i="60" s="1"/>
  <c r="O77" i="56"/>
  <c r="AC77" i="56" s="1"/>
  <c r="O54" i="56"/>
  <c r="AC54" i="56" s="1"/>
  <c r="AK91" i="58"/>
  <c r="AN91" i="58" s="1"/>
  <c r="AJ91" i="58"/>
  <c r="AM91" i="58" s="1"/>
  <c r="AF91" i="58"/>
  <c r="AE91" i="58"/>
  <c r="AL91" i="58"/>
  <c r="AO91" i="58" s="1"/>
  <c r="AD91" i="58"/>
  <c r="O127" i="54"/>
  <c r="AC127" i="54" s="1"/>
  <c r="O70" i="59"/>
  <c r="AC70" i="59" s="1"/>
  <c r="AC70" i="8"/>
  <c r="AB70" i="8"/>
  <c r="AG70" i="8" s="1"/>
  <c r="AB61" i="8"/>
  <c r="AC61" i="8"/>
  <c r="AB57" i="8"/>
  <c r="AC60" i="8"/>
  <c r="AB59" i="8"/>
  <c r="AC58" i="8"/>
  <c r="AB58" i="8"/>
  <c r="AB56" i="8"/>
  <c r="AB60" i="8"/>
  <c r="AC59" i="8"/>
  <c r="AC56" i="8"/>
  <c r="AC57" i="8"/>
  <c r="AC81" i="8"/>
  <c r="AB81" i="8"/>
  <c r="AB94" i="8"/>
  <c r="AC94" i="8"/>
  <c r="AB92" i="8"/>
  <c r="AB95" i="8"/>
  <c r="AC95" i="8"/>
  <c r="AC92" i="8"/>
  <c r="AC93" i="8"/>
  <c r="AB93" i="8"/>
  <c r="AC164" i="35"/>
  <c r="AL164" i="35" s="1"/>
  <c r="AC169" i="35"/>
  <c r="AB169" i="35"/>
  <c r="AC168" i="35"/>
  <c r="AB168" i="35"/>
  <c r="AC167" i="35"/>
  <c r="AB167" i="35"/>
  <c r="AC166" i="35"/>
  <c r="AB166" i="35"/>
  <c r="AI166" i="35" s="1"/>
  <c r="AE157" i="35"/>
  <c r="AB107" i="35"/>
  <c r="AC114" i="35"/>
  <c r="AC120" i="35"/>
  <c r="AC131" i="35"/>
  <c r="AC143" i="35"/>
  <c r="AK143" i="35" s="1"/>
  <c r="AB165" i="35"/>
  <c r="AI165" i="35" s="1"/>
  <c r="AB79" i="35"/>
  <c r="AB92" i="35"/>
  <c r="AG92" i="35" s="1"/>
  <c r="AB112" i="35"/>
  <c r="AH112" i="35" s="1"/>
  <c r="AB143" i="35"/>
  <c r="AB149" i="35"/>
  <c r="AB156" i="35"/>
  <c r="AG156" i="35" s="1"/>
  <c r="AH158" i="35"/>
  <c r="AG164" i="35"/>
  <c r="AG116" i="35"/>
  <c r="AI106" i="35"/>
  <c r="AG104" i="35"/>
  <c r="AI102" i="35"/>
  <c r="AB88" i="14"/>
  <c r="AI88" i="14" s="1"/>
  <c r="AB87" i="14"/>
  <c r="AI87" i="14" s="1"/>
  <c r="AC89" i="14"/>
  <c r="AB89" i="14"/>
  <c r="AC87" i="14"/>
  <c r="AC88" i="14"/>
  <c r="AB112" i="14"/>
  <c r="AB111" i="14"/>
  <c r="AC112" i="14"/>
  <c r="AB110" i="14"/>
  <c r="AB113" i="14"/>
  <c r="AC111" i="14"/>
  <c r="AC110" i="14"/>
  <c r="AC113" i="14"/>
  <c r="AC109" i="14"/>
  <c r="AB108" i="14"/>
  <c r="AC108" i="14"/>
  <c r="AL108" i="14" s="1"/>
  <c r="AB109" i="14"/>
  <c r="AB91" i="14"/>
  <c r="AB93" i="14"/>
  <c r="AB94" i="14"/>
  <c r="AI94" i="14" s="1"/>
  <c r="AC95" i="14"/>
  <c r="AJ95" i="14" s="1"/>
  <c r="AB95" i="14"/>
  <c r="AC90" i="14"/>
  <c r="AB90" i="14"/>
  <c r="AC93" i="14"/>
  <c r="AK93" i="14" s="1"/>
  <c r="AC94" i="14"/>
  <c r="AB92" i="14"/>
  <c r="AC91" i="14"/>
  <c r="AK91" i="14" s="1"/>
  <c r="AC92" i="14"/>
  <c r="AJ92" i="14" s="1"/>
  <c r="AB106" i="14"/>
  <c r="AC104" i="14"/>
  <c r="AB105" i="14"/>
  <c r="AI105" i="14" s="1"/>
  <c r="AC106" i="14"/>
  <c r="AJ106" i="14" s="1"/>
  <c r="AC105" i="14"/>
  <c r="AB104" i="14"/>
  <c r="AB114" i="14"/>
  <c r="AI114" i="14" s="1"/>
  <c r="AC114" i="14"/>
  <c r="AJ114" i="14" s="1"/>
  <c r="AB103" i="14"/>
  <c r="AB101" i="14"/>
  <c r="AB102" i="14"/>
  <c r="AG102" i="14" s="1"/>
  <c r="AC101" i="14"/>
  <c r="AK101" i="14" s="1"/>
  <c r="AC102" i="14"/>
  <c r="AC103" i="14"/>
  <c r="AC99" i="14"/>
  <c r="AC100" i="14"/>
  <c r="AC97" i="14"/>
  <c r="AC98" i="14"/>
  <c r="AB99" i="14"/>
  <c r="AB100" i="14"/>
  <c r="AB98" i="14"/>
  <c r="AB97" i="14"/>
  <c r="AC116" i="14"/>
  <c r="AD116" i="14" s="1"/>
  <c r="AB117" i="14"/>
  <c r="AB116" i="14"/>
  <c r="AC117" i="14"/>
  <c r="AC96" i="14"/>
  <c r="AL96" i="14" s="1"/>
  <c r="AB96" i="14"/>
  <c r="AG96" i="14" s="1"/>
  <c r="AC107" i="14"/>
  <c r="AB107" i="14"/>
  <c r="AC115" i="14"/>
  <c r="AJ115" i="14" s="1"/>
  <c r="AB115" i="14"/>
  <c r="O125" i="54"/>
  <c r="AC125" i="54" s="1"/>
  <c r="O99" i="53"/>
  <c r="AC99" i="53" s="1"/>
  <c r="O169" i="54"/>
  <c r="AC169" i="54" s="1"/>
  <c r="O80" i="54"/>
  <c r="AC80" i="54" s="1"/>
  <c r="O52" i="52"/>
  <c r="AC52" i="52" s="1"/>
  <c r="O83" i="54"/>
  <c r="AC83" i="54" s="1"/>
  <c r="O88" i="53"/>
  <c r="AC88" i="53" s="1"/>
  <c r="O172" i="54"/>
  <c r="AC172" i="54" s="1"/>
  <c r="O60" i="55"/>
  <c r="AC60" i="55" s="1"/>
  <c r="O44" i="55"/>
  <c r="AC44" i="55" s="1"/>
  <c r="O74" i="54"/>
  <c r="AC74" i="54" s="1"/>
  <c r="O44" i="52"/>
  <c r="AC44" i="52" s="1"/>
  <c r="O163" i="54"/>
  <c r="AC163" i="54" s="1"/>
  <c r="O80" i="55"/>
  <c r="AC80" i="55" s="1"/>
  <c r="O119" i="54"/>
  <c r="AC119" i="54" s="1"/>
  <c r="O178" i="54"/>
  <c r="AC178" i="54" s="1"/>
  <c r="O132" i="54"/>
  <c r="AC132" i="54" s="1"/>
  <c r="O89" i="54"/>
  <c r="AC89" i="54" s="1"/>
  <c r="O170" i="54"/>
  <c r="AC170" i="54" s="1"/>
  <c r="O126" i="54"/>
  <c r="AC126" i="54" s="1"/>
  <c r="O81" i="54"/>
  <c r="AC81" i="54" s="1"/>
  <c r="O59" i="18"/>
  <c r="AC59" i="18" s="1"/>
  <c r="O165" i="54"/>
  <c r="AC165" i="54" s="1"/>
  <c r="O78" i="53"/>
  <c r="AC78" i="53" s="1"/>
  <c r="O121" i="54"/>
  <c r="AC121" i="54" s="1"/>
  <c r="O76" i="54"/>
  <c r="AC76" i="54" s="1"/>
  <c r="AL128" i="54"/>
  <c r="AJ128" i="54"/>
  <c r="AK128" i="54"/>
  <c r="AL127" i="54"/>
  <c r="AJ127" i="54"/>
  <c r="AK127" i="54"/>
  <c r="O75" i="55"/>
  <c r="AC75" i="55" s="1"/>
  <c r="O46" i="52"/>
  <c r="AC46" i="52" s="1"/>
  <c r="O55" i="55"/>
  <c r="AC55" i="55" s="1"/>
  <c r="O158" i="54"/>
  <c r="AC158" i="54" s="1"/>
  <c r="O187" i="54"/>
  <c r="AC187" i="54" s="1"/>
  <c r="O114" i="54"/>
  <c r="AC114" i="54" s="1"/>
  <c r="O144" i="54"/>
  <c r="AC144" i="54" s="1"/>
  <c r="O69" i="54"/>
  <c r="AC69" i="54" s="1"/>
  <c r="O101" i="54"/>
  <c r="AC101" i="54" s="1"/>
  <c r="O54" i="18"/>
  <c r="AC54" i="18" s="1"/>
  <c r="O94" i="53"/>
  <c r="AC94" i="53" s="1"/>
  <c r="O39" i="55"/>
  <c r="AC39" i="55" s="1"/>
  <c r="O66" i="53"/>
  <c r="AC66" i="53" s="1"/>
  <c r="O56" i="52"/>
  <c r="AC56" i="52" s="1"/>
  <c r="O72" i="53"/>
  <c r="AC72" i="53" s="1"/>
  <c r="O61" i="18"/>
  <c r="AC61" i="18" s="1"/>
  <c r="O94" i="54"/>
  <c r="AC94" i="54" s="1"/>
  <c r="O75" i="53"/>
  <c r="AC75" i="53" s="1"/>
  <c r="O64" i="18"/>
  <c r="AC64" i="18" s="1"/>
  <c r="O59" i="52"/>
  <c r="AC59" i="52" s="1"/>
  <c r="O180" i="54"/>
  <c r="AC180" i="54" s="1"/>
  <c r="O137" i="54"/>
  <c r="AC137" i="54" s="1"/>
  <c r="O78" i="54"/>
  <c r="AC78" i="54" s="1"/>
  <c r="O80" i="53"/>
  <c r="AC80" i="53" s="1"/>
  <c r="O167" i="54"/>
  <c r="AC167" i="54" s="1"/>
  <c r="O123" i="54"/>
  <c r="AC123" i="54" s="1"/>
  <c r="O85" i="53"/>
  <c r="AC85" i="53" s="1"/>
  <c r="O183" i="54"/>
  <c r="AC183" i="54" s="1"/>
  <c r="O140" i="54"/>
  <c r="AC140" i="54" s="1"/>
  <c r="O97" i="54"/>
  <c r="AC97" i="54" s="1"/>
  <c r="O89" i="53"/>
  <c r="AC89" i="53" s="1"/>
  <c r="O173" i="54"/>
  <c r="AC173" i="54" s="1"/>
  <c r="O84" i="54"/>
  <c r="AC84" i="54" s="1"/>
  <c r="O53" i="52"/>
  <c r="AC53" i="52" s="1"/>
  <c r="AL179" i="54"/>
  <c r="AK179" i="54"/>
  <c r="AJ179" i="54"/>
  <c r="O135" i="54"/>
  <c r="AC135" i="54" s="1"/>
  <c r="O92" i="54"/>
  <c r="AC92" i="54" s="1"/>
  <c r="O60" i="52"/>
  <c r="AC60" i="52" s="1"/>
  <c r="O65" i="18"/>
  <c r="AC65" i="18" s="1"/>
  <c r="O76" i="53"/>
  <c r="AC76" i="53" s="1"/>
  <c r="O81" i="55"/>
  <c r="AC81" i="55" s="1"/>
  <c r="O61" i="55"/>
  <c r="AC61" i="55" s="1"/>
  <c r="O45" i="55"/>
  <c r="AC45" i="55" s="1"/>
  <c r="O86" i="54"/>
  <c r="AC86" i="54" s="1"/>
  <c r="O129" i="54"/>
  <c r="AC129" i="54" s="1"/>
  <c r="O175" i="54"/>
  <c r="AC175" i="54" s="1"/>
  <c r="O185" i="54"/>
  <c r="AC185" i="54" s="1"/>
  <c r="O142" i="54"/>
  <c r="AC142" i="54" s="1"/>
  <c r="O99" i="54"/>
  <c r="AC99" i="54" s="1"/>
  <c r="O71" i="53"/>
  <c r="AC71" i="53" s="1"/>
  <c r="O60" i="18"/>
  <c r="AC60" i="18" s="1"/>
  <c r="O55" i="52"/>
  <c r="AC55" i="52" s="1"/>
  <c r="O79" i="53"/>
  <c r="AC79" i="53" s="1"/>
  <c r="O166" i="54"/>
  <c r="AC166" i="54" s="1"/>
  <c r="O122" i="54"/>
  <c r="AC122" i="54" s="1"/>
  <c r="O77" i="54"/>
  <c r="AC77" i="54" s="1"/>
  <c r="O182" i="54"/>
  <c r="AC182" i="54" s="1"/>
  <c r="O96" i="54"/>
  <c r="AC96" i="54" s="1"/>
  <c r="O84" i="53"/>
  <c r="AC84" i="53" s="1"/>
  <c r="O139" i="54"/>
  <c r="AC139" i="54" s="1"/>
  <c r="AL101" i="53"/>
  <c r="AK101" i="53"/>
  <c r="AJ101" i="53"/>
  <c r="O91" i="54"/>
  <c r="AC91" i="54" s="1"/>
  <c r="O134" i="54"/>
  <c r="AC134" i="54" s="1"/>
  <c r="O64" i="55"/>
  <c r="AC64" i="55" s="1"/>
  <c r="O48" i="55"/>
  <c r="AC48" i="55" s="1"/>
  <c r="O84" i="55"/>
  <c r="AC84" i="55" s="1"/>
  <c r="O77" i="55"/>
  <c r="AC77" i="55" s="1"/>
  <c r="O48" i="52"/>
  <c r="AC48" i="52" s="1"/>
  <c r="O41" i="55"/>
  <c r="AC41" i="55" s="1"/>
  <c r="O68" i="53"/>
  <c r="AC68" i="53" s="1"/>
  <c r="O160" i="54"/>
  <c r="AC160" i="54" s="1"/>
  <c r="O189" i="54"/>
  <c r="AC189" i="54" s="1"/>
  <c r="O116" i="54"/>
  <c r="AC116" i="54" s="1"/>
  <c r="O146" i="54"/>
  <c r="AC146" i="54" s="1"/>
  <c r="O56" i="18"/>
  <c r="AC56" i="18" s="1"/>
  <c r="O71" i="54"/>
  <c r="AC71" i="54" s="1"/>
  <c r="O103" i="54"/>
  <c r="AC103" i="54" s="1"/>
  <c r="O96" i="53"/>
  <c r="AC96" i="53" s="1"/>
  <c r="O57" i="55"/>
  <c r="AC57" i="55" s="1"/>
  <c r="O83" i="53"/>
  <c r="AC83" i="53" s="1"/>
  <c r="O181" i="54"/>
  <c r="AC181" i="54" s="1"/>
  <c r="O138" i="54"/>
  <c r="AC138" i="54" s="1"/>
  <c r="O95" i="54"/>
  <c r="AC95" i="54" s="1"/>
  <c r="O82" i="54"/>
  <c r="AC82" i="54" s="1"/>
  <c r="O87" i="53"/>
  <c r="AC87" i="53" s="1"/>
  <c r="O171" i="54"/>
  <c r="AC171" i="54" s="1"/>
  <c r="O51" i="52"/>
  <c r="AC51" i="52" s="1"/>
  <c r="O90" i="54"/>
  <c r="AC90" i="54" s="1"/>
  <c r="O133" i="54"/>
  <c r="AC133" i="54" s="1"/>
  <c r="O83" i="55"/>
  <c r="AC83" i="55" s="1"/>
  <c r="O63" i="55"/>
  <c r="AC63" i="55" s="1"/>
  <c r="O47" i="55"/>
  <c r="AC47" i="55" s="1"/>
  <c r="O131" i="54"/>
  <c r="AC131" i="54" s="1"/>
  <c r="O88" i="54"/>
  <c r="AC88" i="54" s="1"/>
  <c r="O177" i="54"/>
  <c r="AC177" i="54" s="1"/>
  <c r="O56" i="55"/>
  <c r="AC56" i="55" s="1"/>
  <c r="O40" i="55"/>
  <c r="AC40" i="55" s="1"/>
  <c r="O70" i="54"/>
  <c r="AC70" i="54" s="1"/>
  <c r="O102" i="54"/>
  <c r="AC102" i="54" s="1"/>
  <c r="O67" i="53"/>
  <c r="AC67" i="53" s="1"/>
  <c r="O159" i="54"/>
  <c r="AC159" i="54" s="1"/>
  <c r="O188" i="54"/>
  <c r="AC188" i="54" s="1"/>
  <c r="O115" i="54"/>
  <c r="AC115" i="54" s="1"/>
  <c r="O55" i="18"/>
  <c r="AC55" i="18" s="1"/>
  <c r="O95" i="53"/>
  <c r="AC95" i="53" s="1"/>
  <c r="O145" i="54"/>
  <c r="AC145" i="54" s="1"/>
  <c r="O76" i="55"/>
  <c r="AC76" i="55" s="1"/>
  <c r="O47" i="52"/>
  <c r="AC47" i="52" s="1"/>
  <c r="O73" i="53"/>
  <c r="AC73" i="53" s="1"/>
  <c r="O62" i="18"/>
  <c r="AC62" i="18" s="1"/>
  <c r="O57" i="52"/>
  <c r="AC57" i="52" s="1"/>
  <c r="AL91" i="53"/>
  <c r="AO91" i="53" s="1"/>
  <c r="AK91" i="53"/>
  <c r="AN91" i="53" s="1"/>
  <c r="AF91" i="53"/>
  <c r="AD91" i="53"/>
  <c r="AE91" i="53"/>
  <c r="AJ91" i="53"/>
  <c r="AM91" i="53" s="1"/>
  <c r="O77" i="53"/>
  <c r="AC77" i="53" s="1"/>
  <c r="O75" i="54"/>
  <c r="AC75" i="54" s="1"/>
  <c r="O164" i="54"/>
  <c r="AC164" i="54" s="1"/>
  <c r="O120" i="54"/>
  <c r="AC120" i="54" s="1"/>
  <c r="O81" i="53"/>
  <c r="AC81" i="53" s="1"/>
  <c r="O168" i="54"/>
  <c r="AC168" i="54" s="1"/>
  <c r="O124" i="54"/>
  <c r="AC124" i="54" s="1"/>
  <c r="O79" i="54"/>
  <c r="AC79" i="54" s="1"/>
  <c r="O98" i="54"/>
  <c r="AC98" i="54" s="1"/>
  <c r="O184" i="54"/>
  <c r="AC184" i="54" s="1"/>
  <c r="O141" i="54"/>
  <c r="AC141" i="54" s="1"/>
  <c r="O86" i="53"/>
  <c r="AC86" i="53" s="1"/>
  <c r="AF82" i="53"/>
  <c r="AL82" i="53"/>
  <c r="AO82" i="53" s="1"/>
  <c r="AD82" i="53"/>
  <c r="AK82" i="53"/>
  <c r="AN82" i="53" s="1"/>
  <c r="AE82" i="53"/>
  <c r="AJ82" i="53"/>
  <c r="AM82" i="53" s="1"/>
  <c r="AJ66" i="18"/>
  <c r="AM66" i="18" s="1"/>
  <c r="AD66" i="18"/>
  <c r="AK66" i="18"/>
  <c r="AN66" i="18" s="1"/>
  <c r="AL66" i="18"/>
  <c r="AO66" i="18" s="1"/>
  <c r="AF66" i="18"/>
  <c r="AE66" i="18"/>
  <c r="O62" i="55"/>
  <c r="AC62" i="55" s="1"/>
  <c r="O46" i="55"/>
  <c r="AC46" i="55" s="1"/>
  <c r="O82" i="55"/>
  <c r="AC82" i="55" s="1"/>
  <c r="O87" i="54"/>
  <c r="AC87" i="54" s="1"/>
  <c r="O176" i="54"/>
  <c r="AC176" i="54" s="1"/>
  <c r="O130" i="54"/>
  <c r="AC130" i="54" s="1"/>
  <c r="AJ100" i="53"/>
  <c r="AM100" i="53" s="1"/>
  <c r="AF100" i="53"/>
  <c r="AK100" i="53"/>
  <c r="AN100" i="53" s="1"/>
  <c r="AD100" i="53"/>
  <c r="AL100" i="53"/>
  <c r="AO100" i="53" s="1"/>
  <c r="AE100" i="53"/>
  <c r="AI85" i="35"/>
  <c r="AG85" i="35"/>
  <c r="AH84" i="35"/>
  <c r="AI84" i="35"/>
  <c r="AG96" i="35"/>
  <c r="AI96" i="35"/>
  <c r="AH96" i="35"/>
  <c r="AL157" i="35"/>
  <c r="AK157" i="35"/>
  <c r="AJ157" i="35"/>
  <c r="AG126" i="35"/>
  <c r="AH126" i="35"/>
  <c r="AI155" i="35"/>
  <c r="AG160" i="35"/>
  <c r="AI160" i="35"/>
  <c r="AH160" i="35"/>
  <c r="AI100" i="35"/>
  <c r="AG100" i="35"/>
  <c r="AK156" i="35"/>
  <c r="AL156" i="35"/>
  <c r="AG118" i="35"/>
  <c r="AI118" i="35"/>
  <c r="AG130" i="35"/>
  <c r="AH130" i="35"/>
  <c r="AG44" i="8"/>
  <c r="E89" i="44"/>
  <c r="M89" i="44" s="1"/>
  <c r="K92" i="44"/>
  <c r="AC127" i="35"/>
  <c r="AK127" i="35" s="1"/>
  <c r="AC78" i="35"/>
  <c r="AB87" i="35"/>
  <c r="AG87" i="35" s="1"/>
  <c r="AC162" i="35"/>
  <c r="AJ162" i="35" s="1"/>
  <c r="AC160" i="35"/>
  <c r="AJ160" i="35" s="1"/>
  <c r="AM160" i="35" s="1"/>
  <c r="AC77" i="35"/>
  <c r="AJ77" i="35" s="1"/>
  <c r="AE109" i="35"/>
  <c r="AC124" i="35"/>
  <c r="AL124" i="35" s="1"/>
  <c r="AC137" i="35"/>
  <c r="AF137" i="35" s="1"/>
  <c r="AC147" i="35"/>
  <c r="AL147" i="35" s="1"/>
  <c r="AO147" i="35" s="1"/>
  <c r="AI158" i="35"/>
  <c r="AI152" i="35"/>
  <c r="AO152" i="35" s="1"/>
  <c r="AB73" i="35"/>
  <c r="AI73" i="35" s="1"/>
  <c r="AC85" i="35"/>
  <c r="AJ85" i="35" s="1"/>
  <c r="AC87" i="35"/>
  <c r="AB113" i="35"/>
  <c r="AI113" i="35" s="1"/>
  <c r="AB122" i="35"/>
  <c r="AG122" i="35" s="1"/>
  <c r="AC155" i="35"/>
  <c r="AL155" i="35" s="1"/>
  <c r="AC159" i="35"/>
  <c r="AB161" i="35"/>
  <c r="AH161" i="35" s="1"/>
  <c r="AI167" i="35"/>
  <c r="AC74" i="35"/>
  <c r="AL74" i="35" s="1"/>
  <c r="AC76" i="35"/>
  <c r="AF76" i="35" s="1"/>
  <c r="AC82" i="35"/>
  <c r="AL82" i="35" s="1"/>
  <c r="AC86" i="35"/>
  <c r="AK86" i="35" s="1"/>
  <c r="AC88" i="35"/>
  <c r="AL88" i="35" s="1"/>
  <c r="AC96" i="35"/>
  <c r="AL96" i="35" s="1"/>
  <c r="AC91" i="35"/>
  <c r="AL91" i="35" s="1"/>
  <c r="AO91" i="35" s="1"/>
  <c r="AC98" i="35"/>
  <c r="AF98" i="35" s="1"/>
  <c r="AC100" i="35"/>
  <c r="AL100" i="35" s="1"/>
  <c r="AC102" i="35"/>
  <c r="AJ102" i="35" s="1"/>
  <c r="AC106" i="35"/>
  <c r="AF106" i="35" s="1"/>
  <c r="AC112" i="35"/>
  <c r="AL112" i="35" s="1"/>
  <c r="AC116" i="35"/>
  <c r="AL116" i="35" s="1"/>
  <c r="AO116" i="35" s="1"/>
  <c r="AC121" i="35"/>
  <c r="AJ121" i="35" s="1"/>
  <c r="AC136" i="35"/>
  <c r="AK136" i="35" s="1"/>
  <c r="AC139" i="35"/>
  <c r="AL139" i="35" s="1"/>
  <c r="AO139" i="35" s="1"/>
  <c r="AC142" i="35"/>
  <c r="AJ142" i="35" s="1"/>
  <c r="AM142" i="35" s="1"/>
  <c r="AC146" i="35"/>
  <c r="AE146" i="35" s="1"/>
  <c r="AC149" i="35"/>
  <c r="AF149" i="35" s="1"/>
  <c r="AI164" i="35"/>
  <c r="AO164" i="35" s="1"/>
  <c r="AH156" i="35"/>
  <c r="AH136" i="35"/>
  <c r="AH116" i="35"/>
  <c r="AG112" i="35"/>
  <c r="AH104" i="35"/>
  <c r="AB74" i="35"/>
  <c r="AI74" i="35" s="1"/>
  <c r="AB77" i="35"/>
  <c r="AG77" i="35" s="1"/>
  <c r="AB82" i="35"/>
  <c r="AH82" i="35" s="1"/>
  <c r="AB88" i="35"/>
  <c r="AD88" i="35" s="1"/>
  <c r="AC90" i="35"/>
  <c r="AD90" i="35" s="1"/>
  <c r="AC93" i="35"/>
  <c r="AL93" i="35" s="1"/>
  <c r="AO93" i="35" s="1"/>
  <c r="AB108" i="35"/>
  <c r="AH108" i="35" s="1"/>
  <c r="AB105" i="35"/>
  <c r="AF105" i="35" s="1"/>
  <c r="AB114" i="35"/>
  <c r="AB119" i="35"/>
  <c r="AI119" i="35" s="1"/>
  <c r="AC122" i="35"/>
  <c r="AL122" i="35" s="1"/>
  <c r="AB144" i="35"/>
  <c r="AG144" i="35" s="1"/>
  <c r="AB150" i="35"/>
  <c r="AG150" i="35" s="1"/>
  <c r="AC153" i="35"/>
  <c r="AJ153" i="35" s="1"/>
  <c r="AB159" i="35"/>
  <c r="AH159" i="35" s="1"/>
  <c r="AC161" i="35"/>
  <c r="AC165" i="35"/>
  <c r="AL165" i="35" s="1"/>
  <c r="AO165" i="35" s="1"/>
  <c r="AK167" i="35"/>
  <c r="AI78" i="35"/>
  <c r="AC134" i="35"/>
  <c r="AE134" i="35" s="1"/>
  <c r="AB86" i="35"/>
  <c r="AC99" i="35"/>
  <c r="AK99" i="35" s="1"/>
  <c r="AC75" i="35"/>
  <c r="AK75" i="35" s="1"/>
  <c r="AC89" i="35"/>
  <c r="AJ89" i="35" s="1"/>
  <c r="AC113" i="35"/>
  <c r="AB72" i="35"/>
  <c r="AI72" i="35" s="1"/>
  <c r="AC97" i="35"/>
  <c r="AL97" i="35" s="1"/>
  <c r="AB132" i="35"/>
  <c r="AG132" i="35" s="1"/>
  <c r="AC94" i="35"/>
  <c r="AL94" i="35" s="1"/>
  <c r="AC108" i="35"/>
  <c r="AJ108" i="35" s="1"/>
  <c r="AC111" i="35"/>
  <c r="AL111" i="35" s="1"/>
  <c r="AC115" i="35"/>
  <c r="AL115" i="35" s="1"/>
  <c r="AO115" i="35" s="1"/>
  <c r="AC118" i="35"/>
  <c r="AJ118" i="35" s="1"/>
  <c r="AC123" i="35"/>
  <c r="AK123" i="35" s="1"/>
  <c r="AC125" i="35"/>
  <c r="AL125" i="35" s="1"/>
  <c r="AC135" i="35"/>
  <c r="AJ135" i="35" s="1"/>
  <c r="AC138" i="35"/>
  <c r="AK138" i="35" s="1"/>
  <c r="AN138" i="35" s="1"/>
  <c r="AC141" i="35"/>
  <c r="AE141" i="35" s="1"/>
  <c r="AC151" i="35"/>
  <c r="AJ151" i="35" s="1"/>
  <c r="AK163" i="35"/>
  <c r="AI124" i="35"/>
  <c r="AH106" i="35"/>
  <c r="AG102" i="35"/>
  <c r="AB103" i="35"/>
  <c r="AI103" i="35" s="1"/>
  <c r="AB110" i="35"/>
  <c r="AI110" i="35" s="1"/>
  <c r="AC128" i="35"/>
  <c r="AL128" i="35" s="1"/>
  <c r="AB162" i="35"/>
  <c r="AH67" i="8"/>
  <c r="AE63" i="8"/>
  <c r="AI75" i="8"/>
  <c r="AG68" i="8"/>
  <c r="AL78" i="8"/>
  <c r="AL68" i="8"/>
  <c r="AH97" i="8"/>
  <c r="AF55" i="8"/>
  <c r="AH69" i="8"/>
  <c r="AK66" i="8"/>
  <c r="AI62" i="8"/>
  <c r="AJ97" i="8"/>
  <c r="AG73" i="8"/>
  <c r="AK69" i="8"/>
  <c r="AL90" i="8"/>
  <c r="AK90" i="8"/>
  <c r="AL45" i="8"/>
  <c r="AK49" i="8"/>
  <c r="AL48" i="8"/>
  <c r="AL47" i="8"/>
  <c r="AK46" i="8"/>
  <c r="AK44" i="8"/>
  <c r="AL71" i="8"/>
  <c r="AJ50" i="8"/>
  <c r="AL59" i="8"/>
  <c r="AL84" i="8"/>
  <c r="AK57" i="8"/>
  <c r="AE70" i="8"/>
  <c r="AL86" i="8"/>
  <c r="AG53" i="8"/>
  <c r="AI29" i="12"/>
  <c r="AH109" i="14"/>
  <c r="AL107" i="14"/>
  <c r="AK89" i="14"/>
  <c r="AK103" i="14"/>
  <c r="AL117" i="14"/>
  <c r="AG115" i="14"/>
  <c r="AG108" i="14"/>
  <c r="AK109" i="14"/>
  <c r="AH106" i="14"/>
  <c r="AI117" i="14"/>
  <c r="AG107" i="14"/>
  <c r="AI93" i="14"/>
  <c r="AH91" i="14"/>
  <c r="AJ52" i="8"/>
  <c r="AG93" i="8"/>
  <c r="AI70" i="8"/>
  <c r="AH51" i="8"/>
  <c r="AH77" i="8"/>
  <c r="AK61" i="8"/>
  <c r="AJ98" i="8"/>
  <c r="AL89" i="8"/>
  <c r="AJ76" i="8"/>
  <c r="AH98" i="8"/>
  <c r="AG58" i="8"/>
  <c r="AH58" i="8"/>
  <c r="AH66" i="8"/>
  <c r="AI66" i="8"/>
  <c r="AK79" i="8"/>
  <c r="AL96" i="8"/>
  <c r="AH70" i="8"/>
  <c r="AI59" i="8"/>
  <c r="AL74" i="8"/>
  <c r="AD58" i="8"/>
  <c r="AK93" i="8"/>
  <c r="AK94" i="8"/>
  <c r="AK56" i="8"/>
  <c r="AI56" i="8"/>
  <c r="AL80" i="8"/>
  <c r="AL107" i="35"/>
  <c r="AK107" i="35"/>
  <c r="AO100" i="35"/>
  <c r="AI126" i="35"/>
  <c r="AG94" i="35"/>
  <c r="AL105" i="35"/>
  <c r="AG98" i="35"/>
  <c r="AI94" i="35"/>
  <c r="AI150" i="35"/>
  <c r="AH100" i="35"/>
  <c r="AG166" i="35"/>
  <c r="AH166" i="35"/>
  <c r="AF165" i="35"/>
  <c r="AK164" i="35"/>
  <c r="AN164" i="35" s="1"/>
  <c r="AD164" i="35"/>
  <c r="AF163" i="35"/>
  <c r="AL163" i="35"/>
  <c r="AI163" i="35"/>
  <c r="AK140" i="35"/>
  <c r="AL140" i="35"/>
  <c r="AK144" i="35"/>
  <c r="AL144" i="35"/>
  <c r="AL135" i="35"/>
  <c r="AO135" i="35" s="1"/>
  <c r="AH148" i="35"/>
  <c r="AN148" i="35" s="1"/>
  <c r="AH140" i="35"/>
  <c r="AD144" i="35"/>
  <c r="AD142" i="35"/>
  <c r="AI149" i="35"/>
  <c r="AE145" i="35"/>
  <c r="AJ143" i="35"/>
  <c r="AJ145" i="35"/>
  <c r="AL143" i="35"/>
  <c r="AF145" i="35"/>
  <c r="AF143" i="35"/>
  <c r="AI157" i="35"/>
  <c r="AF157" i="35"/>
  <c r="AI156" i="35"/>
  <c r="AO156" i="35" s="1"/>
  <c r="AD156" i="35"/>
  <c r="AK155" i="35"/>
  <c r="AG154" i="35"/>
  <c r="AH154" i="35"/>
  <c r="AK152" i="35"/>
  <c r="AN152" i="35" s="1"/>
  <c r="AD152" i="35"/>
  <c r="AG152" i="35"/>
  <c r="AK149" i="35"/>
  <c r="AL148" i="35"/>
  <c r="AI148" i="35"/>
  <c r="AD148" i="35"/>
  <c r="AF147" i="35"/>
  <c r="AH146" i="35"/>
  <c r="AI146" i="35"/>
  <c r="AH142" i="35"/>
  <c r="AK145" i="35"/>
  <c r="AI142" i="35"/>
  <c r="AH144" i="35"/>
  <c r="AI141" i="35"/>
  <c r="AI140" i="35"/>
  <c r="AD140" i="35"/>
  <c r="AI138" i="35"/>
  <c r="AK137" i="35"/>
  <c r="AG138" i="35"/>
  <c r="AG136" i="35"/>
  <c r="AG134" i="35"/>
  <c r="AH134" i="35"/>
  <c r="AI130" i="35"/>
  <c r="AI128" i="35"/>
  <c r="AB133" i="35"/>
  <c r="AI133" i="35" s="1"/>
  <c r="AB129" i="35"/>
  <c r="AI129" i="35" s="1"/>
  <c r="AC130" i="35"/>
  <c r="AJ130" i="35" s="1"/>
  <c r="AC132" i="35"/>
  <c r="AL132" i="35" s="1"/>
  <c r="AL117" i="35"/>
  <c r="AO117" i="35" s="1"/>
  <c r="AJ117" i="35"/>
  <c r="AL119" i="35"/>
  <c r="AK129" i="35"/>
  <c r="AJ129" i="35"/>
  <c r="AL129" i="35"/>
  <c r="AL131" i="35"/>
  <c r="AK131" i="35"/>
  <c r="AJ131" i="35"/>
  <c r="AK133" i="35"/>
  <c r="AL133" i="35"/>
  <c r="AF133" i="35"/>
  <c r="AJ133" i="35"/>
  <c r="AF121" i="35"/>
  <c r="AK120" i="35"/>
  <c r="AN120" i="35" s="1"/>
  <c r="AL120" i="35"/>
  <c r="AD120" i="35"/>
  <c r="AG120" i="35"/>
  <c r="AH118" i="35"/>
  <c r="AJ107" i="35"/>
  <c r="AF107" i="35"/>
  <c r="AE105" i="35"/>
  <c r="AF131" i="35"/>
  <c r="AJ105" i="35"/>
  <c r="AI131" i="35"/>
  <c r="AG128" i="35"/>
  <c r="AI125" i="35"/>
  <c r="AK124" i="35"/>
  <c r="AN124" i="35" s="1"/>
  <c r="AG124" i="35"/>
  <c r="AJ119" i="35"/>
  <c r="AI120" i="35"/>
  <c r="AK119" i="35"/>
  <c r="AK117" i="35"/>
  <c r="AE117" i="35"/>
  <c r="AF117" i="35"/>
  <c r="AI112" i="35"/>
  <c r="AO112" i="35" s="1"/>
  <c r="AD110" i="35"/>
  <c r="AJ109" i="35"/>
  <c r="AF109" i="35"/>
  <c r="AK109" i="35"/>
  <c r="AL109" i="35"/>
  <c r="AO109" i="35" s="1"/>
  <c r="AI107" i="35"/>
  <c r="AL104" i="35"/>
  <c r="AO104" i="35" s="1"/>
  <c r="AK104" i="35"/>
  <c r="AN104" i="35" s="1"/>
  <c r="AL103" i="35"/>
  <c r="AJ103" i="35"/>
  <c r="AL89" i="35"/>
  <c r="AO89" i="35" s="1"/>
  <c r="AK89" i="35"/>
  <c r="AL92" i="35"/>
  <c r="AK92" i="35"/>
  <c r="AK88" i="35"/>
  <c r="AH98" i="35"/>
  <c r="AF89" i="35"/>
  <c r="AD92" i="35"/>
  <c r="AL85" i="35"/>
  <c r="AI92" i="35"/>
  <c r="AC73" i="35"/>
  <c r="AC83" i="35"/>
  <c r="AL83" i="35" s="1"/>
  <c r="AC81" i="35"/>
  <c r="AE81" i="35" s="1"/>
  <c r="AC101" i="35"/>
  <c r="AD101" i="35" s="1"/>
  <c r="AK100" i="35"/>
  <c r="AI97" i="35"/>
  <c r="AO95" i="35"/>
  <c r="AJ95" i="35"/>
  <c r="AF95" i="35"/>
  <c r="AK95" i="35"/>
  <c r="AH92" i="35"/>
  <c r="AG90" i="35"/>
  <c r="AH90" i="35"/>
  <c r="AH88" i="35"/>
  <c r="AE85" i="35"/>
  <c r="AG84" i="35"/>
  <c r="AL79" i="35"/>
  <c r="AJ78" i="35"/>
  <c r="AE154" i="35"/>
  <c r="AF154" i="35"/>
  <c r="AJ154" i="35"/>
  <c r="AE150" i="35"/>
  <c r="AJ150" i="35"/>
  <c r="AF146" i="35"/>
  <c r="AG143" i="35"/>
  <c r="AD143" i="35"/>
  <c r="AH143" i="35"/>
  <c r="AN143" i="35" s="1"/>
  <c r="AG139" i="35"/>
  <c r="AH139" i="35"/>
  <c r="AJ134" i="35"/>
  <c r="AE126" i="35"/>
  <c r="AF126" i="35"/>
  <c r="AJ126" i="35"/>
  <c r="AE114" i="35"/>
  <c r="AJ114" i="35"/>
  <c r="AG111" i="35"/>
  <c r="AH111" i="35"/>
  <c r="AE84" i="35"/>
  <c r="AL84" i="35"/>
  <c r="AF84" i="35"/>
  <c r="AJ84" i="35"/>
  <c r="AD84" i="35"/>
  <c r="AK166" i="35"/>
  <c r="AK158" i="35"/>
  <c r="AK154" i="35"/>
  <c r="AD154" i="35"/>
  <c r="AK150" i="35"/>
  <c r="AK142" i="35"/>
  <c r="AK134" i="35"/>
  <c r="AK126" i="35"/>
  <c r="AD126" i="35"/>
  <c r="AK118" i="35"/>
  <c r="AK114" i="35"/>
  <c r="AD114" i="35"/>
  <c r="AK110" i="35"/>
  <c r="AK102" i="35"/>
  <c r="AN102" i="35" s="1"/>
  <c r="AE166" i="35"/>
  <c r="AF166" i="35"/>
  <c r="AJ166" i="35"/>
  <c r="AG163" i="35"/>
  <c r="AM163" i="35" s="1"/>
  <c r="AD163" i="35"/>
  <c r="AH163" i="35"/>
  <c r="AE158" i="35"/>
  <c r="AF158" i="35"/>
  <c r="AJ158" i="35"/>
  <c r="AM158" i="35" s="1"/>
  <c r="AG155" i="35"/>
  <c r="AD155" i="35"/>
  <c r="AH155" i="35"/>
  <c r="AG151" i="35"/>
  <c r="AH151" i="35"/>
  <c r="AG147" i="35"/>
  <c r="AH147" i="35"/>
  <c r="AE142" i="35"/>
  <c r="AF142" i="35"/>
  <c r="AG135" i="35"/>
  <c r="AD135" i="35"/>
  <c r="AH135" i="35"/>
  <c r="AG131" i="35"/>
  <c r="AD131" i="35"/>
  <c r="AH131" i="35"/>
  <c r="AG127" i="35"/>
  <c r="AH127" i="35"/>
  <c r="AG123" i="35"/>
  <c r="AH123" i="35"/>
  <c r="AG115" i="35"/>
  <c r="AH115" i="35"/>
  <c r="AJ110" i="35"/>
  <c r="AG107" i="35"/>
  <c r="AD107" i="35"/>
  <c r="AH107" i="35"/>
  <c r="AG99" i="35"/>
  <c r="AH99" i="35"/>
  <c r="AG95" i="35"/>
  <c r="AD95" i="35"/>
  <c r="AH95" i="35"/>
  <c r="AE94" i="35"/>
  <c r="AG91" i="35"/>
  <c r="AH91" i="35"/>
  <c r="AJ90" i="35"/>
  <c r="AG165" i="35"/>
  <c r="AH165" i="35"/>
  <c r="AE164" i="35"/>
  <c r="AF164" i="35"/>
  <c r="AJ164" i="35"/>
  <c r="AE160" i="35"/>
  <c r="AG157" i="35"/>
  <c r="AD157" i="35"/>
  <c r="AH157" i="35"/>
  <c r="AE156" i="35"/>
  <c r="AF156" i="35"/>
  <c r="AJ156" i="35"/>
  <c r="AM156" i="35" s="1"/>
  <c r="AG153" i="35"/>
  <c r="AH153" i="35"/>
  <c r="AE152" i="35"/>
  <c r="AF152" i="35"/>
  <c r="AJ152" i="35"/>
  <c r="AG149" i="35"/>
  <c r="AH149" i="35"/>
  <c r="AE148" i="35"/>
  <c r="AF148" i="35"/>
  <c r="AJ148" i="35"/>
  <c r="AM148" i="35" s="1"/>
  <c r="AG145" i="35"/>
  <c r="AD145" i="35"/>
  <c r="AH145" i="35"/>
  <c r="AF144" i="35"/>
  <c r="AJ144" i="35"/>
  <c r="AM144" i="35" s="1"/>
  <c r="AG141" i="35"/>
  <c r="AH141" i="35"/>
  <c r="AE140" i="35"/>
  <c r="AF140" i="35"/>
  <c r="AJ140" i="35"/>
  <c r="AM140" i="35" s="1"/>
  <c r="AG137" i="35"/>
  <c r="AH137" i="35"/>
  <c r="AG125" i="35"/>
  <c r="AH125" i="35"/>
  <c r="AG121" i="35"/>
  <c r="AH121" i="35"/>
  <c r="AE120" i="35"/>
  <c r="AF120" i="35"/>
  <c r="AJ120" i="35"/>
  <c r="AG117" i="35"/>
  <c r="AD117" i="35"/>
  <c r="AH117" i="35"/>
  <c r="AG109" i="35"/>
  <c r="AD109" i="35"/>
  <c r="AH109" i="35"/>
  <c r="AH105" i="35"/>
  <c r="AN105" i="35" s="1"/>
  <c r="AE104" i="35"/>
  <c r="AF104" i="35"/>
  <c r="AJ104" i="35"/>
  <c r="AG101" i="35"/>
  <c r="AH101" i="35"/>
  <c r="AJ100" i="35"/>
  <c r="AM100" i="35" s="1"/>
  <c r="AG97" i="35"/>
  <c r="AH97" i="35"/>
  <c r="AE96" i="35"/>
  <c r="AG93" i="35"/>
  <c r="AH93" i="35"/>
  <c r="AE92" i="35"/>
  <c r="AF92" i="35"/>
  <c r="AJ92" i="35"/>
  <c r="AM92" i="35" s="1"/>
  <c r="AG89" i="35"/>
  <c r="AH89" i="35"/>
  <c r="AE88" i="35"/>
  <c r="AF88" i="35"/>
  <c r="AI143" i="35"/>
  <c r="AI111" i="35"/>
  <c r="AK84" i="35"/>
  <c r="AN84" i="35" s="1"/>
  <c r="AL166" i="35"/>
  <c r="AO166" i="35" s="1"/>
  <c r="AE163" i="35"/>
  <c r="AL158" i="35"/>
  <c r="AE155" i="35"/>
  <c r="AL154" i="35"/>
  <c r="AO154" i="35" s="1"/>
  <c r="AL150" i="35"/>
  <c r="AM150" i="35"/>
  <c r="AO145" i="35"/>
  <c r="AE143" i="35"/>
  <c r="AL142" i="35"/>
  <c r="AL134" i="35"/>
  <c r="AO134" i="35" s="1"/>
  <c r="AE131" i="35"/>
  <c r="AL126" i="35"/>
  <c r="AL114" i="35"/>
  <c r="AL110" i="35"/>
  <c r="AE107" i="35"/>
  <c r="AL102" i="35"/>
  <c r="AE95" i="35"/>
  <c r="AL90" i="35"/>
  <c r="AO90" i="35" s="1"/>
  <c r="AD87" i="35"/>
  <c r="AH85" i="35"/>
  <c r="AG80" i="35"/>
  <c r="AH75" i="35"/>
  <c r="AK94" i="14"/>
  <c r="AK98" i="14"/>
  <c r="AI101" i="14"/>
  <c r="AG103" i="14"/>
  <c r="AK102" i="14"/>
  <c r="AI95" i="14"/>
  <c r="AH95" i="14"/>
  <c r="AG95" i="14"/>
  <c r="AK105" i="14"/>
  <c r="AK104" i="14"/>
  <c r="AH81" i="35"/>
  <c r="AH80" i="35"/>
  <c r="AE78" i="35"/>
  <c r="AF79" i="35"/>
  <c r="AJ72" i="35"/>
  <c r="AF78" i="35"/>
  <c r="AH74" i="35"/>
  <c r="AG79" i="35"/>
  <c r="AG76" i="35"/>
  <c r="AE80" i="35"/>
  <c r="AJ80" i="35"/>
  <c r="AK72" i="35"/>
  <c r="AL72" i="35"/>
  <c r="AG78" i="35"/>
  <c r="AH78" i="35"/>
  <c r="AD78" i="35"/>
  <c r="AH79" i="35"/>
  <c r="AD79" i="35"/>
  <c r="AI79" i="35"/>
  <c r="AE79" i="35"/>
  <c r="AH76" i="35"/>
  <c r="AF80" i="35"/>
  <c r="AJ79" i="35"/>
  <c r="AL80" i="35"/>
  <c r="AO80" i="35" s="1"/>
  <c r="AL77" i="35"/>
  <c r="AK81" i="35"/>
  <c r="AK78" i="35"/>
  <c r="AL78" i="35"/>
  <c r="AH83" i="35"/>
  <c r="AD83" i="35"/>
  <c r="AI83" i="35"/>
  <c r="AK79" i="35"/>
  <c r="AI76" i="35"/>
  <c r="AD80" i="35"/>
  <c r="AK80" i="35"/>
  <c r="AG75" i="35"/>
  <c r="AG81" i="35"/>
  <c r="AG92" i="8"/>
  <c r="AI84" i="8"/>
  <c r="AH84" i="8"/>
  <c r="AG84" i="8"/>
  <c r="AG87" i="8"/>
  <c r="AG83" i="8"/>
  <c r="AJ87" i="8"/>
  <c r="AJ85" i="8"/>
  <c r="AJ83" i="8"/>
  <c r="AG82" i="8"/>
  <c r="AL82" i="8"/>
  <c r="AG91" i="8"/>
  <c r="AI90" i="8"/>
  <c r="AL91" i="8"/>
  <c r="AG88" i="8"/>
  <c r="AE95" i="8"/>
  <c r="AL88" i="8"/>
  <c r="AJ81" i="8"/>
  <c r="AG74" i="8"/>
  <c r="AI74" i="8"/>
  <c r="AH74" i="8"/>
  <c r="AI58" i="8"/>
  <c r="AK54" i="8"/>
  <c r="AG65" i="8"/>
  <c r="AJ67" i="8"/>
  <c r="AJ51" i="8"/>
  <c r="AH50" i="8"/>
  <c r="AJ65" i="8"/>
  <c r="AD72" i="8"/>
  <c r="AK64" i="8"/>
  <c r="AG48" i="8"/>
  <c r="AG45" i="8"/>
  <c r="AG47" i="8"/>
  <c r="AK72" i="8"/>
  <c r="AJ55" i="8"/>
  <c r="AK55" i="8"/>
  <c r="AG96" i="8"/>
  <c r="AH96" i="8"/>
  <c r="AI96" i="8"/>
  <c r="AG80" i="8"/>
  <c r="AH80" i="8"/>
  <c r="AI80" i="8"/>
  <c r="AG78" i="8"/>
  <c r="AH78" i="8"/>
  <c r="AI78" i="8"/>
  <c r="AL72" i="8"/>
  <c r="AK67" i="8"/>
  <c r="AE55" i="8"/>
  <c r="AL55" i="8"/>
  <c r="AH54" i="8"/>
  <c r="AG54" i="8"/>
  <c r="AI54" i="8"/>
  <c r="AG79" i="8"/>
  <c r="AG63" i="8"/>
  <c r="AH95" i="8"/>
  <c r="AJ90" i="8"/>
  <c r="AH79" i="8"/>
  <c r="AJ72" i="8"/>
  <c r="AH63" i="8"/>
  <c r="AG95" i="8"/>
  <c r="AI95" i="8"/>
  <c r="AI79" i="8"/>
  <c r="AI63" i="8"/>
  <c r="AI44" i="8"/>
  <c r="AH44" i="8"/>
  <c r="AC30" i="12"/>
  <c r="AC29" i="12"/>
  <c r="AB30" i="12"/>
  <c r="AC31" i="12"/>
  <c r="AB31" i="12"/>
  <c r="I49" i="24"/>
  <c r="AK76" i="60" l="1"/>
  <c r="AJ76" i="60"/>
  <c r="AL76" i="60"/>
  <c r="AJ71" i="60"/>
  <c r="AL71" i="60"/>
  <c r="AK71" i="60"/>
  <c r="AJ81" i="56"/>
  <c r="AM81" i="56" s="1"/>
  <c r="AF81" i="56"/>
  <c r="AE81" i="56"/>
  <c r="AD81" i="56"/>
  <c r="AL81" i="56"/>
  <c r="AO81" i="56" s="1"/>
  <c r="AK81" i="56"/>
  <c r="AN81" i="56" s="1"/>
  <c r="AK61" i="56"/>
  <c r="AN61" i="56" s="1"/>
  <c r="AD61" i="56"/>
  <c r="AF61" i="56"/>
  <c r="AE61" i="56"/>
  <c r="AL61" i="56"/>
  <c r="AO61" i="56" s="1"/>
  <c r="AJ61" i="56"/>
  <c r="AM61" i="56" s="1"/>
  <c r="AK67" i="59"/>
  <c r="AN67" i="59" s="1"/>
  <c r="AE67" i="59"/>
  <c r="AL67" i="59"/>
  <c r="AO67" i="59" s="1"/>
  <c r="AJ67" i="59"/>
  <c r="AM67" i="59" s="1"/>
  <c r="AD67" i="59"/>
  <c r="AF67" i="59"/>
  <c r="AL59" i="59"/>
  <c r="AO59" i="59" s="1"/>
  <c r="AD59" i="59"/>
  <c r="AK59" i="59"/>
  <c r="AN59" i="59" s="1"/>
  <c r="AE59" i="59"/>
  <c r="AJ59" i="59"/>
  <c r="AM59" i="59" s="1"/>
  <c r="AF59" i="59"/>
  <c r="AF61" i="57"/>
  <c r="AK61" i="57"/>
  <c r="AN61" i="57" s="1"/>
  <c r="AL61" i="57"/>
  <c r="AO61" i="57" s="1"/>
  <c r="AD61" i="57"/>
  <c r="AJ61" i="57"/>
  <c r="AM61" i="57" s="1"/>
  <c r="AE61" i="57"/>
  <c r="AF103" i="58"/>
  <c r="AL103" i="58"/>
  <c r="AO103" i="58" s="1"/>
  <c r="AD103" i="58"/>
  <c r="AJ103" i="58"/>
  <c r="AM103" i="58" s="1"/>
  <c r="AE103" i="58"/>
  <c r="AK103" i="58"/>
  <c r="AN103" i="58" s="1"/>
  <c r="AL75" i="56"/>
  <c r="AK75" i="56"/>
  <c r="AJ75" i="56"/>
  <c r="AJ71" i="59"/>
  <c r="AL71" i="59"/>
  <c r="AK71" i="59"/>
  <c r="AL65" i="57"/>
  <c r="AJ65" i="57"/>
  <c r="AK65" i="57"/>
  <c r="AL74" i="57"/>
  <c r="AJ74" i="57"/>
  <c r="AK74" i="57"/>
  <c r="AL97" i="58"/>
  <c r="AO97" i="58" s="1"/>
  <c r="AD97" i="58"/>
  <c r="AE97" i="58"/>
  <c r="AF97" i="58"/>
  <c r="AK97" i="58"/>
  <c r="AN97" i="58" s="1"/>
  <c r="AJ97" i="58"/>
  <c r="AM97" i="58" s="1"/>
  <c r="AL47" i="56"/>
  <c r="AK47" i="56"/>
  <c r="AJ47" i="56"/>
  <c r="AK81" i="60"/>
  <c r="AL81" i="60"/>
  <c r="AJ81" i="60"/>
  <c r="AE85" i="58"/>
  <c r="AJ85" i="58"/>
  <c r="AM85" i="58" s="1"/>
  <c r="AL85" i="58"/>
  <c r="AO85" i="58" s="1"/>
  <c r="AK85" i="58"/>
  <c r="AN85" i="58" s="1"/>
  <c r="AD85" i="58"/>
  <c r="AF85" i="58"/>
  <c r="AL83" i="60"/>
  <c r="AO83" i="60" s="1"/>
  <c r="AK83" i="60"/>
  <c r="AN83" i="60" s="1"/>
  <c r="AE83" i="60"/>
  <c r="AF83" i="60"/>
  <c r="AJ83" i="60"/>
  <c r="AM83" i="60" s="1"/>
  <c r="AD83" i="60"/>
  <c r="AK95" i="58"/>
  <c r="AN95" i="58" s="1"/>
  <c r="AL95" i="58"/>
  <c r="AO95" i="58" s="1"/>
  <c r="AD95" i="58"/>
  <c r="AF95" i="58"/>
  <c r="AE95" i="58"/>
  <c r="AJ95" i="58"/>
  <c r="AM95" i="58" s="1"/>
  <c r="AF102" i="58"/>
  <c r="AE102" i="58"/>
  <c r="AJ102" i="58"/>
  <c r="AM102" i="58" s="1"/>
  <c r="AL102" i="58"/>
  <c r="AO102" i="58" s="1"/>
  <c r="AK102" i="58"/>
  <c r="AN102" i="58" s="1"/>
  <c r="AD102" i="58"/>
  <c r="AK63" i="60"/>
  <c r="AN63" i="60" s="1"/>
  <c r="AE63" i="60"/>
  <c r="AJ63" i="60"/>
  <c r="AM63" i="60" s="1"/>
  <c r="AF63" i="60"/>
  <c r="AD63" i="60"/>
  <c r="AL63" i="60"/>
  <c r="AO63" i="60" s="1"/>
  <c r="AJ70" i="57"/>
  <c r="AM70" i="57" s="1"/>
  <c r="AD70" i="57"/>
  <c r="AL70" i="57"/>
  <c r="AO70" i="57" s="1"/>
  <c r="AF70" i="57"/>
  <c r="AE70" i="57"/>
  <c r="AK70" i="57"/>
  <c r="AN70" i="57" s="1"/>
  <c r="AJ83" i="58"/>
  <c r="AM83" i="58" s="1"/>
  <c r="AK83" i="58"/>
  <c r="AN83" i="58" s="1"/>
  <c r="AL83" i="58"/>
  <c r="AO83" i="58" s="1"/>
  <c r="AE83" i="58"/>
  <c r="AD83" i="58"/>
  <c r="AF83" i="58"/>
  <c r="AL55" i="56"/>
  <c r="AJ55" i="56"/>
  <c r="AK55" i="56"/>
  <c r="AL73" i="56"/>
  <c r="AK73" i="56"/>
  <c r="AJ73" i="56"/>
  <c r="AL94" i="58"/>
  <c r="AO94" i="58" s="1"/>
  <c r="AK94" i="58"/>
  <c r="AN94" i="58" s="1"/>
  <c r="AF94" i="58"/>
  <c r="AD94" i="58"/>
  <c r="AJ94" i="58"/>
  <c r="AM94" i="58" s="1"/>
  <c r="AE94" i="58"/>
  <c r="AD59" i="56"/>
  <c r="AF59" i="56"/>
  <c r="AL59" i="56"/>
  <c r="AO59" i="56" s="1"/>
  <c r="AK59" i="56"/>
  <c r="AN59" i="56" s="1"/>
  <c r="AJ59" i="56"/>
  <c r="AM59" i="56" s="1"/>
  <c r="AE59" i="56"/>
  <c r="AJ78" i="58"/>
  <c r="AM78" i="58" s="1"/>
  <c r="AF78" i="58"/>
  <c r="AD78" i="58"/>
  <c r="AL78" i="58"/>
  <c r="AO78" i="58" s="1"/>
  <c r="AE78" i="58"/>
  <c r="AK78" i="58"/>
  <c r="AN78" i="58" s="1"/>
  <c r="I84" i="55"/>
  <c r="AB84" i="55" s="1"/>
  <c r="I48" i="55"/>
  <c r="AB48" i="55" s="1"/>
  <c r="I64" i="55"/>
  <c r="AB64" i="55" s="1"/>
  <c r="AD166" i="35"/>
  <c r="AL49" i="56"/>
  <c r="AJ49" i="56"/>
  <c r="AK49" i="56"/>
  <c r="AK87" i="58"/>
  <c r="AJ87" i="58"/>
  <c r="AL87" i="58"/>
  <c r="AK85" i="60"/>
  <c r="AN85" i="60" s="1"/>
  <c r="AJ85" i="60"/>
  <c r="AM85" i="60" s="1"/>
  <c r="AE85" i="60"/>
  <c r="AL85" i="60"/>
  <c r="AO85" i="60" s="1"/>
  <c r="AF85" i="60"/>
  <c r="AD85" i="60"/>
  <c r="AF84" i="56"/>
  <c r="AD84" i="56"/>
  <c r="AK84" i="56"/>
  <c r="AN84" i="56" s="1"/>
  <c r="AE84" i="56"/>
  <c r="AJ84" i="56"/>
  <c r="AM84" i="56" s="1"/>
  <c r="AL84" i="56"/>
  <c r="AO84" i="56" s="1"/>
  <c r="AL104" i="58"/>
  <c r="AO104" i="58" s="1"/>
  <c r="AE104" i="58"/>
  <c r="AJ104" i="58"/>
  <c r="AM104" i="58" s="1"/>
  <c r="AD104" i="58"/>
  <c r="AK104" i="58"/>
  <c r="AN104" i="58" s="1"/>
  <c r="AF104" i="58"/>
  <c r="AJ65" i="60"/>
  <c r="AM65" i="60" s="1"/>
  <c r="AF65" i="60"/>
  <c r="AD65" i="60"/>
  <c r="AK65" i="60"/>
  <c r="AN65" i="60" s="1"/>
  <c r="AL65" i="60"/>
  <c r="AO65" i="60" s="1"/>
  <c r="AE65" i="60"/>
  <c r="AL74" i="59"/>
  <c r="AO74" i="59" s="1"/>
  <c r="AF74" i="59"/>
  <c r="AK74" i="59"/>
  <c r="AN74" i="59" s="1"/>
  <c r="AJ74" i="59"/>
  <c r="AM74" i="59" s="1"/>
  <c r="AD74" i="59"/>
  <c r="AE74" i="59"/>
  <c r="AL73" i="58"/>
  <c r="AO73" i="58" s="1"/>
  <c r="AF73" i="58"/>
  <c r="AE73" i="58"/>
  <c r="AJ73" i="58"/>
  <c r="AM73" i="58" s="1"/>
  <c r="AK73" i="58"/>
  <c r="AN73" i="58" s="1"/>
  <c r="AD73" i="58"/>
  <c r="AL48" i="56"/>
  <c r="AK48" i="56"/>
  <c r="AJ48" i="56"/>
  <c r="AJ82" i="60"/>
  <c r="AK82" i="60"/>
  <c r="AL82" i="60"/>
  <c r="AJ73" i="60"/>
  <c r="AK73" i="60"/>
  <c r="AL73" i="60"/>
  <c r="AK70" i="60"/>
  <c r="AL70" i="60"/>
  <c r="AJ70" i="60"/>
  <c r="AJ84" i="60"/>
  <c r="AM84" i="60" s="1"/>
  <c r="AL84" i="60"/>
  <c r="AO84" i="60" s="1"/>
  <c r="AK84" i="60"/>
  <c r="AN84" i="60" s="1"/>
  <c r="AD84" i="60"/>
  <c r="AF84" i="60"/>
  <c r="AE84" i="60"/>
  <c r="AJ83" i="57"/>
  <c r="AM83" i="57" s="1"/>
  <c r="AF83" i="57"/>
  <c r="AD83" i="57"/>
  <c r="AK83" i="57"/>
  <c r="AN83" i="57" s="1"/>
  <c r="AL83" i="57"/>
  <c r="AO83" i="57" s="1"/>
  <c r="AE83" i="57"/>
  <c r="AL70" i="56"/>
  <c r="AJ70" i="56"/>
  <c r="AK70" i="56"/>
  <c r="AK96" i="58"/>
  <c r="AN96" i="58" s="1"/>
  <c r="AE96" i="58"/>
  <c r="AJ96" i="58"/>
  <c r="AM96" i="58" s="1"/>
  <c r="AF96" i="58"/>
  <c r="AD96" i="58"/>
  <c r="AL96" i="58"/>
  <c r="AO96" i="58" s="1"/>
  <c r="AJ67" i="57"/>
  <c r="AM67" i="57" s="1"/>
  <c r="AD67" i="57"/>
  <c r="AE67" i="57"/>
  <c r="AK67" i="57"/>
  <c r="AN67" i="57" s="1"/>
  <c r="AL67" i="57"/>
  <c r="AO67" i="57" s="1"/>
  <c r="AF67" i="57"/>
  <c r="AK74" i="60"/>
  <c r="AN74" i="60" s="1"/>
  <c r="AL74" i="60"/>
  <c r="AO74" i="60" s="1"/>
  <c r="AF74" i="60"/>
  <c r="AD74" i="60"/>
  <c r="AE74" i="60"/>
  <c r="AJ74" i="60"/>
  <c r="AM74" i="60" s="1"/>
  <c r="AK72" i="58"/>
  <c r="AN72" i="58" s="1"/>
  <c r="AE72" i="58"/>
  <c r="AF72" i="58"/>
  <c r="AL72" i="58"/>
  <c r="AO72" i="58" s="1"/>
  <c r="AJ72" i="58"/>
  <c r="AM72" i="58" s="1"/>
  <c r="AD72" i="58"/>
  <c r="AJ60" i="57"/>
  <c r="AM60" i="57" s="1"/>
  <c r="AL60" i="57"/>
  <c r="AO60" i="57" s="1"/>
  <c r="AD60" i="57"/>
  <c r="AE60" i="57"/>
  <c r="AK60" i="57"/>
  <c r="AN60" i="57" s="1"/>
  <c r="AF60" i="57"/>
  <c r="AE71" i="57"/>
  <c r="AK71" i="57"/>
  <c r="AN71" i="57" s="1"/>
  <c r="AF71" i="57"/>
  <c r="AL71" i="57"/>
  <c r="AO71" i="57" s="1"/>
  <c r="AJ71" i="57"/>
  <c r="AM71" i="57" s="1"/>
  <c r="AD71" i="57"/>
  <c r="AL78" i="56"/>
  <c r="AJ78" i="56"/>
  <c r="AK78" i="56"/>
  <c r="AJ68" i="59"/>
  <c r="AM68" i="59" s="1"/>
  <c r="AD68" i="59"/>
  <c r="AF68" i="59"/>
  <c r="AL68" i="59"/>
  <c r="AO68" i="59" s="1"/>
  <c r="AE68" i="59"/>
  <c r="AK68" i="59"/>
  <c r="AN68" i="59" s="1"/>
  <c r="AJ82" i="56"/>
  <c r="AM82" i="56" s="1"/>
  <c r="AD82" i="56"/>
  <c r="AK82" i="56"/>
  <c r="AN82" i="56" s="1"/>
  <c r="AL82" i="56"/>
  <c r="AO82" i="56" s="1"/>
  <c r="AE82" i="56"/>
  <c r="AF82" i="56"/>
  <c r="AJ66" i="57"/>
  <c r="AM66" i="57" s="1"/>
  <c r="AL66" i="57"/>
  <c r="AO66" i="57" s="1"/>
  <c r="AD66" i="57"/>
  <c r="AK66" i="57"/>
  <c r="AN66" i="57" s="1"/>
  <c r="AF66" i="57"/>
  <c r="AE66" i="57"/>
  <c r="AK70" i="59"/>
  <c r="AL70" i="59"/>
  <c r="AJ70" i="59"/>
  <c r="AL54" i="56"/>
  <c r="AJ54" i="56"/>
  <c r="AK54" i="56"/>
  <c r="AL72" i="56"/>
  <c r="AK72" i="56"/>
  <c r="AJ72" i="56"/>
  <c r="AF58" i="56"/>
  <c r="AK58" i="56"/>
  <c r="AN58" i="56" s="1"/>
  <c r="AD58" i="56"/>
  <c r="AL58" i="56"/>
  <c r="AO58" i="56" s="1"/>
  <c r="AE58" i="56"/>
  <c r="AJ58" i="56"/>
  <c r="AM58" i="56" s="1"/>
  <c r="AL69" i="57"/>
  <c r="AO69" i="57" s="1"/>
  <c r="AD69" i="57"/>
  <c r="AF69" i="57"/>
  <c r="AK69" i="57"/>
  <c r="AN69" i="57" s="1"/>
  <c r="AJ69" i="57"/>
  <c r="AM69" i="57" s="1"/>
  <c r="AE69" i="57"/>
  <c r="AD84" i="58"/>
  <c r="AJ84" i="58"/>
  <c r="AM84" i="58" s="1"/>
  <c r="AL84" i="58"/>
  <c r="AO84" i="58" s="1"/>
  <c r="AK84" i="58"/>
  <c r="AN84" i="58" s="1"/>
  <c r="AE84" i="58"/>
  <c r="AF84" i="58"/>
  <c r="AL74" i="58"/>
  <c r="AO74" i="58" s="1"/>
  <c r="AD74" i="58"/>
  <c r="AF74" i="58"/>
  <c r="AE74" i="58"/>
  <c r="AK74" i="58"/>
  <c r="AN74" i="58" s="1"/>
  <c r="AJ74" i="58"/>
  <c r="AM74" i="58" s="1"/>
  <c r="AL62" i="57"/>
  <c r="AO62" i="57" s="1"/>
  <c r="AK62" i="57"/>
  <c r="AN62" i="57" s="1"/>
  <c r="AE62" i="57"/>
  <c r="AF62" i="57"/>
  <c r="AJ62" i="57"/>
  <c r="AM62" i="57" s="1"/>
  <c r="AD62" i="57"/>
  <c r="AJ58" i="59"/>
  <c r="AM58" i="59" s="1"/>
  <c r="AL58" i="59"/>
  <c r="AO58" i="59" s="1"/>
  <c r="AK58" i="59"/>
  <c r="AN58" i="59" s="1"/>
  <c r="AD58" i="59"/>
  <c r="AE58" i="59"/>
  <c r="AF58" i="59"/>
  <c r="AL64" i="60"/>
  <c r="AO64" i="60" s="1"/>
  <c r="AJ64" i="60"/>
  <c r="AM64" i="60" s="1"/>
  <c r="AD64" i="60"/>
  <c r="AF64" i="60"/>
  <c r="AK64" i="60"/>
  <c r="AN64" i="60" s="1"/>
  <c r="AE64" i="60"/>
  <c r="AL71" i="56"/>
  <c r="AK71" i="56"/>
  <c r="AJ71" i="56"/>
  <c r="AK77" i="58"/>
  <c r="AL77" i="58"/>
  <c r="AJ77" i="58"/>
  <c r="AF57" i="56"/>
  <c r="AJ57" i="56"/>
  <c r="AM57" i="56" s="1"/>
  <c r="AL57" i="56"/>
  <c r="AO57" i="56" s="1"/>
  <c r="AD57" i="56"/>
  <c r="AE57" i="56"/>
  <c r="AK57" i="56"/>
  <c r="AN57" i="56" s="1"/>
  <c r="AD80" i="58"/>
  <c r="AJ80" i="58"/>
  <c r="AM80" i="58" s="1"/>
  <c r="AK80" i="58"/>
  <c r="AN80" i="58" s="1"/>
  <c r="AE80" i="58"/>
  <c r="AL80" i="58"/>
  <c r="AO80" i="58" s="1"/>
  <c r="AF80" i="58"/>
  <c r="AJ100" i="58"/>
  <c r="AM100" i="58" s="1"/>
  <c r="AL100" i="58"/>
  <c r="AO100" i="58" s="1"/>
  <c r="AD100" i="58"/>
  <c r="AE100" i="58"/>
  <c r="AF100" i="58"/>
  <c r="AK100" i="58"/>
  <c r="AN100" i="58" s="1"/>
  <c r="AK51" i="56"/>
  <c r="AL51" i="56"/>
  <c r="AJ51" i="56"/>
  <c r="AL81" i="57"/>
  <c r="AJ81" i="57"/>
  <c r="AK81" i="57"/>
  <c r="AL73" i="57"/>
  <c r="AO73" i="57" s="1"/>
  <c r="AE73" i="57"/>
  <c r="AF73" i="57"/>
  <c r="AD73" i="57"/>
  <c r="AK73" i="57"/>
  <c r="AN73" i="57" s="1"/>
  <c r="AJ73" i="57"/>
  <c r="AM73" i="57" s="1"/>
  <c r="AD56" i="56"/>
  <c r="AK56" i="56"/>
  <c r="AN56" i="56" s="1"/>
  <c r="AF56" i="56"/>
  <c r="AL56" i="56"/>
  <c r="AO56" i="56" s="1"/>
  <c r="AJ56" i="56"/>
  <c r="AM56" i="56" s="1"/>
  <c r="AE56" i="56"/>
  <c r="AL79" i="58"/>
  <c r="AO79" i="58" s="1"/>
  <c r="AD79" i="58"/>
  <c r="AF79" i="58"/>
  <c r="AE79" i="58"/>
  <c r="AK79" i="58"/>
  <c r="AN79" i="58" s="1"/>
  <c r="AJ79" i="58"/>
  <c r="AM79" i="58" s="1"/>
  <c r="AL73" i="59"/>
  <c r="AO73" i="59" s="1"/>
  <c r="AF73" i="59"/>
  <c r="AD73" i="59"/>
  <c r="AJ73" i="59"/>
  <c r="AM73" i="59" s="1"/>
  <c r="AE73" i="59"/>
  <c r="AK73" i="59"/>
  <c r="AN73" i="59" s="1"/>
  <c r="AJ88" i="60"/>
  <c r="AM88" i="60" s="1"/>
  <c r="AD88" i="60"/>
  <c r="AK88" i="60"/>
  <c r="AN88" i="60" s="1"/>
  <c r="AE88" i="60"/>
  <c r="AF88" i="60"/>
  <c r="AL88" i="60"/>
  <c r="AO88" i="60" s="1"/>
  <c r="AJ60" i="56"/>
  <c r="AM60" i="56" s="1"/>
  <c r="AK60" i="56"/>
  <c r="AN60" i="56" s="1"/>
  <c r="AE60" i="56"/>
  <c r="AL60" i="56"/>
  <c r="AO60" i="56" s="1"/>
  <c r="AF60" i="56"/>
  <c r="AD60" i="56"/>
  <c r="AK77" i="60"/>
  <c r="AJ77" i="60"/>
  <c r="AL77" i="60"/>
  <c r="AK68" i="60"/>
  <c r="AN68" i="60" s="1"/>
  <c r="AD68" i="60"/>
  <c r="AJ68" i="60"/>
  <c r="AM68" i="60" s="1"/>
  <c r="AF68" i="60"/>
  <c r="AL68" i="60"/>
  <c r="AO68" i="60" s="1"/>
  <c r="AE68" i="60"/>
  <c r="AL99" i="58"/>
  <c r="AO99" i="58" s="1"/>
  <c r="AD99" i="58"/>
  <c r="AF99" i="58"/>
  <c r="AE99" i="58"/>
  <c r="AJ99" i="58"/>
  <c r="AM99" i="58" s="1"/>
  <c r="AK99" i="58"/>
  <c r="AN99" i="58" s="1"/>
  <c r="AM85" i="35"/>
  <c r="AL77" i="56"/>
  <c r="AK77" i="56"/>
  <c r="AJ77" i="56"/>
  <c r="AL75" i="57"/>
  <c r="AJ75" i="57"/>
  <c r="AK75" i="57"/>
  <c r="AL98" i="58"/>
  <c r="AO98" i="58" s="1"/>
  <c r="AJ98" i="58"/>
  <c r="AM98" i="58" s="1"/>
  <c r="AK98" i="58"/>
  <c r="AN98" i="58" s="1"/>
  <c r="AF98" i="58"/>
  <c r="AE98" i="58"/>
  <c r="AD98" i="58"/>
  <c r="AJ81" i="58"/>
  <c r="AM81" i="58" s="1"/>
  <c r="AF81" i="58"/>
  <c r="AK81" i="58"/>
  <c r="AN81" i="58" s="1"/>
  <c r="AD81" i="58"/>
  <c r="AL81" i="58"/>
  <c r="AO81" i="58" s="1"/>
  <c r="AE81" i="58"/>
  <c r="AK72" i="57"/>
  <c r="AN72" i="57" s="1"/>
  <c r="AE72" i="57"/>
  <c r="AL72" i="57"/>
  <c r="AO72" i="57" s="1"/>
  <c r="AF72" i="57"/>
  <c r="AJ72" i="57"/>
  <c r="AM72" i="57" s="1"/>
  <c r="AD72" i="57"/>
  <c r="AL75" i="59"/>
  <c r="AO75" i="59" s="1"/>
  <c r="AF75" i="59"/>
  <c r="AD75" i="59"/>
  <c r="AK75" i="59"/>
  <c r="AN75" i="59" s="1"/>
  <c r="AE75" i="59"/>
  <c r="AJ75" i="59"/>
  <c r="AM75" i="59" s="1"/>
  <c r="AD90" i="60"/>
  <c r="AF90" i="60"/>
  <c r="AE90" i="60"/>
  <c r="AK90" i="60"/>
  <c r="AN90" i="60" s="1"/>
  <c r="AJ90" i="60"/>
  <c r="AM90" i="60" s="1"/>
  <c r="AL90" i="60"/>
  <c r="AO90" i="60" s="1"/>
  <c r="AK89" i="60"/>
  <c r="AN89" i="60" s="1"/>
  <c r="AD89" i="60"/>
  <c r="AL89" i="60"/>
  <c r="AO89" i="60" s="1"/>
  <c r="AJ89" i="60"/>
  <c r="AM89" i="60" s="1"/>
  <c r="AF89" i="60"/>
  <c r="AE89" i="60"/>
  <c r="AL52" i="56"/>
  <c r="AK52" i="56"/>
  <c r="AJ52" i="56"/>
  <c r="AL82" i="57"/>
  <c r="AJ82" i="57"/>
  <c r="AK82" i="57"/>
  <c r="AK86" i="58"/>
  <c r="AJ86" i="58"/>
  <c r="AL86" i="58"/>
  <c r="AF80" i="56"/>
  <c r="AJ80" i="56"/>
  <c r="AM80" i="56" s="1"/>
  <c r="AK80" i="56"/>
  <c r="AN80" i="56" s="1"/>
  <c r="AE80" i="56"/>
  <c r="AL80" i="56"/>
  <c r="AO80" i="56" s="1"/>
  <c r="AD80" i="56"/>
  <c r="AK68" i="57"/>
  <c r="AN68" i="57" s="1"/>
  <c r="AL68" i="57"/>
  <c r="AO68" i="57" s="1"/>
  <c r="AJ68" i="57"/>
  <c r="AM68" i="57" s="1"/>
  <c r="AF68" i="57"/>
  <c r="AD68" i="57"/>
  <c r="AE68" i="57"/>
  <c r="AL74" i="56"/>
  <c r="AJ74" i="56"/>
  <c r="AK74" i="56"/>
  <c r="AL69" i="60"/>
  <c r="AO69" i="60" s="1"/>
  <c r="AK69" i="60"/>
  <c r="AN69" i="60" s="1"/>
  <c r="AF69" i="60"/>
  <c r="AJ69" i="60"/>
  <c r="AM69" i="60" s="1"/>
  <c r="AE69" i="60"/>
  <c r="AD69" i="60"/>
  <c r="AD79" i="56"/>
  <c r="AJ79" i="56"/>
  <c r="AM79" i="56" s="1"/>
  <c r="AF79" i="56"/>
  <c r="AK79" i="56"/>
  <c r="AN79" i="56" s="1"/>
  <c r="AE79" i="56"/>
  <c r="AL79" i="56"/>
  <c r="AO79" i="56" s="1"/>
  <c r="AL66" i="59"/>
  <c r="AO66" i="59" s="1"/>
  <c r="AD66" i="59"/>
  <c r="AJ66" i="59"/>
  <c r="AM66" i="59" s="1"/>
  <c r="AE66" i="59"/>
  <c r="AK66" i="59"/>
  <c r="AN66" i="59" s="1"/>
  <c r="AF66" i="59"/>
  <c r="AK57" i="59"/>
  <c r="AN57" i="59" s="1"/>
  <c r="AJ57" i="59"/>
  <c r="AM57" i="59" s="1"/>
  <c r="AL57" i="59"/>
  <c r="AO57" i="59" s="1"/>
  <c r="AE57" i="59"/>
  <c r="AF57" i="59"/>
  <c r="AD57" i="59"/>
  <c r="AJ82" i="58"/>
  <c r="AM82" i="58" s="1"/>
  <c r="AE82" i="58"/>
  <c r="AL82" i="58"/>
  <c r="AO82" i="58" s="1"/>
  <c r="AF82" i="58"/>
  <c r="AK82" i="58"/>
  <c r="AN82" i="58" s="1"/>
  <c r="AD82" i="58"/>
  <c r="AJ83" i="56"/>
  <c r="AM83" i="56" s="1"/>
  <c r="AD83" i="56"/>
  <c r="AF83" i="56"/>
  <c r="AK83" i="56"/>
  <c r="AN83" i="56" s="1"/>
  <c r="AL83" i="56"/>
  <c r="AO83" i="56" s="1"/>
  <c r="AE83" i="56"/>
  <c r="AL50" i="56"/>
  <c r="AJ50" i="56"/>
  <c r="AK50" i="56"/>
  <c r="AL53" i="56"/>
  <c r="AO53" i="56" s="1"/>
  <c r="AE53" i="56"/>
  <c r="AF53" i="56"/>
  <c r="AD53" i="56"/>
  <c r="AK53" i="56"/>
  <c r="AN53" i="56" s="1"/>
  <c r="AJ53" i="56"/>
  <c r="AM53" i="56" s="1"/>
  <c r="AJ86" i="60"/>
  <c r="AM86" i="60" s="1"/>
  <c r="AE86" i="60"/>
  <c r="AL86" i="60"/>
  <c r="AO86" i="60" s="1"/>
  <c r="AK86" i="60"/>
  <c r="AN86" i="60" s="1"/>
  <c r="AF86" i="60"/>
  <c r="AD86" i="60"/>
  <c r="AO84" i="35"/>
  <c r="AJ124" i="35"/>
  <c r="AM124" i="35" s="1"/>
  <c r="AE119" i="35"/>
  <c r="AM104" i="35"/>
  <c r="AH113" i="35"/>
  <c r="AM95" i="35"/>
  <c r="AF97" i="35"/>
  <c r="AF75" i="35"/>
  <c r="AM145" i="35"/>
  <c r="AN107" i="35"/>
  <c r="AM131" i="35"/>
  <c r="AN126" i="35"/>
  <c r="AO96" i="35"/>
  <c r="AD153" i="35"/>
  <c r="AJ149" i="35"/>
  <c r="AM149" i="35" s="1"/>
  <c r="AD137" i="35"/>
  <c r="AE138" i="35"/>
  <c r="AK146" i="35"/>
  <c r="AN146" i="35" s="1"/>
  <c r="AN158" i="35"/>
  <c r="AD139" i="35"/>
  <c r="AG159" i="35"/>
  <c r="AL141" i="35"/>
  <c r="AO141" i="35" s="1"/>
  <c r="AJ167" i="35"/>
  <c r="AF162" i="35"/>
  <c r="AM164" i="35"/>
  <c r="AE153" i="35"/>
  <c r="AJ141" i="35"/>
  <c r="AM141" i="35" s="1"/>
  <c r="AE137" i="35"/>
  <c r="AD161" i="35"/>
  <c r="AO155" i="35"/>
  <c r="AF155" i="35"/>
  <c r="AL149" i="35"/>
  <c r="AO149" i="35" s="1"/>
  <c r="AJ136" i="35"/>
  <c r="AD167" i="35"/>
  <c r="AO157" i="35"/>
  <c r="AL151" i="35"/>
  <c r="AO151" i="35" s="1"/>
  <c r="AE149" i="35"/>
  <c r="AI159" i="35"/>
  <c r="AF160" i="35"/>
  <c r="AH167" i="35"/>
  <c r="AN167" i="35" s="1"/>
  <c r="AL137" i="35"/>
  <c r="AO137" i="35" s="1"/>
  <c r="AF151" i="35"/>
  <c r="AK151" i="35"/>
  <c r="AN151" i="35" s="1"/>
  <c r="AJ137" i="35"/>
  <c r="AM137" i="35" s="1"/>
  <c r="AE135" i="35"/>
  <c r="AE151" i="35"/>
  <c r="AE144" i="35"/>
  <c r="AM157" i="35"/>
  <c r="AD151" i="35"/>
  <c r="AN163" i="35"/>
  <c r="AF134" i="35"/>
  <c r="AG167" i="35"/>
  <c r="AK139" i="35"/>
  <c r="AN139" i="35" s="1"/>
  <c r="AF139" i="35"/>
  <c r="AJ147" i="35"/>
  <c r="AM147" i="35" s="1"/>
  <c r="AN140" i="35"/>
  <c r="AK160" i="35"/>
  <c r="AN160" i="35" s="1"/>
  <c r="AK147" i="35"/>
  <c r="AN147" i="35" s="1"/>
  <c r="AN136" i="35"/>
  <c r="AE162" i="35"/>
  <c r="AN156" i="35"/>
  <c r="AE139" i="35"/>
  <c r="AE147" i="35"/>
  <c r="AN145" i="35"/>
  <c r="AM152" i="35"/>
  <c r="AD147" i="35"/>
  <c r="AD134" i="35"/>
  <c r="AF135" i="35"/>
  <c r="AK135" i="35"/>
  <c r="AN135" i="35" s="1"/>
  <c r="AJ139" i="35"/>
  <c r="AM139" i="35" s="1"/>
  <c r="AI144" i="35"/>
  <c r="AO144" i="35" s="1"/>
  <c r="AO148" i="35"/>
  <c r="AJ155" i="35"/>
  <c r="AM155" i="35" s="1"/>
  <c r="AN117" i="35"/>
  <c r="AG133" i="35"/>
  <c r="AM133" i="35" s="1"/>
  <c r="AG103" i="35"/>
  <c r="AO120" i="35"/>
  <c r="AN118" i="35"/>
  <c r="AJ123" i="35"/>
  <c r="AM123" i="35" s="1"/>
  <c r="AI132" i="35"/>
  <c r="AE115" i="35"/>
  <c r="AE116" i="35"/>
  <c r="AM120" i="35"/>
  <c r="AH133" i="35"/>
  <c r="AF103" i="35"/>
  <c r="AK116" i="35"/>
  <c r="AN116" i="35" s="1"/>
  <c r="AD132" i="35"/>
  <c r="AJ115" i="35"/>
  <c r="AE127" i="35"/>
  <c r="AE112" i="35"/>
  <c r="AE103" i="35"/>
  <c r="AO126" i="35"/>
  <c r="AG105" i="35"/>
  <c r="AM105" i="35" s="1"/>
  <c r="AF116" i="35"/>
  <c r="AD125" i="35"/>
  <c r="AD103" i="35"/>
  <c r="AM115" i="35"/>
  <c r="AD127" i="35"/>
  <c r="AK122" i="35"/>
  <c r="AM126" i="35"/>
  <c r="AO103" i="35"/>
  <c r="AO107" i="35"/>
  <c r="AD116" i="35"/>
  <c r="AJ125" i="35"/>
  <c r="AM125" i="35" s="1"/>
  <c r="AI108" i="35"/>
  <c r="AH132" i="35"/>
  <c r="AJ111" i="35"/>
  <c r="AK115" i="35"/>
  <c r="AN115" i="35" s="1"/>
  <c r="AG108" i="35"/>
  <c r="AM108" i="35" s="1"/>
  <c r="AJ127" i="35"/>
  <c r="AM127" i="35" s="1"/>
  <c r="AO125" i="35"/>
  <c r="AD112" i="35"/>
  <c r="AE111" i="35"/>
  <c r="AD105" i="35"/>
  <c r="AJ116" i="35"/>
  <c r="AM116" i="35" s="1"/>
  <c r="AH103" i="35"/>
  <c r="AN103" i="35" s="1"/>
  <c r="AD115" i="35"/>
  <c r="AD122" i="35"/>
  <c r="AD111" i="35"/>
  <c r="AJ122" i="35"/>
  <c r="AM122" i="35" s="1"/>
  <c r="AI105" i="35"/>
  <c r="AO105" i="35" s="1"/>
  <c r="AF111" i="35"/>
  <c r="AF125" i="35"/>
  <c r="AK125" i="35"/>
  <c r="AN125" i="35" s="1"/>
  <c r="AE108" i="35"/>
  <c r="AD119" i="35"/>
  <c r="AK128" i="35"/>
  <c r="AN128" i="35" s="1"/>
  <c r="AO119" i="35"/>
  <c r="AF112" i="35"/>
  <c r="AL106" i="35"/>
  <c r="AO106" i="35" s="1"/>
  <c r="AF108" i="35"/>
  <c r="AJ112" i="35"/>
  <c r="AM112" i="35" s="1"/>
  <c r="AF124" i="35"/>
  <c r="AE128" i="35"/>
  <c r="AM107" i="35"/>
  <c r="AD123" i="35"/>
  <c r="AM111" i="35"/>
  <c r="AF122" i="35"/>
  <c r="AK108" i="35"/>
  <c r="AN108" i="35" s="1"/>
  <c r="AF115" i="35"/>
  <c r="AE125" i="35"/>
  <c r="AF127" i="35"/>
  <c r="AK112" i="35"/>
  <c r="AN112" i="35" s="1"/>
  <c r="AF123" i="35"/>
  <c r="AL127" i="35"/>
  <c r="AO127" i="35" s="1"/>
  <c r="AO124" i="35"/>
  <c r="AM118" i="35"/>
  <c r="AF113" i="35"/>
  <c r="AN127" i="35"/>
  <c r="AM130" i="35"/>
  <c r="AH129" i="35"/>
  <c r="AH119" i="35"/>
  <c r="AN119" i="35" s="1"/>
  <c r="AJ106" i="35"/>
  <c r="AM106" i="35" s="1"/>
  <c r="AE122" i="35"/>
  <c r="AK111" i="35"/>
  <c r="AF119" i="35"/>
  <c r="AO132" i="35"/>
  <c r="AO128" i="35"/>
  <c r="AD108" i="35"/>
  <c r="AD72" i="35"/>
  <c r="AF99" i="35"/>
  <c r="AF82" i="35"/>
  <c r="AN88" i="35"/>
  <c r="AJ93" i="35"/>
  <c r="AF73" i="35"/>
  <c r="AD81" i="35"/>
  <c r="AJ81" i="35"/>
  <c r="AO102" i="35"/>
  <c r="AO78" i="35"/>
  <c r="AG73" i="35"/>
  <c r="AE74" i="35"/>
  <c r="AK74" i="35"/>
  <c r="AN74" i="35" s="1"/>
  <c r="AK77" i="35"/>
  <c r="AL75" i="35"/>
  <c r="AO75" i="35" s="1"/>
  <c r="AH73" i="35"/>
  <c r="AF85" i="35"/>
  <c r="AL86" i="35"/>
  <c r="AF100" i="35"/>
  <c r="AJ98" i="35"/>
  <c r="AM98" i="35" s="1"/>
  <c r="AG88" i="35"/>
  <c r="AN92" i="35"/>
  <c r="AK97" i="35"/>
  <c r="AJ74" i="35"/>
  <c r="AE89" i="35"/>
  <c r="AK73" i="35"/>
  <c r="AG82" i="35"/>
  <c r="AM78" i="35"/>
  <c r="AI82" i="35"/>
  <c r="AO82" i="35" s="1"/>
  <c r="AD85" i="35"/>
  <c r="AJ88" i="35"/>
  <c r="AD89" i="35"/>
  <c r="AE100" i="35"/>
  <c r="AN95" i="35"/>
  <c r="AI88" i="35"/>
  <c r="AO88" i="35" s="1"/>
  <c r="AD100" i="35"/>
  <c r="AK85" i="35"/>
  <c r="AN85" i="35" s="1"/>
  <c r="AH77" i="35"/>
  <c r="AN77" i="35" s="1"/>
  <c r="AE82" i="35"/>
  <c r="AJ82" i="35"/>
  <c r="AD77" i="35"/>
  <c r="AE75" i="35"/>
  <c r="AJ75" i="35"/>
  <c r="AM75" i="35" s="1"/>
  <c r="AE72" i="35"/>
  <c r="AL98" i="35"/>
  <c r="AO98" i="35" s="1"/>
  <c r="AF86" i="35"/>
  <c r="AK98" i="35"/>
  <c r="AN98" i="35" s="1"/>
  <c r="AE98" i="35"/>
  <c r="AE97" i="35"/>
  <c r="AJ97" i="35"/>
  <c r="AM97" i="35" s="1"/>
  <c r="AK91" i="35"/>
  <c r="AN91" i="35" s="1"/>
  <c r="AD94" i="35"/>
  <c r="AD73" i="35"/>
  <c r="AE99" i="35"/>
  <c r="AD91" i="35"/>
  <c r="AF93" i="35"/>
  <c r="AF72" i="35"/>
  <c r="AD75" i="35"/>
  <c r="AK82" i="35"/>
  <c r="AN82" i="35" s="1"/>
  <c r="AJ86" i="35"/>
  <c r="AD93" i="35"/>
  <c r="AD97" i="35"/>
  <c r="AD98" i="35"/>
  <c r="AO97" i="35"/>
  <c r="AL99" i="35"/>
  <c r="AO99" i="35" s="1"/>
  <c r="AM102" i="35"/>
  <c r="AG114" i="14"/>
  <c r="AM114" i="14" s="1"/>
  <c r="AK115" i="14"/>
  <c r="AH114" i="14"/>
  <c r="AJ89" i="14"/>
  <c r="AG106" i="14"/>
  <c r="AM106" i="14" s="1"/>
  <c r="AJ176" i="54"/>
  <c r="AL176" i="54"/>
  <c r="AK176" i="54"/>
  <c r="AL81" i="53"/>
  <c r="AO81" i="53" s="1"/>
  <c r="AF81" i="53"/>
  <c r="AE81" i="53"/>
  <c r="AK81" i="53"/>
  <c r="AN81" i="53" s="1"/>
  <c r="AD81" i="53"/>
  <c r="AJ81" i="53"/>
  <c r="AM81" i="53" s="1"/>
  <c r="AL77" i="53"/>
  <c r="AO77" i="53" s="1"/>
  <c r="AE77" i="53"/>
  <c r="AK77" i="53"/>
  <c r="AN77" i="53" s="1"/>
  <c r="AD77" i="53"/>
  <c r="AJ77" i="53"/>
  <c r="AM77" i="53" s="1"/>
  <c r="AF77" i="53"/>
  <c r="AL62" i="18"/>
  <c r="AO62" i="18" s="1"/>
  <c r="AE62" i="18"/>
  <c r="AK62" i="18"/>
  <c r="AN62" i="18" s="1"/>
  <c r="AJ62" i="18"/>
  <c r="AM62" i="18" s="1"/>
  <c r="AD62" i="18"/>
  <c r="AF62" i="18"/>
  <c r="AK145" i="54"/>
  <c r="AN145" i="54" s="1"/>
  <c r="AD145" i="54"/>
  <c r="AE145" i="54"/>
  <c r="AL145" i="54"/>
  <c r="AO145" i="54" s="1"/>
  <c r="AF145" i="54"/>
  <c r="AJ145" i="54"/>
  <c r="AM145" i="54" s="1"/>
  <c r="AK70" i="54"/>
  <c r="AN70" i="54" s="1"/>
  <c r="AF70" i="54"/>
  <c r="AE70" i="54"/>
  <c r="AL70" i="54"/>
  <c r="AO70" i="54" s="1"/>
  <c r="AJ70" i="54"/>
  <c r="AM70" i="54" s="1"/>
  <c r="AD70" i="54"/>
  <c r="AJ83" i="55"/>
  <c r="AK83" i="55"/>
  <c r="AL83" i="55"/>
  <c r="AJ171" i="54"/>
  <c r="AM171" i="54" s="1"/>
  <c r="AD171" i="54"/>
  <c r="AK171" i="54"/>
  <c r="AN171" i="54" s="1"/>
  <c r="AF171" i="54"/>
  <c r="AL171" i="54"/>
  <c r="AO171" i="54" s="1"/>
  <c r="AE171" i="54"/>
  <c r="AJ138" i="54"/>
  <c r="AM138" i="54" s="1"/>
  <c r="AL138" i="54"/>
  <c r="AO138" i="54" s="1"/>
  <c r="AD138" i="54"/>
  <c r="AE138" i="54"/>
  <c r="AK138" i="54"/>
  <c r="AN138" i="54" s="1"/>
  <c r="AF138" i="54"/>
  <c r="AL96" i="53"/>
  <c r="AO96" i="53" s="1"/>
  <c r="AJ96" i="53"/>
  <c r="AM96" i="53" s="1"/>
  <c r="AE96" i="53"/>
  <c r="AD96" i="53"/>
  <c r="AK96" i="53"/>
  <c r="AN96" i="53" s="1"/>
  <c r="AF96" i="53"/>
  <c r="AF68" i="53"/>
  <c r="AK68" i="53"/>
  <c r="AN68" i="53" s="1"/>
  <c r="AL68" i="53"/>
  <c r="AO68" i="53" s="1"/>
  <c r="AE68" i="53"/>
  <c r="AJ68" i="53"/>
  <c r="AM68" i="53" s="1"/>
  <c r="AD68" i="53"/>
  <c r="AJ84" i="55"/>
  <c r="AL84" i="55"/>
  <c r="AE84" i="55"/>
  <c r="AK84" i="55"/>
  <c r="AD84" i="55"/>
  <c r="AF84" i="55"/>
  <c r="AK91" i="54"/>
  <c r="AL91" i="54"/>
  <c r="AJ91" i="54"/>
  <c r="AL84" i="53"/>
  <c r="AO84" i="53" s="1"/>
  <c r="AE84" i="53"/>
  <c r="AJ84" i="53"/>
  <c r="AM84" i="53" s="1"/>
  <c r="AK84" i="53"/>
  <c r="AN84" i="53" s="1"/>
  <c r="AF84" i="53"/>
  <c r="AD84" i="53"/>
  <c r="AJ122" i="54"/>
  <c r="AM122" i="54" s="1"/>
  <c r="AL122" i="54"/>
  <c r="AO122" i="54" s="1"/>
  <c r="AF122" i="54"/>
  <c r="AE122" i="54"/>
  <c r="AD122" i="54"/>
  <c r="AK122" i="54"/>
  <c r="AN122" i="54" s="1"/>
  <c r="AE60" i="18"/>
  <c r="AJ60" i="18"/>
  <c r="AM60" i="18" s="1"/>
  <c r="AF60" i="18"/>
  <c r="AL60" i="18"/>
  <c r="AO60" i="18" s="1"/>
  <c r="AD60" i="18"/>
  <c r="AK60" i="18"/>
  <c r="AN60" i="18" s="1"/>
  <c r="AJ185" i="54"/>
  <c r="AM185" i="54" s="1"/>
  <c r="AD185" i="54"/>
  <c r="AF185" i="54"/>
  <c r="AL185" i="54"/>
  <c r="AO185" i="54" s="1"/>
  <c r="AK185" i="54"/>
  <c r="AN185" i="54" s="1"/>
  <c r="AE185" i="54"/>
  <c r="AK45" i="55"/>
  <c r="AL45" i="55"/>
  <c r="AJ45" i="55"/>
  <c r="AK65" i="18"/>
  <c r="AN65" i="18" s="1"/>
  <c r="AD65" i="18"/>
  <c r="AJ65" i="18"/>
  <c r="AM65" i="18" s="1"/>
  <c r="AE65" i="18"/>
  <c r="AL65" i="18"/>
  <c r="AO65" i="18" s="1"/>
  <c r="AF65" i="18"/>
  <c r="AJ173" i="54"/>
  <c r="AK173" i="54"/>
  <c r="AL173" i="54"/>
  <c r="AJ183" i="54"/>
  <c r="AM183" i="54" s="1"/>
  <c r="AF183" i="54"/>
  <c r="AD183" i="54"/>
  <c r="AK183" i="54"/>
  <c r="AN183" i="54" s="1"/>
  <c r="AL183" i="54"/>
  <c r="AO183" i="54" s="1"/>
  <c r="AE183" i="54"/>
  <c r="AL80" i="53"/>
  <c r="AO80" i="53" s="1"/>
  <c r="AE80" i="53"/>
  <c r="AJ80" i="53"/>
  <c r="AM80" i="53" s="1"/>
  <c r="AD80" i="53"/>
  <c r="AK80" i="53"/>
  <c r="AN80" i="53" s="1"/>
  <c r="AF80" i="53"/>
  <c r="AF59" i="52"/>
  <c r="AE59" i="52"/>
  <c r="AJ59" i="52"/>
  <c r="AM59" i="52" s="1"/>
  <c r="AL59" i="52"/>
  <c r="AO59" i="52" s="1"/>
  <c r="AD59" i="52"/>
  <c r="AK59" i="52"/>
  <c r="AN59" i="52" s="1"/>
  <c r="AL61" i="18"/>
  <c r="AO61" i="18" s="1"/>
  <c r="AE61" i="18"/>
  <c r="AK61" i="18"/>
  <c r="AN61" i="18" s="1"/>
  <c r="AD61" i="18"/>
  <c r="AF61" i="18"/>
  <c r="AJ61" i="18"/>
  <c r="AM61" i="18" s="1"/>
  <c r="AE39" i="55"/>
  <c r="AJ39" i="55"/>
  <c r="AL39" i="55"/>
  <c r="AD39" i="55"/>
  <c r="AK39" i="55"/>
  <c r="AF39" i="55"/>
  <c r="AL69" i="54"/>
  <c r="AK69" i="54"/>
  <c r="AJ69" i="54"/>
  <c r="AD69" i="54"/>
  <c r="AF69" i="54"/>
  <c r="AE69" i="54"/>
  <c r="AJ158" i="54"/>
  <c r="AE158" i="54"/>
  <c r="AK158" i="54"/>
  <c r="AD158" i="54"/>
  <c r="AF158" i="54"/>
  <c r="AL158" i="54"/>
  <c r="AK76" i="54"/>
  <c r="AN76" i="54" s="1"/>
  <c r="AF76" i="54"/>
  <c r="AD76" i="54"/>
  <c r="AL76" i="54"/>
  <c r="AO76" i="54" s="1"/>
  <c r="AJ76" i="54"/>
  <c r="AM76" i="54" s="1"/>
  <c r="AE76" i="54"/>
  <c r="AJ59" i="18"/>
  <c r="AM59" i="18" s="1"/>
  <c r="AF59" i="18"/>
  <c r="AE59" i="18"/>
  <c r="AL59" i="18"/>
  <c r="AO59" i="18" s="1"/>
  <c r="AD59" i="18"/>
  <c r="AK59" i="18"/>
  <c r="AN59" i="18" s="1"/>
  <c r="AJ89" i="54"/>
  <c r="AM89" i="54" s="1"/>
  <c r="AK89" i="54"/>
  <c r="AN89" i="54" s="1"/>
  <c r="AL89" i="54"/>
  <c r="AO89" i="54" s="1"/>
  <c r="AF89" i="54"/>
  <c r="AE89" i="54"/>
  <c r="AD89" i="54"/>
  <c r="AL80" i="55"/>
  <c r="AJ80" i="55"/>
  <c r="AK80" i="55"/>
  <c r="AK44" i="55"/>
  <c r="AJ44" i="55"/>
  <c r="AL44" i="55"/>
  <c r="AK99" i="53"/>
  <c r="AN99" i="53" s="1"/>
  <c r="AD99" i="53"/>
  <c r="AL99" i="53"/>
  <c r="AO99" i="53" s="1"/>
  <c r="AF99" i="53"/>
  <c r="AJ99" i="53"/>
  <c r="AM99" i="53" s="1"/>
  <c r="AE99" i="53"/>
  <c r="AJ130" i="54"/>
  <c r="AL130" i="54"/>
  <c r="AK130" i="54"/>
  <c r="AL168" i="54"/>
  <c r="AO168" i="54" s="1"/>
  <c r="AJ168" i="54"/>
  <c r="AM168" i="54" s="1"/>
  <c r="AD168" i="54"/>
  <c r="AK168" i="54"/>
  <c r="AN168" i="54" s="1"/>
  <c r="AF168" i="54"/>
  <c r="AE168" i="54"/>
  <c r="AL76" i="55"/>
  <c r="AO76" i="55" s="1"/>
  <c r="AF76" i="55"/>
  <c r="AK76" i="55"/>
  <c r="AN76" i="55" s="1"/>
  <c r="AE76" i="55"/>
  <c r="AJ76" i="55"/>
  <c r="AM76" i="55" s="1"/>
  <c r="AD76" i="55"/>
  <c r="AL102" i="54"/>
  <c r="AO102" i="54" s="1"/>
  <c r="AK102" i="54"/>
  <c r="AN102" i="54" s="1"/>
  <c r="AE102" i="54"/>
  <c r="AF102" i="54"/>
  <c r="AD102" i="54"/>
  <c r="AJ102" i="54"/>
  <c r="AM102" i="54" s="1"/>
  <c r="AL63" i="55"/>
  <c r="AK63" i="55"/>
  <c r="AJ63" i="55"/>
  <c r="AJ51" i="52"/>
  <c r="AM51" i="52" s="1"/>
  <c r="AE51" i="52"/>
  <c r="AF51" i="52"/>
  <c r="AL51" i="52"/>
  <c r="AO51" i="52" s="1"/>
  <c r="AD51" i="52"/>
  <c r="AK51" i="52"/>
  <c r="AN51" i="52" s="1"/>
  <c r="AL57" i="55"/>
  <c r="AO57" i="55" s="1"/>
  <c r="AE57" i="55"/>
  <c r="AK57" i="55"/>
  <c r="AN57" i="55" s="1"/>
  <c r="AF57" i="55"/>
  <c r="AJ57" i="55"/>
  <c r="AM57" i="55" s="1"/>
  <c r="AD57" i="55"/>
  <c r="AK160" i="54"/>
  <c r="AN160" i="54" s="1"/>
  <c r="AE160" i="54"/>
  <c r="AL160" i="54"/>
  <c r="AO160" i="54" s="1"/>
  <c r="AJ160" i="54"/>
  <c r="AM160" i="54" s="1"/>
  <c r="AD160" i="54"/>
  <c r="AF160" i="54"/>
  <c r="AL134" i="54"/>
  <c r="AJ134" i="54"/>
  <c r="AK134" i="54"/>
  <c r="AL139" i="54"/>
  <c r="AO139" i="54" s="1"/>
  <c r="AK139" i="54"/>
  <c r="AN139" i="54" s="1"/>
  <c r="AJ139" i="54"/>
  <c r="AM139" i="54" s="1"/>
  <c r="AF139" i="54"/>
  <c r="AD139" i="54"/>
  <c r="AE139" i="54"/>
  <c r="AL77" i="54"/>
  <c r="AO77" i="54" s="1"/>
  <c r="AF77" i="54"/>
  <c r="AK77" i="54"/>
  <c r="AN77" i="54" s="1"/>
  <c r="AD77" i="54"/>
  <c r="AJ77" i="54"/>
  <c r="AM77" i="54" s="1"/>
  <c r="AE77" i="54"/>
  <c r="AJ55" i="52"/>
  <c r="AM55" i="52" s="1"/>
  <c r="AD55" i="52"/>
  <c r="AF55" i="52"/>
  <c r="AK55" i="52"/>
  <c r="AN55" i="52" s="1"/>
  <c r="AE55" i="52"/>
  <c r="AL55" i="52"/>
  <c r="AO55" i="52" s="1"/>
  <c r="AJ142" i="54"/>
  <c r="AM142" i="54" s="1"/>
  <c r="AF142" i="54"/>
  <c r="AL142" i="54"/>
  <c r="AO142" i="54" s="1"/>
  <c r="AD142" i="54"/>
  <c r="AK142" i="54"/>
  <c r="AN142" i="54" s="1"/>
  <c r="AE142" i="54"/>
  <c r="AL86" i="54"/>
  <c r="AK86" i="54"/>
  <c r="AJ86" i="54"/>
  <c r="AJ76" i="53"/>
  <c r="AM76" i="53" s="1"/>
  <c r="AK76" i="53"/>
  <c r="AN76" i="53" s="1"/>
  <c r="AF76" i="53"/>
  <c r="AE76" i="53"/>
  <c r="AL76" i="53"/>
  <c r="AO76" i="53" s="1"/>
  <c r="AD76" i="53"/>
  <c r="AJ135" i="54"/>
  <c r="AK135" i="54"/>
  <c r="AL135" i="54"/>
  <c r="AJ84" i="54"/>
  <c r="AL84" i="54"/>
  <c r="AK84" i="54"/>
  <c r="AE140" i="54"/>
  <c r="AL140" i="54"/>
  <c r="AO140" i="54" s="1"/>
  <c r="AJ140" i="54"/>
  <c r="AM140" i="54" s="1"/>
  <c r="AF140" i="54"/>
  <c r="AD140" i="54"/>
  <c r="AK140" i="54"/>
  <c r="AN140" i="54" s="1"/>
  <c r="AF167" i="54"/>
  <c r="AE167" i="54"/>
  <c r="AD167" i="54"/>
  <c r="AL167" i="54"/>
  <c r="AO167" i="54" s="1"/>
  <c r="AK167" i="54"/>
  <c r="AN167" i="54" s="1"/>
  <c r="AJ167" i="54"/>
  <c r="AM167" i="54" s="1"/>
  <c r="AJ180" i="54"/>
  <c r="AM180" i="54" s="1"/>
  <c r="AF180" i="54"/>
  <c r="AD180" i="54"/>
  <c r="AL180" i="54"/>
  <c r="AO180" i="54" s="1"/>
  <c r="AE180" i="54"/>
  <c r="AK180" i="54"/>
  <c r="AN180" i="54" s="1"/>
  <c r="AL94" i="54"/>
  <c r="AO94" i="54" s="1"/>
  <c r="AF94" i="54"/>
  <c r="AD94" i="54"/>
  <c r="AK94" i="54"/>
  <c r="AN94" i="54" s="1"/>
  <c r="AJ94" i="54"/>
  <c r="AM94" i="54" s="1"/>
  <c r="AE94" i="54"/>
  <c r="AL66" i="53"/>
  <c r="AO66" i="53" s="1"/>
  <c r="AE66" i="53"/>
  <c r="AD66" i="53"/>
  <c r="AJ66" i="53"/>
  <c r="AM66" i="53" s="1"/>
  <c r="AK66" i="53"/>
  <c r="AN66" i="53" s="1"/>
  <c r="AF66" i="53"/>
  <c r="AJ101" i="54"/>
  <c r="AM101" i="54" s="1"/>
  <c r="AF101" i="54"/>
  <c r="AE101" i="54"/>
  <c r="AL101" i="54"/>
  <c r="AO101" i="54" s="1"/>
  <c r="AK101" i="54"/>
  <c r="AN101" i="54" s="1"/>
  <c r="AD101" i="54"/>
  <c r="AJ187" i="54"/>
  <c r="AM187" i="54" s="1"/>
  <c r="AL187" i="54"/>
  <c r="AO187" i="54" s="1"/>
  <c r="AE187" i="54"/>
  <c r="AF187" i="54"/>
  <c r="AK187" i="54"/>
  <c r="AN187" i="54" s="1"/>
  <c r="AD187" i="54"/>
  <c r="AJ75" i="55"/>
  <c r="AF75" i="55"/>
  <c r="AK75" i="55"/>
  <c r="AD75" i="55"/>
  <c r="AL75" i="55"/>
  <c r="AE75" i="55"/>
  <c r="AL165" i="54"/>
  <c r="AO165" i="54" s="1"/>
  <c r="AF165" i="54"/>
  <c r="AJ165" i="54"/>
  <c r="AM165" i="54" s="1"/>
  <c r="AK165" i="54"/>
  <c r="AN165" i="54" s="1"/>
  <c r="AD165" i="54"/>
  <c r="AE165" i="54"/>
  <c r="AJ170" i="54"/>
  <c r="AM170" i="54" s="1"/>
  <c r="AF170" i="54"/>
  <c r="AD170" i="54"/>
  <c r="AL170" i="54"/>
  <c r="AO170" i="54" s="1"/>
  <c r="AE170" i="54"/>
  <c r="AK170" i="54"/>
  <c r="AN170" i="54" s="1"/>
  <c r="AJ119" i="54"/>
  <c r="AL119" i="54"/>
  <c r="AK119" i="54"/>
  <c r="AL74" i="54"/>
  <c r="AK74" i="54"/>
  <c r="AJ74" i="54"/>
  <c r="AD169" i="54"/>
  <c r="AJ169" i="54"/>
  <c r="AM169" i="54" s="1"/>
  <c r="AE169" i="54"/>
  <c r="AK169" i="54"/>
  <c r="AN169" i="54" s="1"/>
  <c r="AL169" i="54"/>
  <c r="AO169" i="54" s="1"/>
  <c r="AF169" i="54"/>
  <c r="AL87" i="54"/>
  <c r="AJ87" i="54"/>
  <c r="AK87" i="54"/>
  <c r="AJ86" i="53"/>
  <c r="AM86" i="53" s="1"/>
  <c r="AD86" i="53"/>
  <c r="AL86" i="53"/>
  <c r="AO86" i="53" s="1"/>
  <c r="AF86" i="53"/>
  <c r="AK86" i="53"/>
  <c r="AN86" i="53" s="1"/>
  <c r="AE86" i="53"/>
  <c r="AL79" i="54"/>
  <c r="AO79" i="54" s="1"/>
  <c r="AF79" i="54"/>
  <c r="AK79" i="54"/>
  <c r="AN79" i="54" s="1"/>
  <c r="AE79" i="54"/>
  <c r="AD79" i="54"/>
  <c r="AJ79" i="54"/>
  <c r="AM79" i="54" s="1"/>
  <c r="AL120" i="54"/>
  <c r="AO120" i="54" s="1"/>
  <c r="AK120" i="54"/>
  <c r="AN120" i="54" s="1"/>
  <c r="AF120" i="54"/>
  <c r="AE120" i="54"/>
  <c r="AD120" i="54"/>
  <c r="AJ120" i="54"/>
  <c r="AM120" i="54" s="1"/>
  <c r="AJ73" i="53"/>
  <c r="AM73" i="53" s="1"/>
  <c r="AD73" i="53"/>
  <c r="AE73" i="53"/>
  <c r="AK73" i="53"/>
  <c r="AN73" i="53" s="1"/>
  <c r="AF73" i="53"/>
  <c r="AL73" i="53"/>
  <c r="AO73" i="53" s="1"/>
  <c r="AJ95" i="53"/>
  <c r="AM95" i="53" s="1"/>
  <c r="AD95" i="53"/>
  <c r="AL95" i="53"/>
  <c r="AO95" i="53" s="1"/>
  <c r="AF95" i="53"/>
  <c r="AK95" i="53"/>
  <c r="AN95" i="53" s="1"/>
  <c r="AE95" i="53"/>
  <c r="AD159" i="54"/>
  <c r="AK159" i="54"/>
  <c r="AN159" i="54" s="1"/>
  <c r="AE159" i="54"/>
  <c r="AL159" i="54"/>
  <c r="AO159" i="54" s="1"/>
  <c r="AJ159" i="54"/>
  <c r="AM159" i="54" s="1"/>
  <c r="AF159" i="54"/>
  <c r="AL40" i="55"/>
  <c r="AO40" i="55" s="1"/>
  <c r="AF40" i="55"/>
  <c r="AD40" i="55"/>
  <c r="AJ40" i="55"/>
  <c r="AM40" i="55" s="1"/>
  <c r="AK40" i="55"/>
  <c r="AN40" i="55" s="1"/>
  <c r="AE40" i="55"/>
  <c r="AL131" i="54"/>
  <c r="AO131" i="54" s="1"/>
  <c r="AJ131" i="54"/>
  <c r="AM131" i="54" s="1"/>
  <c r="AE131" i="54"/>
  <c r="AD131" i="54"/>
  <c r="AF131" i="54"/>
  <c r="AK131" i="54"/>
  <c r="AN131" i="54" s="1"/>
  <c r="AL133" i="54"/>
  <c r="AJ133" i="54"/>
  <c r="AK133" i="54"/>
  <c r="AK87" i="53"/>
  <c r="AN87" i="53" s="1"/>
  <c r="AJ87" i="53"/>
  <c r="AM87" i="53" s="1"/>
  <c r="AE87" i="53"/>
  <c r="AL87" i="53"/>
  <c r="AO87" i="53" s="1"/>
  <c r="AD87" i="53"/>
  <c r="AF87" i="53"/>
  <c r="AK181" i="54"/>
  <c r="AN181" i="54" s="1"/>
  <c r="AE181" i="54"/>
  <c r="AF181" i="54"/>
  <c r="AD181" i="54"/>
  <c r="AL181" i="54"/>
  <c r="AO181" i="54" s="1"/>
  <c r="AJ181" i="54"/>
  <c r="AM181" i="54" s="1"/>
  <c r="AK103" i="54"/>
  <c r="AN103" i="54" s="1"/>
  <c r="AD103" i="54"/>
  <c r="AJ103" i="54"/>
  <c r="AM103" i="54" s="1"/>
  <c r="AL103" i="54"/>
  <c r="AO103" i="54" s="1"/>
  <c r="AE103" i="54"/>
  <c r="AF103" i="54"/>
  <c r="AD116" i="54"/>
  <c r="AE116" i="54"/>
  <c r="AL116" i="54"/>
  <c r="AO116" i="54" s="1"/>
  <c r="AJ116" i="54"/>
  <c r="AM116" i="54" s="1"/>
  <c r="AK116" i="54"/>
  <c r="AN116" i="54" s="1"/>
  <c r="AF116" i="54"/>
  <c r="AK41" i="55"/>
  <c r="AN41" i="55" s="1"/>
  <c r="AD41" i="55"/>
  <c r="AL41" i="55"/>
  <c r="AO41" i="55" s="1"/>
  <c r="AJ41" i="55"/>
  <c r="AM41" i="55" s="1"/>
  <c r="AF41" i="55"/>
  <c r="AE41" i="55"/>
  <c r="AL48" i="55"/>
  <c r="AK48" i="55"/>
  <c r="AF48" i="55"/>
  <c r="AJ48" i="55"/>
  <c r="AE48" i="55"/>
  <c r="AD48" i="55"/>
  <c r="AF96" i="54"/>
  <c r="AJ96" i="54"/>
  <c r="AM96" i="54" s="1"/>
  <c r="AD96" i="54"/>
  <c r="AK96" i="54"/>
  <c r="AN96" i="54" s="1"/>
  <c r="AL96" i="54"/>
  <c r="AO96" i="54" s="1"/>
  <c r="AE96" i="54"/>
  <c r="AJ166" i="54"/>
  <c r="AM166" i="54" s="1"/>
  <c r="AK166" i="54"/>
  <c r="AN166" i="54" s="1"/>
  <c r="AL166" i="54"/>
  <c r="AO166" i="54" s="1"/>
  <c r="AE166" i="54"/>
  <c r="AD166" i="54"/>
  <c r="AF166" i="54"/>
  <c r="AL71" i="53"/>
  <c r="AO71" i="53" s="1"/>
  <c r="AJ71" i="53"/>
  <c r="AM71" i="53" s="1"/>
  <c r="AF71" i="53"/>
  <c r="AK71" i="53"/>
  <c r="AN71" i="53" s="1"/>
  <c r="AE71" i="53"/>
  <c r="AD71" i="53"/>
  <c r="AJ175" i="54"/>
  <c r="AL175" i="54"/>
  <c r="AK175" i="54"/>
  <c r="AL61" i="55"/>
  <c r="AK61" i="55"/>
  <c r="AJ61" i="55"/>
  <c r="AJ60" i="52"/>
  <c r="AM60" i="52" s="1"/>
  <c r="AF60" i="52"/>
  <c r="AD60" i="52"/>
  <c r="AK60" i="52"/>
  <c r="AN60" i="52" s="1"/>
  <c r="AE60" i="52"/>
  <c r="AL60" i="52"/>
  <c r="AO60" i="52" s="1"/>
  <c r="AL89" i="53"/>
  <c r="AK89" i="53"/>
  <c r="AJ89" i="53"/>
  <c r="AL85" i="53"/>
  <c r="AO85" i="53" s="1"/>
  <c r="AE85" i="53"/>
  <c r="AK85" i="53"/>
  <c r="AN85" i="53" s="1"/>
  <c r="AD85" i="53"/>
  <c r="AJ85" i="53"/>
  <c r="AM85" i="53" s="1"/>
  <c r="AF85" i="53"/>
  <c r="AL78" i="54"/>
  <c r="AO78" i="54" s="1"/>
  <c r="AD78" i="54"/>
  <c r="AJ78" i="54"/>
  <c r="AM78" i="54" s="1"/>
  <c r="AF78" i="54"/>
  <c r="AE78" i="54"/>
  <c r="AK78" i="54"/>
  <c r="AN78" i="54" s="1"/>
  <c r="AJ64" i="18"/>
  <c r="AM64" i="18" s="1"/>
  <c r="AD64" i="18"/>
  <c r="AF64" i="18"/>
  <c r="AK64" i="18"/>
  <c r="AN64" i="18" s="1"/>
  <c r="AE64" i="18"/>
  <c r="AL64" i="18"/>
  <c r="AO64" i="18" s="1"/>
  <c r="AK72" i="53"/>
  <c r="AN72" i="53" s="1"/>
  <c r="AF72" i="53"/>
  <c r="AE72" i="53"/>
  <c r="AL72" i="53"/>
  <c r="AO72" i="53" s="1"/>
  <c r="AD72" i="53"/>
  <c r="AJ72" i="53"/>
  <c r="AM72" i="53" s="1"/>
  <c r="AK94" i="53"/>
  <c r="AN94" i="53" s="1"/>
  <c r="AF94" i="53"/>
  <c r="AE94" i="53"/>
  <c r="AD94" i="53"/>
  <c r="AL94" i="53"/>
  <c r="AO94" i="53" s="1"/>
  <c r="AJ94" i="53"/>
  <c r="AM94" i="53" s="1"/>
  <c r="AL144" i="54"/>
  <c r="AO144" i="54" s="1"/>
  <c r="AD144" i="54"/>
  <c r="AE144" i="54"/>
  <c r="AK144" i="54"/>
  <c r="AN144" i="54" s="1"/>
  <c r="AJ144" i="54"/>
  <c r="AM144" i="54" s="1"/>
  <c r="AF144" i="54"/>
  <c r="AK55" i="55"/>
  <c r="AJ55" i="55"/>
  <c r="AL55" i="55"/>
  <c r="AE55" i="55"/>
  <c r="AD55" i="55"/>
  <c r="AF55" i="55"/>
  <c r="AL121" i="54"/>
  <c r="AO121" i="54" s="1"/>
  <c r="AK121" i="54"/>
  <c r="AN121" i="54" s="1"/>
  <c r="AF121" i="54"/>
  <c r="AE121" i="54"/>
  <c r="AJ121" i="54"/>
  <c r="AM121" i="54" s="1"/>
  <c r="AD121" i="54"/>
  <c r="AJ81" i="54"/>
  <c r="AM81" i="54" s="1"/>
  <c r="AE81" i="54"/>
  <c r="AL81" i="54"/>
  <c r="AO81" i="54" s="1"/>
  <c r="AD81" i="54"/>
  <c r="AK81" i="54"/>
  <c r="AN81" i="54" s="1"/>
  <c r="AF81" i="54"/>
  <c r="AL132" i="54"/>
  <c r="AO132" i="54" s="1"/>
  <c r="AK132" i="54"/>
  <c r="AN132" i="54" s="1"/>
  <c r="AE132" i="54"/>
  <c r="AF132" i="54"/>
  <c r="AJ132" i="54"/>
  <c r="AM132" i="54" s="1"/>
  <c r="AD132" i="54"/>
  <c r="AJ163" i="54"/>
  <c r="AK163" i="54"/>
  <c r="AL163" i="54"/>
  <c r="AJ60" i="55"/>
  <c r="AK60" i="55"/>
  <c r="AL60" i="55"/>
  <c r="AJ52" i="52"/>
  <c r="AL52" i="52"/>
  <c r="AK52" i="52"/>
  <c r="AL125" i="54"/>
  <c r="AO125" i="54" s="1"/>
  <c r="AJ125" i="54"/>
  <c r="AM125" i="54" s="1"/>
  <c r="AE125" i="54"/>
  <c r="AF125" i="54"/>
  <c r="AD125" i="54"/>
  <c r="AK125" i="54"/>
  <c r="AN125" i="54" s="1"/>
  <c r="AL62" i="55"/>
  <c r="AK62" i="55"/>
  <c r="AJ62" i="55"/>
  <c r="AJ98" i="54"/>
  <c r="AM98" i="54" s="1"/>
  <c r="AD98" i="54"/>
  <c r="AL98" i="54"/>
  <c r="AO98" i="54" s="1"/>
  <c r="AK98" i="54"/>
  <c r="AN98" i="54" s="1"/>
  <c r="AF98" i="54"/>
  <c r="AE98" i="54"/>
  <c r="AJ188" i="54"/>
  <c r="AM188" i="54" s="1"/>
  <c r="AD188" i="54"/>
  <c r="AL188" i="54"/>
  <c r="AO188" i="54" s="1"/>
  <c r="AF188" i="54"/>
  <c r="AE188" i="54"/>
  <c r="AK188" i="54"/>
  <c r="AN188" i="54" s="1"/>
  <c r="AJ88" i="54"/>
  <c r="AM88" i="54" s="1"/>
  <c r="AD88" i="54"/>
  <c r="AF88" i="54"/>
  <c r="AL88" i="54"/>
  <c r="AO88" i="54" s="1"/>
  <c r="AK88" i="54"/>
  <c r="AN88" i="54" s="1"/>
  <c r="AE88" i="54"/>
  <c r="AJ146" i="54"/>
  <c r="AM146" i="54" s="1"/>
  <c r="AE146" i="54"/>
  <c r="AL146" i="54"/>
  <c r="AO146" i="54" s="1"/>
  <c r="AD146" i="54"/>
  <c r="AK146" i="54"/>
  <c r="AN146" i="54" s="1"/>
  <c r="AF146" i="54"/>
  <c r="AL83" i="54"/>
  <c r="AJ83" i="54"/>
  <c r="AK83" i="54"/>
  <c r="AJ46" i="55"/>
  <c r="AK46" i="55"/>
  <c r="AL46" i="55"/>
  <c r="AJ184" i="54"/>
  <c r="AM184" i="54" s="1"/>
  <c r="AF184" i="54"/>
  <c r="AK184" i="54"/>
  <c r="AN184" i="54" s="1"/>
  <c r="AE184" i="54"/>
  <c r="AD184" i="54"/>
  <c r="AL184" i="54"/>
  <c r="AO184" i="54" s="1"/>
  <c r="AJ75" i="54"/>
  <c r="AM75" i="54" s="1"/>
  <c r="AD75" i="54"/>
  <c r="AF75" i="54"/>
  <c r="AL75" i="54"/>
  <c r="AO75" i="54" s="1"/>
  <c r="AK75" i="54"/>
  <c r="AN75" i="54" s="1"/>
  <c r="AE75" i="54"/>
  <c r="AK57" i="52"/>
  <c r="AN57" i="52" s="1"/>
  <c r="AJ57" i="52"/>
  <c r="AM57" i="52" s="1"/>
  <c r="AL57" i="52"/>
  <c r="AO57" i="52" s="1"/>
  <c r="AE57" i="52"/>
  <c r="AD57" i="52"/>
  <c r="AF57" i="52"/>
  <c r="AK115" i="54"/>
  <c r="AN115" i="54" s="1"/>
  <c r="AJ115" i="54"/>
  <c r="AM115" i="54" s="1"/>
  <c r="AE115" i="54"/>
  <c r="AF115" i="54"/>
  <c r="AD115" i="54"/>
  <c r="AL115" i="54"/>
  <c r="AO115" i="54" s="1"/>
  <c r="AJ177" i="54"/>
  <c r="AM177" i="54" s="1"/>
  <c r="AF177" i="54"/>
  <c r="AE177" i="54"/>
  <c r="AK177" i="54"/>
  <c r="AN177" i="54" s="1"/>
  <c r="AD177" i="54"/>
  <c r="AL177" i="54"/>
  <c r="AO177" i="54" s="1"/>
  <c r="AL95" i="54"/>
  <c r="AO95" i="54" s="1"/>
  <c r="AE95" i="54"/>
  <c r="AK95" i="54"/>
  <c r="AN95" i="54" s="1"/>
  <c r="AF95" i="54"/>
  <c r="AD95" i="54"/>
  <c r="AJ95" i="54"/>
  <c r="AM95" i="54" s="1"/>
  <c r="AD77" i="55"/>
  <c r="AJ77" i="55"/>
  <c r="AM77" i="55" s="1"/>
  <c r="AK77" i="55"/>
  <c r="AN77" i="55" s="1"/>
  <c r="AF77" i="55"/>
  <c r="AE77" i="55"/>
  <c r="AL77" i="55"/>
  <c r="AO77" i="55" s="1"/>
  <c r="AJ88" i="53"/>
  <c r="AK88" i="53"/>
  <c r="AL88" i="53"/>
  <c r="AL82" i="55"/>
  <c r="AK82" i="55"/>
  <c r="AJ82" i="55"/>
  <c r="AL141" i="54"/>
  <c r="AO141" i="54" s="1"/>
  <c r="AF141" i="54"/>
  <c r="AK141" i="54"/>
  <c r="AN141" i="54" s="1"/>
  <c r="AJ141" i="54"/>
  <c r="AM141" i="54" s="1"/>
  <c r="AE141" i="54"/>
  <c r="AD141" i="54"/>
  <c r="AJ124" i="54"/>
  <c r="AM124" i="54" s="1"/>
  <c r="AL124" i="54"/>
  <c r="AO124" i="54" s="1"/>
  <c r="AF124" i="54"/>
  <c r="AK124" i="54"/>
  <c r="AN124" i="54" s="1"/>
  <c r="AE124" i="54"/>
  <c r="AD124" i="54"/>
  <c r="AK164" i="54"/>
  <c r="AN164" i="54" s="1"/>
  <c r="AE164" i="54"/>
  <c r="AL164" i="54"/>
  <c r="AO164" i="54" s="1"/>
  <c r="AF164" i="54"/>
  <c r="AJ164" i="54"/>
  <c r="AM164" i="54" s="1"/>
  <c r="AD164" i="54"/>
  <c r="AF47" i="52"/>
  <c r="AK47" i="52"/>
  <c r="AN47" i="52" s="1"/>
  <c r="AE47" i="52"/>
  <c r="AL47" i="52"/>
  <c r="AO47" i="52" s="1"/>
  <c r="AD47" i="52"/>
  <c r="AJ47" i="52"/>
  <c r="AM47" i="52" s="1"/>
  <c r="AJ67" i="53"/>
  <c r="AM67" i="53" s="1"/>
  <c r="AL67" i="53"/>
  <c r="AO67" i="53" s="1"/>
  <c r="AF67" i="53"/>
  <c r="AE67" i="53"/>
  <c r="AD67" i="53"/>
  <c r="AK67" i="53"/>
  <c r="AN67" i="53" s="1"/>
  <c r="AJ56" i="55"/>
  <c r="AM56" i="55" s="1"/>
  <c r="AE56" i="55"/>
  <c r="AD56" i="55"/>
  <c r="AL56" i="55"/>
  <c r="AO56" i="55" s="1"/>
  <c r="AF56" i="55"/>
  <c r="AK56" i="55"/>
  <c r="AN56" i="55" s="1"/>
  <c r="AK47" i="55"/>
  <c r="AL47" i="55"/>
  <c r="AJ47" i="55"/>
  <c r="AJ90" i="54"/>
  <c r="AK90" i="54"/>
  <c r="AL90" i="54"/>
  <c r="AL82" i="54"/>
  <c r="AO82" i="54" s="1"/>
  <c r="AD82" i="54"/>
  <c r="AE82" i="54"/>
  <c r="AJ82" i="54"/>
  <c r="AM82" i="54" s="1"/>
  <c r="AK82" i="54"/>
  <c r="AN82" i="54" s="1"/>
  <c r="AF82" i="54"/>
  <c r="AF83" i="53"/>
  <c r="AD83" i="53"/>
  <c r="AJ83" i="53"/>
  <c r="AM83" i="53" s="1"/>
  <c r="AE83" i="53"/>
  <c r="AL83" i="53"/>
  <c r="AO83" i="53" s="1"/>
  <c r="AK83" i="53"/>
  <c r="AN83" i="53" s="1"/>
  <c r="AJ71" i="54"/>
  <c r="AM71" i="54" s="1"/>
  <c r="AD71" i="54"/>
  <c r="AK71" i="54"/>
  <c r="AN71" i="54" s="1"/>
  <c r="AL71" i="54"/>
  <c r="AO71" i="54" s="1"/>
  <c r="AE71" i="54"/>
  <c r="AF71" i="54"/>
  <c r="AF189" i="54"/>
  <c r="AJ189" i="54"/>
  <c r="AM189" i="54" s="1"/>
  <c r="AD189" i="54"/>
  <c r="AE189" i="54"/>
  <c r="AL189" i="54"/>
  <c r="AO189" i="54" s="1"/>
  <c r="AK189" i="54"/>
  <c r="AN189" i="54" s="1"/>
  <c r="AL48" i="52"/>
  <c r="AO48" i="52" s="1"/>
  <c r="AJ48" i="52"/>
  <c r="AM48" i="52" s="1"/>
  <c r="AF48" i="52"/>
  <c r="AK48" i="52"/>
  <c r="AN48" i="52" s="1"/>
  <c r="AE48" i="52"/>
  <c r="AD48" i="52"/>
  <c r="AJ64" i="55"/>
  <c r="AD64" i="55"/>
  <c r="AE64" i="55"/>
  <c r="AL64" i="55"/>
  <c r="AF64" i="55"/>
  <c r="AK64" i="55"/>
  <c r="AJ182" i="54"/>
  <c r="AM182" i="54" s="1"/>
  <c r="AK182" i="54"/>
  <c r="AN182" i="54" s="1"/>
  <c r="AE182" i="54"/>
  <c r="AL182" i="54"/>
  <c r="AO182" i="54" s="1"/>
  <c r="AF182" i="54"/>
  <c r="AD182" i="54"/>
  <c r="AK79" i="53"/>
  <c r="AN79" i="53" s="1"/>
  <c r="AD79" i="53"/>
  <c r="AL79" i="53"/>
  <c r="AO79" i="53" s="1"/>
  <c r="AJ79" i="53"/>
  <c r="AM79" i="53" s="1"/>
  <c r="AF79" i="53"/>
  <c r="AE79" i="53"/>
  <c r="AE99" i="54"/>
  <c r="AD99" i="54"/>
  <c r="AF99" i="54"/>
  <c r="AL99" i="54"/>
  <c r="AO99" i="54" s="1"/>
  <c r="AJ99" i="54"/>
  <c r="AM99" i="54" s="1"/>
  <c r="AK99" i="54"/>
  <c r="AN99" i="54" s="1"/>
  <c r="AK129" i="54"/>
  <c r="AL129" i="54"/>
  <c r="AJ129" i="54"/>
  <c r="AL81" i="55"/>
  <c r="AJ81" i="55"/>
  <c r="AK81" i="55"/>
  <c r="AL92" i="54"/>
  <c r="AJ92" i="54"/>
  <c r="AK92" i="54"/>
  <c r="AK53" i="52"/>
  <c r="AL53" i="52"/>
  <c r="AJ53" i="52"/>
  <c r="AE97" i="54"/>
  <c r="AK97" i="54"/>
  <c r="AN97" i="54" s="1"/>
  <c r="AD97" i="54"/>
  <c r="AL97" i="54"/>
  <c r="AO97" i="54" s="1"/>
  <c r="AJ97" i="54"/>
  <c r="AM97" i="54" s="1"/>
  <c r="AF97" i="54"/>
  <c r="AJ123" i="54"/>
  <c r="AM123" i="54" s="1"/>
  <c r="AE123" i="54"/>
  <c r="AF123" i="54"/>
  <c r="AD123" i="54"/>
  <c r="AK123" i="54"/>
  <c r="AN123" i="54" s="1"/>
  <c r="AL123" i="54"/>
  <c r="AO123" i="54" s="1"/>
  <c r="AD137" i="54"/>
  <c r="AK137" i="54"/>
  <c r="AN137" i="54" s="1"/>
  <c r="AE137" i="54"/>
  <c r="AL137" i="54"/>
  <c r="AO137" i="54" s="1"/>
  <c r="AJ137" i="54"/>
  <c r="AM137" i="54" s="1"/>
  <c r="AF137" i="54"/>
  <c r="AL75" i="53"/>
  <c r="AO75" i="53" s="1"/>
  <c r="AD75" i="53"/>
  <c r="AJ75" i="53"/>
  <c r="AM75" i="53" s="1"/>
  <c r="AK75" i="53"/>
  <c r="AN75" i="53" s="1"/>
  <c r="AE75" i="53"/>
  <c r="AF75" i="53"/>
  <c r="AL56" i="52"/>
  <c r="AO56" i="52" s="1"/>
  <c r="AE56" i="52"/>
  <c r="AK56" i="52"/>
  <c r="AN56" i="52" s="1"/>
  <c r="AJ56" i="52"/>
  <c r="AM56" i="52" s="1"/>
  <c r="AD56" i="52"/>
  <c r="AF56" i="52"/>
  <c r="AF114" i="54"/>
  <c r="AD114" i="54"/>
  <c r="AJ114" i="54"/>
  <c r="AL114" i="54"/>
  <c r="AE114" i="54"/>
  <c r="AK114" i="54"/>
  <c r="AL46" i="52"/>
  <c r="AO46" i="52" s="1"/>
  <c r="AE46" i="52"/>
  <c r="AK46" i="52"/>
  <c r="AN46" i="52" s="1"/>
  <c r="AD46" i="52"/>
  <c r="AJ46" i="52"/>
  <c r="AM46" i="52" s="1"/>
  <c r="AF46" i="52"/>
  <c r="AL78" i="53"/>
  <c r="AO78" i="53" s="1"/>
  <c r="AK78" i="53"/>
  <c r="AN78" i="53" s="1"/>
  <c r="AJ78" i="53"/>
  <c r="AM78" i="53" s="1"/>
  <c r="AD78" i="53"/>
  <c r="AF78" i="53"/>
  <c r="AE78" i="53"/>
  <c r="AK126" i="54"/>
  <c r="AN126" i="54" s="1"/>
  <c r="AE126" i="54"/>
  <c r="AD126" i="54"/>
  <c r="AF126" i="54"/>
  <c r="AL126" i="54"/>
  <c r="AO126" i="54" s="1"/>
  <c r="AJ126" i="54"/>
  <c r="AM126" i="54" s="1"/>
  <c r="AL178" i="54"/>
  <c r="AO178" i="54" s="1"/>
  <c r="AK178" i="54"/>
  <c r="AN178" i="54" s="1"/>
  <c r="AJ178" i="54"/>
  <c r="AM178" i="54" s="1"/>
  <c r="AE178" i="54"/>
  <c r="AD178" i="54"/>
  <c r="AF178" i="54"/>
  <c r="AK44" i="52"/>
  <c r="AJ44" i="52"/>
  <c r="AL44" i="52"/>
  <c r="AJ172" i="54"/>
  <c r="AL172" i="54"/>
  <c r="AK172" i="54"/>
  <c r="AK80" i="54"/>
  <c r="AN80" i="54" s="1"/>
  <c r="AJ80" i="54"/>
  <c r="AM80" i="54" s="1"/>
  <c r="AD80" i="54"/>
  <c r="AF80" i="54"/>
  <c r="AL80" i="54"/>
  <c r="AO80" i="54" s="1"/>
  <c r="AE80" i="54"/>
  <c r="AG86" i="35"/>
  <c r="AH86" i="35"/>
  <c r="AN86" i="35" s="1"/>
  <c r="AI114" i="35"/>
  <c r="AO114" i="35" s="1"/>
  <c r="AG114" i="35"/>
  <c r="AM114" i="35" s="1"/>
  <c r="AH114" i="35"/>
  <c r="AJ159" i="35"/>
  <c r="AM159" i="35" s="1"/>
  <c r="AK159" i="35"/>
  <c r="AF153" i="35"/>
  <c r="AL153" i="35"/>
  <c r="AO153" i="35" s="1"/>
  <c r="AK153" i="35"/>
  <c r="AN153" i="35" s="1"/>
  <c r="AE161" i="35"/>
  <c r="AF161" i="35"/>
  <c r="AI161" i="35"/>
  <c r="AI162" i="35"/>
  <c r="AH162" i="35"/>
  <c r="AG162" i="35"/>
  <c r="AM162" i="35" s="1"/>
  <c r="AH122" i="35"/>
  <c r="AI122" i="35"/>
  <c r="AO122" i="35" s="1"/>
  <c r="AD160" i="35"/>
  <c r="AL160" i="35"/>
  <c r="AO160" i="35" s="1"/>
  <c r="AN159" i="35"/>
  <c r="AE159" i="35"/>
  <c r="AM86" i="35"/>
  <c r="AM89" i="35"/>
  <c r="AN137" i="35"/>
  <c r="AF94" i="35"/>
  <c r="AK94" i="35"/>
  <c r="AN94" i="35" s="1"/>
  <c r="AD146" i="35"/>
  <c r="AF114" i="35"/>
  <c r="AK96" i="35"/>
  <c r="AN96" i="35" s="1"/>
  <c r="AO92" i="35"/>
  <c r="AL121" i="35"/>
  <c r="AO121" i="35" s="1"/>
  <c r="AL159" i="35"/>
  <c r="AE165" i="35"/>
  <c r="AF77" i="35"/>
  <c r="AD82" i="35"/>
  <c r="AK76" i="35"/>
  <c r="AN76" i="35" s="1"/>
  <c r="AG72" i="35"/>
  <c r="AD76" i="35"/>
  <c r="AD74" i="35"/>
  <c r="AE76" i="35"/>
  <c r="AG74" i="35"/>
  <c r="AI77" i="35"/>
  <c r="AO77" i="35" s="1"/>
  <c r="AE77" i="35"/>
  <c r="AE123" i="35"/>
  <c r="AL146" i="35"/>
  <c r="AO146" i="35" s="1"/>
  <c r="AO158" i="35"/>
  <c r="AD86" i="35"/>
  <c r="AJ96" i="35"/>
  <c r="AM96" i="35" s="1"/>
  <c r="AG113" i="35"/>
  <c r="AF128" i="35"/>
  <c r="AN133" i="35"/>
  <c r="AE136" i="35"/>
  <c r="AD141" i="35"/>
  <c r="AD149" i="35"/>
  <c r="AD165" i="35"/>
  <c r="AE90" i="35"/>
  <c r="AJ94" i="35"/>
  <c r="AM94" i="35" s="1"/>
  <c r="AF110" i="35"/>
  <c r="AN123" i="35"/>
  <c r="AJ138" i="35"/>
  <c r="AM138" i="35" s="1"/>
  <c r="AN155" i="35"/>
  <c r="AK90" i="35"/>
  <c r="AN90" i="35" s="1"/>
  <c r="AK106" i="35"/>
  <c r="AN106" i="35" s="1"/>
  <c r="AN122" i="35"/>
  <c r="AD150" i="35"/>
  <c r="AK162" i="35"/>
  <c r="AF102" i="35"/>
  <c r="AE106" i="35"/>
  <c r="AF118" i="35"/>
  <c r="AK93" i="35"/>
  <c r="AN93" i="35" s="1"/>
  <c r="AD96" i="35"/>
  <c r="AJ99" i="35"/>
  <c r="AM99" i="35" s="1"/>
  <c r="AI87" i="35"/>
  <c r="AO85" i="35"/>
  <c r="AL76" i="35"/>
  <c r="AO76" i="35" s="1"/>
  <c r="AJ91" i="35"/>
  <c r="AM91" i="35" s="1"/>
  <c r="AL108" i="35"/>
  <c r="AJ113" i="35"/>
  <c r="AK113" i="35"/>
  <c r="AN113" i="35" s="1"/>
  <c r="AE121" i="35"/>
  <c r="AD124" i="35"/>
  <c r="AD128" i="35"/>
  <c r="AL123" i="35"/>
  <c r="AO123" i="35" s="1"/>
  <c r="AE113" i="35"/>
  <c r="AK121" i="35"/>
  <c r="AO133" i="35"/>
  <c r="AF141" i="35"/>
  <c r="AN144" i="35"/>
  <c r="AD136" i="35"/>
  <c r="AK141" i="35"/>
  <c r="AN141" i="35" s="1"/>
  <c r="AL136" i="35"/>
  <c r="AO136" i="35" s="1"/>
  <c r="AF159" i="35"/>
  <c r="AK165" i="35"/>
  <c r="AN100" i="35"/>
  <c r="AF167" i="35"/>
  <c r="AK87" i="35"/>
  <c r="AL87" i="35"/>
  <c r="AK161" i="35"/>
  <c r="AN161" i="35" s="1"/>
  <c r="AL161" i="35"/>
  <c r="AJ161" i="35"/>
  <c r="AF74" i="35"/>
  <c r="AJ76" i="35"/>
  <c r="AM76" i="35" s="1"/>
  <c r="AL118" i="35"/>
  <c r="AO118" i="35" s="1"/>
  <c r="AF96" i="35"/>
  <c r="AE110" i="35"/>
  <c r="AF138" i="35"/>
  <c r="AD102" i="35"/>
  <c r="AD118" i="35"/>
  <c r="AE102" i="35"/>
  <c r="AE118" i="35"/>
  <c r="AJ146" i="35"/>
  <c r="AM146" i="35" s="1"/>
  <c r="AF150" i="35"/>
  <c r="AM90" i="35"/>
  <c r="AF87" i="35"/>
  <c r="AD138" i="35"/>
  <c r="AM166" i="35"/>
  <c r="AG110" i="35"/>
  <c r="AM110" i="35" s="1"/>
  <c r="AF81" i="35"/>
  <c r="AH72" i="35"/>
  <c r="AN72" i="35" s="1"/>
  <c r="AO74" i="35"/>
  <c r="AO72" i="35"/>
  <c r="AH87" i="35"/>
  <c r="AE91" i="35"/>
  <c r="AO110" i="35"/>
  <c r="AL138" i="35"/>
  <c r="AO138" i="35" s="1"/>
  <c r="AL162" i="35"/>
  <c r="AE167" i="35"/>
  <c r="AE86" i="35"/>
  <c r="AD113" i="35"/>
  <c r="AD121" i="35"/>
  <c r="AE124" i="35"/>
  <c r="AJ128" i="35"/>
  <c r="AM128" i="35" s="1"/>
  <c r="AF132" i="35"/>
  <c r="AF136" i="35"/>
  <c r="AN157" i="35"/>
  <c r="AG161" i="35"/>
  <c r="AM161" i="35" s="1"/>
  <c r="AN165" i="35"/>
  <c r="AF90" i="35"/>
  <c r="AD99" i="35"/>
  <c r="AG119" i="35"/>
  <c r="AM119" i="35" s="1"/>
  <c r="AD106" i="35"/>
  <c r="AN114" i="35"/>
  <c r="AK130" i="35"/>
  <c r="AN130" i="35" s="1"/>
  <c r="AD162" i="35"/>
  <c r="AD159" i="35"/>
  <c r="AI86" i="35"/>
  <c r="AF91" i="35"/>
  <c r="AE93" i="35"/>
  <c r="AE87" i="35"/>
  <c r="AH110" i="35"/>
  <c r="AN110" i="35" s="1"/>
  <c r="AL113" i="35"/>
  <c r="AO113" i="35" s="1"/>
  <c r="AH150" i="35"/>
  <c r="AJ165" i="35"/>
  <c r="AM165" i="35" s="1"/>
  <c r="AL167" i="35"/>
  <c r="AO167" i="35" s="1"/>
  <c r="AJ87" i="35"/>
  <c r="AM87" i="35" s="1"/>
  <c r="AE107" i="14"/>
  <c r="AD44" i="8"/>
  <c r="AK114" i="14"/>
  <c r="AL91" i="14"/>
  <c r="AI97" i="8"/>
  <c r="AG75" i="8"/>
  <c r="AJ57" i="8"/>
  <c r="AD75" i="8"/>
  <c r="AJ71" i="8"/>
  <c r="AJ48" i="8"/>
  <c r="AM48" i="8" s="1"/>
  <c r="AK63" i="8"/>
  <c r="AN63" i="8" s="1"/>
  <c r="AL69" i="8"/>
  <c r="AG97" i="8"/>
  <c r="AH75" i="8"/>
  <c r="AE77" i="8"/>
  <c r="AF53" i="8"/>
  <c r="AG62" i="8"/>
  <c r="AE98" i="8"/>
  <c r="AI67" i="8"/>
  <c r="AO67" i="8" s="1"/>
  <c r="AD67" i="8"/>
  <c r="AE52" i="8"/>
  <c r="AI68" i="8"/>
  <c r="AO68" i="8" s="1"/>
  <c r="AH73" i="8"/>
  <c r="AF67" i="8"/>
  <c r="AG67" i="8"/>
  <c r="AM67" i="8" s="1"/>
  <c r="AD78" i="8"/>
  <c r="AD63" i="8"/>
  <c r="AJ78" i="8"/>
  <c r="AM78" i="8" s="1"/>
  <c r="AF78" i="8"/>
  <c r="AE67" i="8"/>
  <c r="AL94" i="8"/>
  <c r="AM87" i="8"/>
  <c r="AJ46" i="8"/>
  <c r="AJ61" i="8"/>
  <c r="AF73" i="8"/>
  <c r="AI73" i="8"/>
  <c r="AJ58" i="8"/>
  <c r="AM58" i="8" s="1"/>
  <c r="AE78" i="8"/>
  <c r="AF49" i="8"/>
  <c r="AN69" i="8"/>
  <c r="AD86" i="8"/>
  <c r="AF66" i="8"/>
  <c r="AF63" i="8"/>
  <c r="AE66" i="8"/>
  <c r="AL44" i="8"/>
  <c r="AO44" i="8" s="1"/>
  <c r="AJ66" i="8"/>
  <c r="AM66" i="8" s="1"/>
  <c r="AJ63" i="8"/>
  <c r="AM63" i="8" s="1"/>
  <c r="AK68" i="8"/>
  <c r="AF84" i="8"/>
  <c r="AD64" i="8"/>
  <c r="AF44" i="8"/>
  <c r="AI53" i="8"/>
  <c r="AH53" i="8"/>
  <c r="AJ64" i="8"/>
  <c r="AJ68" i="8"/>
  <c r="AM68" i="8" s="1"/>
  <c r="AJ86" i="8"/>
  <c r="AK65" i="8"/>
  <c r="AL61" i="8"/>
  <c r="AE68" i="8"/>
  <c r="AH62" i="8"/>
  <c r="AD74" i="8"/>
  <c r="AK71" i="8"/>
  <c r="AD66" i="8"/>
  <c r="AN66" i="8"/>
  <c r="AD62" i="8"/>
  <c r="AD69" i="8"/>
  <c r="AJ69" i="8"/>
  <c r="AK86" i="8"/>
  <c r="AL63" i="8"/>
  <c r="AO63" i="8" s="1"/>
  <c r="AL66" i="8"/>
  <c r="AD84" i="8"/>
  <c r="AE91" i="8"/>
  <c r="AE86" i="8"/>
  <c r="AK48" i="8"/>
  <c r="AE61" i="8"/>
  <c r="AE69" i="8"/>
  <c r="AI45" i="8"/>
  <c r="AO45" i="8" s="1"/>
  <c r="AD97" i="8"/>
  <c r="AK52" i="8"/>
  <c r="AE58" i="8"/>
  <c r="AD68" i="8"/>
  <c r="AH68" i="8"/>
  <c r="AH45" i="8"/>
  <c r="AD53" i="8"/>
  <c r="AI50" i="8"/>
  <c r="AF69" i="8"/>
  <c r="AO78" i="8"/>
  <c r="AK78" i="8"/>
  <c r="AN78" i="8" s="1"/>
  <c r="AF58" i="8"/>
  <c r="AF68" i="8"/>
  <c r="AL52" i="8"/>
  <c r="AE97" i="8"/>
  <c r="AL97" i="8"/>
  <c r="AO97" i="8" s="1"/>
  <c r="AF71" i="8"/>
  <c r="AE57" i="8"/>
  <c r="AD48" i="8"/>
  <c r="AK45" i="8"/>
  <c r="AG55" i="8"/>
  <c r="AM55" i="8" s="1"/>
  <c r="AH64" i="8"/>
  <c r="AN64" i="8" s="1"/>
  <c r="AL58" i="8"/>
  <c r="AO58" i="8" s="1"/>
  <c r="AD70" i="8"/>
  <c r="AE64" i="8"/>
  <c r="AM97" i="8"/>
  <c r="AJ94" i="8"/>
  <c r="AL56" i="8"/>
  <c r="AO56" i="8" s="1"/>
  <c r="AK97" i="8"/>
  <c r="AN97" i="8" s="1"/>
  <c r="AJ45" i="8"/>
  <c r="AM45" i="8" s="1"/>
  <c r="AF70" i="8"/>
  <c r="AL70" i="8"/>
  <c r="AO70" i="8" s="1"/>
  <c r="AI61" i="8"/>
  <c r="AO61" i="8" s="1"/>
  <c r="AI71" i="8"/>
  <c r="AO71" i="8" s="1"/>
  <c r="AH55" i="8"/>
  <c r="AN55" i="8" s="1"/>
  <c r="AF45" i="8"/>
  <c r="AE59" i="8"/>
  <c r="AE71" i="8"/>
  <c r="AK89" i="8"/>
  <c r="AK59" i="8"/>
  <c r="AI55" i="8"/>
  <c r="AO55" i="8" s="1"/>
  <c r="AI69" i="8"/>
  <c r="AO69" i="8" s="1"/>
  <c r="AI77" i="8"/>
  <c r="AG69" i="8"/>
  <c r="AD45" i="8"/>
  <c r="AD55" i="8"/>
  <c r="AJ70" i="8"/>
  <c r="AM70" i="8" s="1"/>
  <c r="AD56" i="8"/>
  <c r="AO66" i="8"/>
  <c r="AK70" i="8"/>
  <c r="AN70" i="8" s="1"/>
  <c r="AE45" i="8"/>
  <c r="AE73" i="8"/>
  <c r="AI98" i="8"/>
  <c r="AG98" i="8"/>
  <c r="AM98" i="8" s="1"/>
  <c r="AL93" i="8"/>
  <c r="AF60" i="8"/>
  <c r="AJ59" i="8"/>
  <c r="AF81" i="8"/>
  <c r="AJ49" i="8"/>
  <c r="AH48" i="8"/>
  <c r="AK47" i="8"/>
  <c r="AF97" i="8"/>
  <c r="AF46" i="8"/>
  <c r="AO74" i="8"/>
  <c r="AJ89" i="8"/>
  <c r="AO59" i="8"/>
  <c r="AJ47" i="8"/>
  <c r="AM47" i="8" s="1"/>
  <c r="AL46" i="8"/>
  <c r="AH61" i="8"/>
  <c r="AN61" i="8" s="1"/>
  <c r="AH93" i="8"/>
  <c r="AN93" i="8" s="1"/>
  <c r="AE51" i="8"/>
  <c r="AE44" i="8"/>
  <c r="AI93" i="8"/>
  <c r="AG81" i="8"/>
  <c r="AF77" i="8"/>
  <c r="AD47" i="8"/>
  <c r="AD61" i="8"/>
  <c r="AH71" i="8"/>
  <c r="AH81" i="8"/>
  <c r="AD93" i="8"/>
  <c r="AG51" i="8"/>
  <c r="AM51" i="8" s="1"/>
  <c r="AG61" i="8"/>
  <c r="AF61" i="8"/>
  <c r="AK84" i="8"/>
  <c r="AN84" i="8" s="1"/>
  <c r="AE96" i="8"/>
  <c r="AL57" i="8"/>
  <c r="AD98" i="8"/>
  <c r="AD77" i="8"/>
  <c r="AL49" i="8"/>
  <c r="AJ56" i="8"/>
  <c r="AJ84" i="8"/>
  <c r="AM84" i="8" s="1"/>
  <c r="AF96" i="8"/>
  <c r="AO90" i="8"/>
  <c r="AE49" i="8"/>
  <c r="AJ44" i="8"/>
  <c r="AM44" i="8" s="1"/>
  <c r="AI51" i="8"/>
  <c r="AI81" i="8"/>
  <c r="AJ60" i="8"/>
  <c r="AG49" i="8"/>
  <c r="AG57" i="8"/>
  <c r="AG71" i="8"/>
  <c r="AM71" i="8" s="1"/>
  <c r="AE84" i="8"/>
  <c r="AO84" i="8"/>
  <c r="AD29" i="12"/>
  <c r="AH29" i="12"/>
  <c r="AE29" i="12"/>
  <c r="AG29" i="12"/>
  <c r="AF29" i="12"/>
  <c r="AG94" i="14"/>
  <c r="AD114" i="14"/>
  <c r="AL103" i="14"/>
  <c r="AJ103" i="14"/>
  <c r="AM103" i="14" s="1"/>
  <c r="AI103" i="14"/>
  <c r="AH101" i="14"/>
  <c r="AN101" i="14" s="1"/>
  <c r="AD107" i="14"/>
  <c r="AG109" i="14"/>
  <c r="AJ101" i="14"/>
  <c r="AK96" i="14"/>
  <c r="AF109" i="14"/>
  <c r="AI109" i="14"/>
  <c r="AE114" i="14"/>
  <c r="AG101" i="14"/>
  <c r="AN91" i="14"/>
  <c r="AJ107" i="14"/>
  <c r="AM107" i="14" s="1"/>
  <c r="AK107" i="14"/>
  <c r="AG91" i="14"/>
  <c r="AE96" i="14"/>
  <c r="AI91" i="14"/>
  <c r="AF107" i="14"/>
  <c r="AN109" i="14"/>
  <c r="AL89" i="14"/>
  <c r="AF89" i="14"/>
  <c r="AH102" i="14"/>
  <c r="AN102" i="14" s="1"/>
  <c r="AL104" i="14"/>
  <c r="AD104" i="14"/>
  <c r="AD109" i="14"/>
  <c r="AD96" i="14"/>
  <c r="AD101" i="14"/>
  <c r="AJ104" i="14"/>
  <c r="AI106" i="14"/>
  <c r="AH108" i="14"/>
  <c r="AE101" i="14"/>
  <c r="AD93" i="14"/>
  <c r="AJ96" i="14"/>
  <c r="AM96" i="14" s="1"/>
  <c r="AI108" i="14"/>
  <c r="AO108" i="14" s="1"/>
  <c r="AI107" i="14"/>
  <c r="AO107" i="14" s="1"/>
  <c r="AH87" i="14"/>
  <c r="AF108" i="14"/>
  <c r="AE106" i="14"/>
  <c r="AO117" i="14"/>
  <c r="AG117" i="14"/>
  <c r="AD108" i="14"/>
  <c r="AJ108" i="14"/>
  <c r="AM108" i="14" s="1"/>
  <c r="AE109" i="14"/>
  <c r="AE108" i="14"/>
  <c r="AH88" i="14"/>
  <c r="AH117" i="14"/>
  <c r="AL101" i="14"/>
  <c r="AO101" i="14" s="1"/>
  <c r="AE95" i="14"/>
  <c r="AF106" i="14"/>
  <c r="AL106" i="14"/>
  <c r="AK116" i="14"/>
  <c r="AJ109" i="14"/>
  <c r="AL109" i="14"/>
  <c r="AK108" i="14"/>
  <c r="AH107" i="14"/>
  <c r="AF93" i="14"/>
  <c r="AH93" i="14"/>
  <c r="AN93" i="14" s="1"/>
  <c r="AD106" i="14"/>
  <c r="AF103" i="14"/>
  <c r="AJ93" i="14"/>
  <c r="AL105" i="14"/>
  <c r="AO105" i="14" s="1"/>
  <c r="AG93" i="14"/>
  <c r="AF91" i="14"/>
  <c r="AL93" i="14"/>
  <c r="AO93" i="14" s="1"/>
  <c r="AE93" i="14"/>
  <c r="AG87" i="14"/>
  <c r="AK106" i="14"/>
  <c r="AN106" i="14" s="1"/>
  <c r="AL76" i="8"/>
  <c r="AK76" i="8"/>
  <c r="AI49" i="8"/>
  <c r="AI57" i="8"/>
  <c r="AF75" i="8"/>
  <c r="AH49" i="8"/>
  <c r="AN49" i="8" s="1"/>
  <c r="AI82" i="8"/>
  <c r="AO82" i="8" s="1"/>
  <c r="AL60" i="8"/>
  <c r="AE75" i="8"/>
  <c r="AD51" i="8"/>
  <c r="AD57" i="8"/>
  <c r="AN67" i="8"/>
  <c r="AD73" i="8"/>
  <c r="AF93" i="8"/>
  <c r="AH56" i="8"/>
  <c r="AN56" i="8" s="1"/>
  <c r="AK62" i="8"/>
  <c r="AF86" i="8"/>
  <c r="AK95" i="8"/>
  <c r="AN95" i="8" s="1"/>
  <c r="AF57" i="8"/>
  <c r="AL62" i="8"/>
  <c r="AO62" i="8" s="1"/>
  <c r="AK60" i="8"/>
  <c r="AI48" i="8"/>
  <c r="AO48" i="8" s="1"/>
  <c r="AE93" i="8"/>
  <c r="AL98" i="8"/>
  <c r="AJ93" i="8"/>
  <c r="AM93" i="8" s="1"/>
  <c r="AD85" i="8"/>
  <c r="AE62" i="8"/>
  <c r="AG64" i="8"/>
  <c r="AI64" i="8"/>
  <c r="AJ62" i="8"/>
  <c r="AM62" i="8" s="1"/>
  <c r="AE56" i="8"/>
  <c r="AF62" i="8"/>
  <c r="AH90" i="8"/>
  <c r="AN90" i="8" s="1"/>
  <c r="AF48" i="8"/>
  <c r="AE48" i="8"/>
  <c r="AK98" i="8"/>
  <c r="AN98" i="8" s="1"/>
  <c r="AG77" i="8"/>
  <c r="AD49" i="8"/>
  <c r="AH57" i="8"/>
  <c r="AN57" i="8" s="1"/>
  <c r="AD71" i="8"/>
  <c r="AD81" i="8"/>
  <c r="AD95" i="8"/>
  <c r="AF51" i="8"/>
  <c r="AD54" i="8"/>
  <c r="AF56" i="8"/>
  <c r="AG56" i="8"/>
  <c r="AE81" i="8"/>
  <c r="AI88" i="8"/>
  <c r="AO88" i="8" s="1"/>
  <c r="AM65" i="8"/>
  <c r="AE89" i="8"/>
  <c r="AF98" i="8"/>
  <c r="AE87" i="8"/>
  <c r="AH60" i="8"/>
  <c r="AG60" i="8"/>
  <c r="AL79" i="8"/>
  <c r="AO79" i="8" s="1"/>
  <c r="AI92" i="8"/>
  <c r="AF59" i="8"/>
  <c r="AD60" i="8"/>
  <c r="AH59" i="8"/>
  <c r="AJ74" i="8"/>
  <c r="AM74" i="8" s="1"/>
  <c r="AD59" i="8"/>
  <c r="AD79" i="8"/>
  <c r="AG59" i="8"/>
  <c r="AE54" i="8"/>
  <c r="AL54" i="8"/>
  <c r="AO54" i="8" s="1"/>
  <c r="AF72" i="8"/>
  <c r="AE79" i="8"/>
  <c r="AK91" i="8"/>
  <c r="AD96" i="8"/>
  <c r="AK58" i="8"/>
  <c r="AN58" i="8" s="1"/>
  <c r="AF79" i="8"/>
  <c r="AE72" i="8"/>
  <c r="AK74" i="8"/>
  <c r="AN74" i="8" s="1"/>
  <c r="AE74" i="8"/>
  <c r="AN54" i="8"/>
  <c r="AG72" i="8"/>
  <c r="AM72" i="8" s="1"/>
  <c r="AF74" i="8"/>
  <c r="AJ54" i="8"/>
  <c r="AM54" i="8" s="1"/>
  <c r="AN79" i="8"/>
  <c r="AJ96" i="8"/>
  <c r="AM96" i="8" s="1"/>
  <c r="AF50" i="8"/>
  <c r="AF54" i="8"/>
  <c r="AI60" i="8"/>
  <c r="AH72" i="8"/>
  <c r="AN72" i="8" s="1"/>
  <c r="AJ79" i="8"/>
  <c r="AM79" i="8" s="1"/>
  <c r="AO96" i="8"/>
  <c r="AK96" i="8"/>
  <c r="AN96" i="8" s="1"/>
  <c r="AE60" i="8"/>
  <c r="AD80" i="8"/>
  <c r="AE80" i="8"/>
  <c r="AJ80" i="8"/>
  <c r="AM80" i="8" s="1"/>
  <c r="AF80" i="8"/>
  <c r="AK80" i="8"/>
  <c r="AN80" i="8" s="1"/>
  <c r="AO80" i="8"/>
  <c r="AL130" i="35"/>
  <c r="AO130" i="35" s="1"/>
  <c r="AO111" i="35"/>
  <c r="AN109" i="35"/>
  <c r="AL73" i="35"/>
  <c r="AO73" i="35" s="1"/>
  <c r="AJ73" i="35"/>
  <c r="AE73" i="35"/>
  <c r="AJ132" i="35"/>
  <c r="AM132" i="35" s="1"/>
  <c r="AN134" i="35"/>
  <c r="AM84" i="35"/>
  <c r="AE130" i="35"/>
  <c r="AO131" i="35"/>
  <c r="AK132" i="35"/>
  <c r="AO140" i="35"/>
  <c r="AO94" i="35"/>
  <c r="AO150" i="35"/>
  <c r="AN129" i="35"/>
  <c r="AD133" i="35"/>
  <c r="AE133" i="35"/>
  <c r="AO129" i="35"/>
  <c r="AN166" i="35"/>
  <c r="AO163" i="35"/>
  <c r="AN142" i="35"/>
  <c r="AN150" i="35"/>
  <c r="AO143" i="35"/>
  <c r="AM134" i="35"/>
  <c r="AM143" i="35"/>
  <c r="AN149" i="35"/>
  <c r="AM135" i="35"/>
  <c r="AM151" i="35"/>
  <c r="AM154" i="35"/>
  <c r="AN154" i="35"/>
  <c r="AM153" i="35"/>
  <c r="AO142" i="35"/>
  <c r="AM136" i="35"/>
  <c r="AD130" i="35"/>
  <c r="AF130" i="35"/>
  <c r="AD129" i="35"/>
  <c r="AE132" i="35"/>
  <c r="AE129" i="35"/>
  <c r="AG129" i="35"/>
  <c r="AM129" i="35" s="1"/>
  <c r="AF129" i="35"/>
  <c r="AM109" i="35"/>
  <c r="AM117" i="35"/>
  <c r="AN121" i="35"/>
  <c r="AM103" i="35"/>
  <c r="AN131" i="35"/>
  <c r="AM121" i="35"/>
  <c r="AN111" i="35"/>
  <c r="AO83" i="35"/>
  <c r="AF83" i="35"/>
  <c r="AN89" i="35"/>
  <c r="AM93" i="35"/>
  <c r="AL81" i="35"/>
  <c r="AO81" i="35" s="1"/>
  <c r="AK83" i="35"/>
  <c r="AN83" i="35" s="1"/>
  <c r="AE83" i="35"/>
  <c r="AJ83" i="35"/>
  <c r="AM83" i="35" s="1"/>
  <c r="AF101" i="35"/>
  <c r="AN99" i="35"/>
  <c r="AJ101" i="35"/>
  <c r="AM101" i="35" s="1"/>
  <c r="AL101" i="35"/>
  <c r="AO101" i="35" s="1"/>
  <c r="AK101" i="35"/>
  <c r="AN101" i="35" s="1"/>
  <c r="AE101" i="35"/>
  <c r="AN97" i="35"/>
  <c r="AO79" i="35"/>
  <c r="AM80" i="35"/>
  <c r="AN75" i="35"/>
  <c r="AN81" i="35"/>
  <c r="AD89" i="14"/>
  <c r="AJ91" i="14"/>
  <c r="AD87" i="14"/>
  <c r="AE89" i="14"/>
  <c r="AD91" i="14"/>
  <c r="AE91" i="14"/>
  <c r="AL95" i="14"/>
  <c r="AO95" i="14" s="1"/>
  <c r="AN114" i="14"/>
  <c r="AD94" i="14"/>
  <c r="AL94" i="14"/>
  <c r="AO94" i="14" s="1"/>
  <c r="AG104" i="14"/>
  <c r="AF94" i="14"/>
  <c r="AD90" i="14"/>
  <c r="AJ94" i="14"/>
  <c r="AD88" i="14"/>
  <c r="AF88" i="14"/>
  <c r="AL114" i="14"/>
  <c r="AO114" i="14" s="1"/>
  <c r="AE105" i="14"/>
  <c r="AF87" i="14"/>
  <c r="AL90" i="14"/>
  <c r="AF104" i="14"/>
  <c r="AD117" i="14"/>
  <c r="AH94" i="14"/>
  <c r="AN94" i="14" s="1"/>
  <c r="AK117" i="14"/>
  <c r="AK95" i="14"/>
  <c r="AN95" i="14" s="1"/>
  <c r="AF114" i="14"/>
  <c r="AF101" i="14"/>
  <c r="AJ105" i="14"/>
  <c r="AJ87" i="14"/>
  <c r="AE88" i="14"/>
  <c r="AI102" i="14"/>
  <c r="AE94" i="14"/>
  <c r="AG88" i="14"/>
  <c r="AH105" i="14"/>
  <c r="AN105" i="14" s="1"/>
  <c r="AG105" i="14"/>
  <c r="AM115" i="14"/>
  <c r="AH116" i="14"/>
  <c r="AI116" i="14"/>
  <c r="AG89" i="14"/>
  <c r="AI89" i="14"/>
  <c r="AH89" i="14"/>
  <c r="AN89" i="14" s="1"/>
  <c r="AE116" i="14"/>
  <c r="AF95" i="14"/>
  <c r="AE102" i="14"/>
  <c r="AE115" i="14"/>
  <c r="AJ102" i="14"/>
  <c r="AM102" i="14" s="1"/>
  <c r="AF115" i="14"/>
  <c r="AH96" i="14"/>
  <c r="AK87" i="14"/>
  <c r="AJ116" i="14"/>
  <c r="AD95" i="14"/>
  <c r="AL87" i="14"/>
  <c r="AO87" i="14" s="1"/>
  <c r="AE87" i="14"/>
  <c r="AI96" i="14"/>
  <c r="AO96" i="14" s="1"/>
  <c r="AL115" i="14"/>
  <c r="AJ117" i="14"/>
  <c r="AL102" i="14"/>
  <c r="AJ98" i="14"/>
  <c r="AK88" i="14"/>
  <c r="AL88" i="14"/>
  <c r="AO88" i="14" s="1"/>
  <c r="AJ88" i="14"/>
  <c r="AH115" i="14"/>
  <c r="AL116" i="14"/>
  <c r="AH103" i="14"/>
  <c r="AN103" i="14" s="1"/>
  <c r="AL98" i="14"/>
  <c r="AD102" i="14"/>
  <c r="AD115" i="14"/>
  <c r="AF117" i="14"/>
  <c r="AD103" i="14"/>
  <c r="AE103" i="14"/>
  <c r="AF116" i="14"/>
  <c r="AF96" i="14"/>
  <c r="AF102" i="14"/>
  <c r="AI115" i="14"/>
  <c r="AG116" i="14"/>
  <c r="AE117" i="14"/>
  <c r="AF90" i="14"/>
  <c r="AM95" i="14"/>
  <c r="AI92" i="14"/>
  <c r="AF92" i="14"/>
  <c r="AE92" i="14"/>
  <c r="AG92" i="14"/>
  <c r="AM92" i="14" s="1"/>
  <c r="AG97" i="14"/>
  <c r="AI97" i="14"/>
  <c r="AD97" i="14"/>
  <c r="AH97" i="14"/>
  <c r="AF97" i="14"/>
  <c r="AE97" i="14"/>
  <c r="AD98" i="14"/>
  <c r="AH98" i="14"/>
  <c r="AN98" i="14" s="1"/>
  <c r="AE98" i="14"/>
  <c r="AI98" i="14"/>
  <c r="AG98" i="14"/>
  <c r="AF98" i="14"/>
  <c r="AJ99" i="14"/>
  <c r="AL99" i="14"/>
  <c r="AK99" i="14"/>
  <c r="AJ90" i="14"/>
  <c r="AK90" i="14"/>
  <c r="AE99" i="14"/>
  <c r="AI99" i="14"/>
  <c r="AF99" i="14"/>
  <c r="AD99" i="14"/>
  <c r="AH99" i="14"/>
  <c r="AG99" i="14"/>
  <c r="AF100" i="14"/>
  <c r="AG100" i="14"/>
  <c r="AE100" i="14"/>
  <c r="AI100" i="14"/>
  <c r="AD100" i="14"/>
  <c r="AH100" i="14"/>
  <c r="AH90" i="14"/>
  <c r="AF105" i="14"/>
  <c r="AE104" i="14"/>
  <c r="AI90" i="14"/>
  <c r="AG90" i="14"/>
  <c r="AL92" i="14"/>
  <c r="AK92" i="14"/>
  <c r="AK97" i="14"/>
  <c r="AJ97" i="14"/>
  <c r="AL97" i="14"/>
  <c r="AJ100" i="14"/>
  <c r="AK100" i="14"/>
  <c r="AL100" i="14"/>
  <c r="AH92" i="14"/>
  <c r="AI104" i="14"/>
  <c r="AD92" i="14"/>
  <c r="AH104" i="14"/>
  <c r="AN104" i="14" s="1"/>
  <c r="AD105" i="14"/>
  <c r="AE90" i="14"/>
  <c r="AN80" i="35"/>
  <c r="AM79" i="35"/>
  <c r="AM72" i="35"/>
  <c r="AM81" i="35"/>
  <c r="AM77" i="35"/>
  <c r="AN78" i="35"/>
  <c r="AN79" i="35"/>
  <c r="AF87" i="8"/>
  <c r="AH87" i="8"/>
  <c r="AJ91" i="8"/>
  <c r="AM91" i="8" s="1"/>
  <c r="AK85" i="8"/>
  <c r="AJ82" i="8"/>
  <c r="AM82" i="8" s="1"/>
  <c r="AD87" i="8"/>
  <c r="AL85" i="8"/>
  <c r="AK82" i="8"/>
  <c r="AL87" i="8"/>
  <c r="AE92" i="8"/>
  <c r="AK87" i="8"/>
  <c r="AF83" i="8"/>
  <c r="AF82" i="8"/>
  <c r="AE85" i="8"/>
  <c r="AI87" i="8"/>
  <c r="AM83" i="8"/>
  <c r="AH92" i="8"/>
  <c r="AK83" i="8"/>
  <c r="AL83" i="8"/>
  <c r="AI86" i="8"/>
  <c r="AO86" i="8" s="1"/>
  <c r="AH86" i="8"/>
  <c r="AG86" i="8"/>
  <c r="AI85" i="8"/>
  <c r="AH91" i="8"/>
  <c r="AF91" i="8"/>
  <c r="AI83" i="8"/>
  <c r="AI91" i="8"/>
  <c r="AO91" i="8" s="1"/>
  <c r="AH83" i="8"/>
  <c r="AD91" i="8"/>
  <c r="AD82" i="8"/>
  <c r="AE82" i="8"/>
  <c r="AD90" i="8"/>
  <c r="AF85" i="8"/>
  <c r="AI89" i="8"/>
  <c r="AO89" i="8" s="1"/>
  <c r="AG85" i="8"/>
  <c r="AM85" i="8" s="1"/>
  <c r="AD83" i="8"/>
  <c r="AH85" i="8"/>
  <c r="AH82" i="8"/>
  <c r="AE83" i="8"/>
  <c r="AF90" i="8"/>
  <c r="AE90" i="8"/>
  <c r="AG90" i="8"/>
  <c r="AM90" i="8" s="1"/>
  <c r="AJ92" i="8"/>
  <c r="AM92" i="8" s="1"/>
  <c r="AD88" i="8"/>
  <c r="AK88" i="8"/>
  <c r="AG89" i="8"/>
  <c r="AJ88" i="8"/>
  <c r="AM88" i="8" s="1"/>
  <c r="AF88" i="8"/>
  <c r="AD92" i="8"/>
  <c r="AK92" i="8"/>
  <c r="AL92" i="8"/>
  <c r="AD94" i="8"/>
  <c r="AF94" i="8"/>
  <c r="AG94" i="8"/>
  <c r="AE94" i="8"/>
  <c r="AH94" i="8"/>
  <c r="AN94" i="8" s="1"/>
  <c r="AL95" i="8"/>
  <c r="AO95" i="8" s="1"/>
  <c r="AJ95" i="8"/>
  <c r="AM95" i="8" s="1"/>
  <c r="AF95" i="8"/>
  <c r="AH89" i="8"/>
  <c r="AE88" i="8"/>
  <c r="AF92" i="8"/>
  <c r="AD89" i="8"/>
  <c r="AH88" i="8"/>
  <c r="AF89" i="8"/>
  <c r="AI94" i="8"/>
  <c r="AL81" i="8"/>
  <c r="AK81" i="8"/>
  <c r="AD76" i="8"/>
  <c r="AI76" i="8"/>
  <c r="AG76" i="8"/>
  <c r="AE76" i="8"/>
  <c r="AF76" i="8"/>
  <c r="AH76" i="8"/>
  <c r="AL77" i="8"/>
  <c r="AK77" i="8"/>
  <c r="AN77" i="8" s="1"/>
  <c r="AJ77" i="8"/>
  <c r="AL50" i="8"/>
  <c r="AK50" i="8"/>
  <c r="AN50" i="8" s="1"/>
  <c r="AK51" i="8"/>
  <c r="AN51" i="8" s="1"/>
  <c r="AL51" i="8"/>
  <c r="AL75" i="8"/>
  <c r="AO75" i="8" s="1"/>
  <c r="AK75" i="8"/>
  <c r="AJ75" i="8"/>
  <c r="AD52" i="8"/>
  <c r="AF52" i="8"/>
  <c r="AG52" i="8"/>
  <c r="AM52" i="8" s="1"/>
  <c r="AI52" i="8"/>
  <c r="AH52" i="8"/>
  <c r="AH65" i="8"/>
  <c r="AM76" i="8"/>
  <c r="AE50" i="8"/>
  <c r="AE65" i="8"/>
  <c r="AI65" i="8"/>
  <c r="AD65" i="8"/>
  <c r="AG50" i="8"/>
  <c r="AM50" i="8" s="1"/>
  <c r="AF65" i="8"/>
  <c r="AI72" i="8"/>
  <c r="AO72" i="8" s="1"/>
  <c r="AL64" i="8"/>
  <c r="AL73" i="8"/>
  <c r="AK73" i="8"/>
  <c r="AJ73" i="8"/>
  <c r="AM73" i="8" s="1"/>
  <c r="AJ53" i="8"/>
  <c r="AM53" i="8" s="1"/>
  <c r="AL53" i="8"/>
  <c r="AK53" i="8"/>
  <c r="AN53" i="8" s="1"/>
  <c r="AE53" i="8"/>
  <c r="AD50" i="8"/>
  <c r="AF64" i="8"/>
  <c r="AL65" i="8"/>
  <c r="AE47" i="8"/>
  <c r="AF47" i="8"/>
  <c r="AD46" i="8"/>
  <c r="AI46" i="8"/>
  <c r="AG46" i="8"/>
  <c r="AM46" i="8" s="1"/>
  <c r="AH46" i="8"/>
  <c r="AN46" i="8" s="1"/>
  <c r="AE46" i="8"/>
  <c r="AI47" i="8"/>
  <c r="AO47" i="8" s="1"/>
  <c r="AH47" i="8"/>
  <c r="AN44" i="8"/>
  <c r="AH30" i="12"/>
  <c r="AG30" i="12"/>
  <c r="AI30" i="12"/>
  <c r="AI31" i="12"/>
  <c r="AH31" i="12"/>
  <c r="AG31" i="12"/>
  <c r="AK31" i="12"/>
  <c r="AL31" i="12"/>
  <c r="AJ31" i="12"/>
  <c r="AL30" i="12"/>
  <c r="AK30" i="12"/>
  <c r="AJ30" i="12"/>
  <c r="AJ29" i="12"/>
  <c r="AK29" i="12"/>
  <c r="AN29" i="12" s="1"/>
  <c r="AL29" i="12"/>
  <c r="AO29" i="12" s="1"/>
  <c r="AD31" i="12"/>
  <c r="AE31" i="12"/>
  <c r="AF31" i="12"/>
  <c r="AD30" i="12"/>
  <c r="AE30" i="12"/>
  <c r="AF30" i="12"/>
  <c r="AA8" i="36"/>
  <c r="U8" i="36"/>
  <c r="O8" i="36"/>
  <c r="I8" i="36"/>
  <c r="C8" i="36"/>
  <c r="AA7" i="36"/>
  <c r="U7" i="36"/>
  <c r="O7" i="36"/>
  <c r="I7" i="36"/>
  <c r="C7" i="36"/>
  <c r="AO108" i="35" l="1"/>
  <c r="AJ87" i="56"/>
  <c r="AI84" i="55"/>
  <c r="AG84" i="55"/>
  <c r="AM84" i="55" s="1"/>
  <c r="AH84" i="55"/>
  <c r="AL64" i="56"/>
  <c r="AN84" i="55"/>
  <c r="AL87" i="56"/>
  <c r="AI64" i="55"/>
  <c r="AO64" i="55" s="1"/>
  <c r="AG64" i="55"/>
  <c r="AM64" i="55" s="1"/>
  <c r="AH64" i="55"/>
  <c r="AJ64" i="56"/>
  <c r="AN64" i="55"/>
  <c r="AO84" i="55"/>
  <c r="AN132" i="35"/>
  <c r="AO159" i="35"/>
  <c r="AK87" i="56"/>
  <c r="AH48" i="55"/>
  <c r="AN48" i="55" s="1"/>
  <c r="AI48" i="55"/>
  <c r="AO48" i="55" s="1"/>
  <c r="AG48" i="55"/>
  <c r="AM48" i="55" s="1"/>
  <c r="AK64" i="56"/>
  <c r="AM167" i="35"/>
  <c r="AE172" i="35"/>
  <c r="J18" i="35" s="1"/>
  <c r="AM88" i="35"/>
  <c r="AF172" i="35"/>
  <c r="K18" i="35" s="1"/>
  <c r="I39" i="35" s="1"/>
  <c r="AN87" i="35"/>
  <c r="AD172" i="35"/>
  <c r="I18" i="35" s="1"/>
  <c r="AM113" i="35"/>
  <c r="AO86" i="35"/>
  <c r="AN73" i="35"/>
  <c r="AM82" i="35"/>
  <c r="AM73" i="35"/>
  <c r="AM74" i="35"/>
  <c r="AN115" i="14"/>
  <c r="AO85" i="8"/>
  <c r="AM89" i="14"/>
  <c r="AM81" i="8"/>
  <c r="AK151" i="54"/>
  <c r="AN114" i="54"/>
  <c r="AO158" i="54"/>
  <c r="AL194" i="54"/>
  <c r="AM39" i="55"/>
  <c r="AJ49" i="55"/>
  <c r="AO75" i="55"/>
  <c r="AL85" i="55"/>
  <c r="AO69" i="54"/>
  <c r="AL108" i="54"/>
  <c r="AO39" i="55"/>
  <c r="AL49" i="55"/>
  <c r="AN55" i="55"/>
  <c r="AK65" i="55"/>
  <c r="AK85" i="55"/>
  <c r="AN75" i="55"/>
  <c r="AM158" i="54"/>
  <c r="AJ194" i="54"/>
  <c r="AM69" i="54"/>
  <c r="AJ108" i="54"/>
  <c r="AN39" i="55"/>
  <c r="AK49" i="55"/>
  <c r="AM55" i="55"/>
  <c r="AJ65" i="55"/>
  <c r="AM114" i="54"/>
  <c r="AJ151" i="54"/>
  <c r="AO55" i="55"/>
  <c r="AL65" i="55"/>
  <c r="AM75" i="55"/>
  <c r="AJ85" i="55"/>
  <c r="AN158" i="54"/>
  <c r="AK194" i="54"/>
  <c r="AO114" i="54"/>
  <c r="AL151" i="54"/>
  <c r="AN69" i="54"/>
  <c r="AK108" i="54"/>
  <c r="AD99" i="8"/>
  <c r="I16" i="8" s="1"/>
  <c r="AO52" i="8"/>
  <c r="AM75" i="8"/>
  <c r="AM57" i="8"/>
  <c r="AO87" i="35"/>
  <c r="AO161" i="35"/>
  <c r="AO162" i="35"/>
  <c r="AN162" i="35"/>
  <c r="AO103" i="14"/>
  <c r="AN99" i="14"/>
  <c r="AM104" i="14"/>
  <c r="AO91" i="14"/>
  <c r="AN75" i="8"/>
  <c r="AN73" i="8"/>
  <c r="AN52" i="8"/>
  <c r="AO93" i="8"/>
  <c r="AN59" i="8"/>
  <c r="AO53" i="8"/>
  <c r="AN71" i="8"/>
  <c r="AN48" i="8"/>
  <c r="AN45" i="8"/>
  <c r="AO73" i="8"/>
  <c r="AM64" i="8"/>
  <c r="AM86" i="8"/>
  <c r="AM61" i="8"/>
  <c r="AO94" i="8"/>
  <c r="AN47" i="8"/>
  <c r="AN62" i="8"/>
  <c r="AN89" i="8"/>
  <c r="AM69" i="8"/>
  <c r="AN65" i="8"/>
  <c r="AO50" i="8"/>
  <c r="AM94" i="8"/>
  <c r="AM89" i="8"/>
  <c r="AN68" i="8"/>
  <c r="AO77" i="8"/>
  <c r="AN86" i="8"/>
  <c r="AM49" i="8"/>
  <c r="AN81" i="8"/>
  <c r="AM59" i="8"/>
  <c r="AM77" i="8"/>
  <c r="AO51" i="8"/>
  <c r="AO46" i="8"/>
  <c r="AN76" i="8"/>
  <c r="AN83" i="8"/>
  <c r="AO57" i="8"/>
  <c r="AM56" i="8"/>
  <c r="AO49" i="8"/>
  <c r="AO81" i="8"/>
  <c r="AO92" i="8"/>
  <c r="AO98" i="8"/>
  <c r="AN91" i="8"/>
  <c r="AO60" i="8"/>
  <c r="AM60" i="8"/>
  <c r="AM29" i="12"/>
  <c r="AM30" i="12"/>
  <c r="AN30" i="12"/>
  <c r="AM94" i="14"/>
  <c r="AN107" i="14"/>
  <c r="AN96" i="14"/>
  <c r="AO104" i="14"/>
  <c r="AM91" i="14"/>
  <c r="AM101" i="14"/>
  <c r="AM109" i="14"/>
  <c r="AN87" i="14"/>
  <c r="AO109" i="14"/>
  <c r="AM87" i="14"/>
  <c r="AN108" i="14"/>
  <c r="AO89" i="14"/>
  <c r="AM93" i="14"/>
  <c r="AO106" i="14"/>
  <c r="AN117" i="14"/>
  <c r="AN116" i="14"/>
  <c r="AN88" i="14"/>
  <c r="AM117" i="14"/>
  <c r="AM105" i="14"/>
  <c r="AO102" i="14"/>
  <c r="AO76" i="8"/>
  <c r="AN85" i="8"/>
  <c r="AO87" i="8"/>
  <c r="AN60" i="8"/>
  <c r="AO64" i="8"/>
  <c r="AN88" i="8"/>
  <c r="AN92" i="8"/>
  <c r="AO90" i="14"/>
  <c r="AO115" i="14"/>
  <c r="AO98" i="14"/>
  <c r="AO116" i="14"/>
  <c r="AN92" i="14"/>
  <c r="AM100" i="14"/>
  <c r="AM98" i="14"/>
  <c r="AM88" i="14"/>
  <c r="AM116" i="14"/>
  <c r="AO99" i="14"/>
  <c r="AO92" i="14"/>
  <c r="AN100" i="14"/>
  <c r="AN97" i="14"/>
  <c r="AM97" i="14"/>
  <c r="AO100" i="14"/>
  <c r="AO97" i="14"/>
  <c r="AM90" i="14"/>
  <c r="AN90" i="14"/>
  <c r="AM99" i="14"/>
  <c r="AN87" i="8"/>
  <c r="AN82" i="8"/>
  <c r="AO83" i="8"/>
  <c r="AF99" i="8"/>
  <c r="K16" i="8" s="1"/>
  <c r="I35" i="8" s="1"/>
  <c r="AO65" i="8"/>
  <c r="AE99" i="8"/>
  <c r="J16" i="8" s="1"/>
  <c r="AO31" i="12"/>
  <c r="AN31" i="12"/>
  <c r="AO30" i="12"/>
  <c r="AM31" i="12"/>
  <c r="I79" i="24"/>
  <c r="I78" i="24"/>
  <c r="I69" i="59" s="1"/>
  <c r="AB69" i="59" s="1"/>
  <c r="I40" i="24"/>
  <c r="I39" i="24"/>
  <c r="I38" i="24"/>
  <c r="I37" i="24"/>
  <c r="I33" i="24"/>
  <c r="I34" i="24"/>
  <c r="I113" i="24"/>
  <c r="I80" i="24"/>
  <c r="I56" i="24"/>
  <c r="I80" i="57" s="1"/>
  <c r="AB80" i="57" s="1"/>
  <c r="I46" i="24"/>
  <c r="I48" i="24"/>
  <c r="I47" i="24"/>
  <c r="I65" i="24"/>
  <c r="I85" i="57" s="1"/>
  <c r="AB85" i="57" s="1"/>
  <c r="I68" i="24"/>
  <c r="I88" i="57" s="1"/>
  <c r="AB88" i="57" s="1"/>
  <c r="I67" i="24"/>
  <c r="I87" i="57" s="1"/>
  <c r="AB87" i="57" s="1"/>
  <c r="I66" i="24"/>
  <c r="I86" i="57" s="1"/>
  <c r="AB86" i="57" s="1"/>
  <c r="I69" i="24"/>
  <c r="I89" i="57" s="1"/>
  <c r="AB89" i="57" s="1"/>
  <c r="I82" i="24"/>
  <c r="I84" i="24"/>
  <c r="I86" i="24"/>
  <c r="I85" i="24"/>
  <c r="I83" i="24"/>
  <c r="I87" i="24"/>
  <c r="I89" i="24"/>
  <c r="I91" i="24"/>
  <c r="I90" i="24"/>
  <c r="C90" i="24"/>
  <c r="I88" i="24"/>
  <c r="I92" i="24"/>
  <c r="I94" i="24"/>
  <c r="I96" i="24"/>
  <c r="I95" i="24"/>
  <c r="C95" i="24"/>
  <c r="I93" i="24"/>
  <c r="I57" i="24"/>
  <c r="I58" i="24"/>
  <c r="I75" i="24"/>
  <c r="I179" i="54" s="1"/>
  <c r="AB179" i="54" s="1"/>
  <c r="I53" i="24"/>
  <c r="I54" i="24"/>
  <c r="I55" i="24"/>
  <c r="I51" i="24"/>
  <c r="I50" i="24"/>
  <c r="I52" i="24"/>
  <c r="I22" i="24"/>
  <c r="I59" i="24"/>
  <c r="I25" i="24"/>
  <c r="I24" i="24"/>
  <c r="I71" i="56" l="1"/>
  <c r="AB71" i="56" s="1"/>
  <c r="I48" i="56"/>
  <c r="AB48" i="56" s="1"/>
  <c r="I86" i="58"/>
  <c r="AB86" i="58" s="1"/>
  <c r="I70" i="60"/>
  <c r="AB70" i="60" s="1"/>
  <c r="I172" i="54"/>
  <c r="AB172" i="54" s="1"/>
  <c r="I52" i="52"/>
  <c r="AB52" i="52" s="1"/>
  <c r="I88" i="53"/>
  <c r="AB88" i="53" s="1"/>
  <c r="I74" i="57"/>
  <c r="AB74" i="57" s="1"/>
  <c r="I83" i="54"/>
  <c r="AB83" i="54" s="1"/>
  <c r="I72" i="56"/>
  <c r="AB72" i="56" s="1"/>
  <c r="I49" i="56"/>
  <c r="AB49" i="56" s="1"/>
  <c r="I74" i="56"/>
  <c r="AB74" i="56" s="1"/>
  <c r="I51" i="56"/>
  <c r="AB51" i="56" s="1"/>
  <c r="I76" i="60"/>
  <c r="AB76" i="60" s="1"/>
  <c r="I77" i="56"/>
  <c r="AB77" i="56" s="1"/>
  <c r="I54" i="56"/>
  <c r="AB54" i="56" s="1"/>
  <c r="O90" i="24"/>
  <c r="O91" i="24"/>
  <c r="AH87" i="57"/>
  <c r="AN87" i="57" s="1"/>
  <c r="AG87" i="57"/>
  <c r="AM87" i="57" s="1"/>
  <c r="AI87" i="57"/>
  <c r="AO87" i="57" s="1"/>
  <c r="AE87" i="57"/>
  <c r="AF87" i="57"/>
  <c r="AD87" i="57"/>
  <c r="I83" i="55"/>
  <c r="AB83" i="55" s="1"/>
  <c r="I47" i="55"/>
  <c r="AB47" i="55" s="1"/>
  <c r="I63" i="55"/>
  <c r="AB63" i="55" s="1"/>
  <c r="I71" i="59"/>
  <c r="AB71" i="59" s="1"/>
  <c r="I82" i="60"/>
  <c r="AB82" i="60" s="1"/>
  <c r="I82" i="57"/>
  <c r="AB82" i="57" s="1"/>
  <c r="I134" i="54"/>
  <c r="AB134" i="54" s="1"/>
  <c r="I91" i="54"/>
  <c r="AB91" i="54" s="1"/>
  <c r="I70" i="59"/>
  <c r="AB70" i="59" s="1"/>
  <c r="I127" i="54"/>
  <c r="AB127" i="54" s="1"/>
  <c r="AI179" i="54"/>
  <c r="AO179" i="54" s="1"/>
  <c r="AG179" i="54"/>
  <c r="AM179" i="54" s="1"/>
  <c r="AH179" i="54"/>
  <c r="AN179" i="54" s="1"/>
  <c r="AD179" i="54"/>
  <c r="AF179" i="54"/>
  <c r="AE179" i="54"/>
  <c r="I71" i="60"/>
  <c r="AB71" i="60" s="1"/>
  <c r="I75" i="57"/>
  <c r="AB75" i="57" s="1"/>
  <c r="I87" i="58"/>
  <c r="AB87" i="58" s="1"/>
  <c r="I84" i="54"/>
  <c r="AB84" i="54" s="1"/>
  <c r="I173" i="54"/>
  <c r="AB173" i="54" s="1"/>
  <c r="I53" i="52"/>
  <c r="AB53" i="52" s="1"/>
  <c r="I89" i="53"/>
  <c r="AB89" i="53" s="1"/>
  <c r="I70" i="56"/>
  <c r="AB70" i="56" s="1"/>
  <c r="I47" i="56"/>
  <c r="AB47" i="56" s="1"/>
  <c r="I73" i="56"/>
  <c r="AB73" i="56" s="1"/>
  <c r="I50" i="56"/>
  <c r="AB50" i="56" s="1"/>
  <c r="AG88" i="57"/>
  <c r="AM88" i="57" s="1"/>
  <c r="AH88" i="57"/>
  <c r="AN88" i="57" s="1"/>
  <c r="AD88" i="57"/>
  <c r="AE88" i="57"/>
  <c r="AF88" i="57"/>
  <c r="AI88" i="57"/>
  <c r="AO88" i="57" s="1"/>
  <c r="I61" i="55"/>
  <c r="AB61" i="55" s="1"/>
  <c r="I81" i="55"/>
  <c r="AB81" i="55" s="1"/>
  <c r="I45" i="55"/>
  <c r="AB45" i="55" s="1"/>
  <c r="I90" i="58"/>
  <c r="AB90" i="58" s="1"/>
  <c r="I176" i="54"/>
  <c r="AB176" i="54" s="1"/>
  <c r="I130" i="54"/>
  <c r="AB130" i="54" s="1"/>
  <c r="I87" i="54"/>
  <c r="AB87" i="54" s="1"/>
  <c r="I92" i="54"/>
  <c r="AB92" i="54" s="1"/>
  <c r="I135" i="54"/>
  <c r="AB135" i="54" s="1"/>
  <c r="I81" i="60"/>
  <c r="AB81" i="60" s="1"/>
  <c r="I101" i="53"/>
  <c r="AB101" i="53" s="1"/>
  <c r="AH89" i="57"/>
  <c r="AN89" i="57" s="1"/>
  <c r="AG89" i="57"/>
  <c r="AM89" i="57" s="1"/>
  <c r="AE89" i="57"/>
  <c r="AF89" i="57"/>
  <c r="AI89" i="57"/>
  <c r="AO89" i="57" s="1"/>
  <c r="AD89" i="57"/>
  <c r="AH85" i="57"/>
  <c r="AN85" i="57" s="1"/>
  <c r="AG85" i="57"/>
  <c r="AM85" i="57" s="1"/>
  <c r="AE85" i="57"/>
  <c r="AI85" i="57"/>
  <c r="AO85" i="57" s="1"/>
  <c r="AF85" i="57"/>
  <c r="AD85" i="57"/>
  <c r="AH80" i="57"/>
  <c r="AN80" i="57" s="1"/>
  <c r="AF80" i="57"/>
  <c r="AD80" i="57"/>
  <c r="AE80" i="57"/>
  <c r="AG80" i="57"/>
  <c r="AM80" i="57" s="1"/>
  <c r="AI80" i="57"/>
  <c r="AO80" i="57" s="1"/>
  <c r="I86" i="54"/>
  <c r="AB86" i="54" s="1"/>
  <c r="I129" i="54"/>
  <c r="AB129" i="54" s="1"/>
  <c r="I89" i="58"/>
  <c r="AB89" i="58" s="1"/>
  <c r="I175" i="54"/>
  <c r="AB175" i="54" s="1"/>
  <c r="I136" i="54"/>
  <c r="AB136" i="54" s="1"/>
  <c r="I93" i="54"/>
  <c r="AB93" i="54" s="1"/>
  <c r="O95" i="24"/>
  <c r="O96" i="24"/>
  <c r="I73" i="60"/>
  <c r="AB73" i="60" s="1"/>
  <c r="I65" i="57"/>
  <c r="AB65" i="57" s="1"/>
  <c r="I80" i="55"/>
  <c r="AB80" i="55" s="1"/>
  <c r="I74" i="54"/>
  <c r="AB74" i="54" s="1"/>
  <c r="I77" i="58"/>
  <c r="AB77" i="58" s="1"/>
  <c r="I44" i="55"/>
  <c r="AB44" i="55" s="1"/>
  <c r="I44" i="52"/>
  <c r="AB44" i="52" s="1"/>
  <c r="I60" i="55"/>
  <c r="AB60" i="55" s="1"/>
  <c r="I163" i="54"/>
  <c r="AB163" i="54" s="1"/>
  <c r="I119" i="54"/>
  <c r="AB119" i="54" s="1"/>
  <c r="I75" i="56"/>
  <c r="AB75" i="56" s="1"/>
  <c r="I52" i="56"/>
  <c r="AB52" i="56" s="1"/>
  <c r="I77" i="60"/>
  <c r="AB77" i="60" s="1"/>
  <c r="I78" i="56"/>
  <c r="AB78" i="56" s="1"/>
  <c r="I55" i="56"/>
  <c r="AB55" i="56" s="1"/>
  <c r="AH86" i="57"/>
  <c r="AN86" i="57" s="1"/>
  <c r="AG86" i="57"/>
  <c r="AM86" i="57" s="1"/>
  <c r="AI86" i="57"/>
  <c r="AO86" i="57" s="1"/>
  <c r="AD86" i="57"/>
  <c r="AF86" i="57"/>
  <c r="AE86" i="57"/>
  <c r="I46" i="55"/>
  <c r="AB46" i="55" s="1"/>
  <c r="I62" i="55"/>
  <c r="AB62" i="55" s="1"/>
  <c r="I82" i="55"/>
  <c r="AB82" i="55" s="1"/>
  <c r="I128" i="54"/>
  <c r="AB128" i="54" s="1"/>
  <c r="I81" i="57"/>
  <c r="AB81" i="57" s="1"/>
  <c r="I90" i="54"/>
  <c r="AB90" i="54" s="1"/>
  <c r="I133" i="54"/>
  <c r="AB133" i="54" s="1"/>
  <c r="AD69" i="59"/>
  <c r="AF69" i="59"/>
  <c r="AG69" i="59"/>
  <c r="AM69" i="59" s="1"/>
  <c r="AH69" i="59"/>
  <c r="AN69" i="59" s="1"/>
  <c r="AI69" i="59"/>
  <c r="AO69" i="59" s="1"/>
  <c r="AE69" i="59"/>
  <c r="AD16" i="8"/>
  <c r="AE16" i="8"/>
  <c r="C191" i="35"/>
  <c r="M10" i="35"/>
  <c r="O10" i="35"/>
  <c r="I42" i="35"/>
  <c r="K118" i="8"/>
  <c r="O5" i="18"/>
  <c r="I5" i="18"/>
  <c r="AA5" i="18"/>
  <c r="U5" i="18"/>
  <c r="AG90" i="54" l="1"/>
  <c r="AM90" i="54" s="1"/>
  <c r="AI90" i="54"/>
  <c r="AO90" i="54" s="1"/>
  <c r="AH90" i="54"/>
  <c r="AN90" i="54" s="1"/>
  <c r="AD90" i="54"/>
  <c r="AF90" i="54"/>
  <c r="AE90" i="54"/>
  <c r="AG62" i="55"/>
  <c r="AM62" i="55" s="1"/>
  <c r="AI62" i="55"/>
  <c r="AO62" i="55" s="1"/>
  <c r="AH62" i="55"/>
  <c r="AN62" i="55" s="1"/>
  <c r="AF62" i="55"/>
  <c r="AE62" i="55"/>
  <c r="AD62" i="55"/>
  <c r="AH55" i="56"/>
  <c r="AN55" i="56" s="1"/>
  <c r="AE55" i="56"/>
  <c r="AI55" i="56"/>
  <c r="AO55" i="56" s="1"/>
  <c r="AF55" i="56"/>
  <c r="AD55" i="56"/>
  <c r="AG55" i="56"/>
  <c r="AM55" i="56" s="1"/>
  <c r="AI75" i="56"/>
  <c r="AO75" i="56" s="1"/>
  <c r="AG75" i="56"/>
  <c r="AM75" i="56" s="1"/>
  <c r="AD75" i="56"/>
  <c r="AH75" i="56"/>
  <c r="AN75" i="56" s="1"/>
  <c r="AF75" i="56"/>
  <c r="AE75" i="56"/>
  <c r="AG44" i="52"/>
  <c r="AM44" i="52" s="1"/>
  <c r="AI44" i="52"/>
  <c r="AO44" i="52" s="1"/>
  <c r="AH44" i="52"/>
  <c r="AN44" i="52" s="1"/>
  <c r="AD44" i="52"/>
  <c r="AF44" i="52"/>
  <c r="AE44" i="52"/>
  <c r="AI80" i="55"/>
  <c r="AH80" i="55"/>
  <c r="AG80" i="55"/>
  <c r="AE80" i="55"/>
  <c r="AD80" i="55"/>
  <c r="AF80" i="55"/>
  <c r="AI175" i="54"/>
  <c r="AO175" i="54" s="1"/>
  <c r="AG175" i="54"/>
  <c r="AM175" i="54" s="1"/>
  <c r="AH175" i="54"/>
  <c r="AN175" i="54" s="1"/>
  <c r="AF175" i="54"/>
  <c r="AD175" i="54"/>
  <c r="AE175" i="54"/>
  <c r="AG130" i="54"/>
  <c r="AM130" i="54" s="1"/>
  <c r="AI130" i="54"/>
  <c r="AO130" i="54" s="1"/>
  <c r="AH130" i="54"/>
  <c r="AN130" i="54" s="1"/>
  <c r="AF130" i="54"/>
  <c r="AE130" i="54"/>
  <c r="AD130" i="54"/>
  <c r="AG81" i="55"/>
  <c r="AM81" i="55" s="1"/>
  <c r="AH81" i="55"/>
  <c r="AN81" i="55" s="1"/>
  <c r="AI81" i="55"/>
  <c r="AO81" i="55" s="1"/>
  <c r="AD81" i="55"/>
  <c r="AF81" i="55"/>
  <c r="AE81" i="55"/>
  <c r="AH50" i="56"/>
  <c r="AN50" i="56" s="1"/>
  <c r="AG50" i="56"/>
  <c r="AM50" i="56" s="1"/>
  <c r="AF50" i="56"/>
  <c r="AD50" i="56"/>
  <c r="AE50" i="56"/>
  <c r="AI50" i="56"/>
  <c r="AO50" i="56" s="1"/>
  <c r="AI89" i="53"/>
  <c r="AO89" i="53" s="1"/>
  <c r="AH89" i="53"/>
  <c r="AN89" i="53" s="1"/>
  <c r="AG89" i="53"/>
  <c r="AM89" i="53" s="1"/>
  <c r="AF89" i="53"/>
  <c r="AE89" i="53"/>
  <c r="AD89" i="53"/>
  <c r="AF87" i="58"/>
  <c r="AG87" i="58"/>
  <c r="AM87" i="58" s="1"/>
  <c r="AD87" i="58"/>
  <c r="AH87" i="58"/>
  <c r="AN87" i="58" s="1"/>
  <c r="AE87" i="58"/>
  <c r="AI87" i="58"/>
  <c r="AO87" i="58" s="1"/>
  <c r="AG91" i="54"/>
  <c r="AM91" i="54" s="1"/>
  <c r="AI91" i="54"/>
  <c r="AO91" i="54" s="1"/>
  <c r="AH91" i="54"/>
  <c r="AN91" i="54" s="1"/>
  <c r="AF91" i="54"/>
  <c r="AE91" i="54"/>
  <c r="AD91" i="54"/>
  <c r="AI71" i="59"/>
  <c r="AO71" i="59" s="1"/>
  <c r="AG71" i="59"/>
  <c r="AM71" i="59" s="1"/>
  <c r="AH71" i="59"/>
  <c r="AN71" i="59" s="1"/>
  <c r="AF71" i="59"/>
  <c r="AD71" i="59"/>
  <c r="AE71" i="59"/>
  <c r="AE79" i="59" s="1"/>
  <c r="AG9" i="59" s="1"/>
  <c r="AH54" i="56"/>
  <c r="AN54" i="56" s="1"/>
  <c r="AF54" i="56"/>
  <c r="AD54" i="56"/>
  <c r="AG54" i="56"/>
  <c r="AM54" i="56" s="1"/>
  <c r="AE54" i="56"/>
  <c r="AI54" i="56"/>
  <c r="AO54" i="56" s="1"/>
  <c r="AF74" i="56"/>
  <c r="AE74" i="56"/>
  <c r="AI74" i="56"/>
  <c r="AO74" i="56" s="1"/>
  <c r="AD74" i="56"/>
  <c r="AG74" i="56"/>
  <c r="AM74" i="56" s="1"/>
  <c r="AH74" i="56"/>
  <c r="AN74" i="56" s="1"/>
  <c r="AG74" i="57"/>
  <c r="AM74" i="57" s="1"/>
  <c r="AH74" i="57"/>
  <c r="AN74" i="57" s="1"/>
  <c r="AF74" i="57"/>
  <c r="AI74" i="57"/>
  <c r="AO74" i="57" s="1"/>
  <c r="AE74" i="57"/>
  <c r="AD74" i="57"/>
  <c r="AI70" i="60"/>
  <c r="AO70" i="60" s="1"/>
  <c r="AG70" i="60"/>
  <c r="AM70" i="60" s="1"/>
  <c r="AD70" i="60"/>
  <c r="AF70" i="60"/>
  <c r="AH70" i="60"/>
  <c r="AN70" i="60" s="1"/>
  <c r="AE70" i="60"/>
  <c r="AF81" i="57"/>
  <c r="AI81" i="57"/>
  <c r="AO81" i="57" s="1"/>
  <c r="AG81" i="57"/>
  <c r="AM81" i="57" s="1"/>
  <c r="AE81" i="57"/>
  <c r="AH81" i="57"/>
  <c r="AN81" i="57" s="1"/>
  <c r="AD81" i="57"/>
  <c r="AH46" i="55"/>
  <c r="AN46" i="55" s="1"/>
  <c r="AG46" i="55"/>
  <c r="AM46" i="55" s="1"/>
  <c r="AI46" i="55"/>
  <c r="AO46" i="55" s="1"/>
  <c r="AF46" i="55"/>
  <c r="AE46" i="55"/>
  <c r="AD46" i="55"/>
  <c r="AI78" i="56"/>
  <c r="AO78" i="56" s="1"/>
  <c r="AH78" i="56"/>
  <c r="AN78" i="56" s="1"/>
  <c r="AE78" i="56"/>
  <c r="AG78" i="56"/>
  <c r="AM78" i="56" s="1"/>
  <c r="AD78" i="56"/>
  <c r="AF78" i="56"/>
  <c r="AH119" i="54"/>
  <c r="AG119" i="54"/>
  <c r="AI119" i="54"/>
  <c r="AD119" i="54"/>
  <c r="AF119" i="54"/>
  <c r="AE119" i="54"/>
  <c r="AH44" i="55"/>
  <c r="AG44" i="55"/>
  <c r="AI44" i="55"/>
  <c r="AF44" i="55"/>
  <c r="AE44" i="55"/>
  <c r="AD44" i="55"/>
  <c r="AH65" i="57"/>
  <c r="AN65" i="57" s="1"/>
  <c r="AG65" i="57"/>
  <c r="AM65" i="57" s="1"/>
  <c r="AF65" i="57"/>
  <c r="AE65" i="57"/>
  <c r="AI65" i="57"/>
  <c r="AO65" i="57" s="1"/>
  <c r="AD65" i="57"/>
  <c r="AD90" i="57" s="1"/>
  <c r="AG10" i="57" s="1"/>
  <c r="AH89" i="58"/>
  <c r="AN89" i="58" s="1"/>
  <c r="AF89" i="58"/>
  <c r="AG89" i="58"/>
  <c r="AM89" i="58" s="1"/>
  <c r="AI89" i="58"/>
  <c r="AO89" i="58" s="1"/>
  <c r="AD89" i="58"/>
  <c r="AE89" i="58"/>
  <c r="AG135" i="54"/>
  <c r="AM135" i="54" s="1"/>
  <c r="AH135" i="54"/>
  <c r="AN135" i="54" s="1"/>
  <c r="AI135" i="54"/>
  <c r="AO135" i="54" s="1"/>
  <c r="AE135" i="54"/>
  <c r="AF135" i="54"/>
  <c r="AD135" i="54"/>
  <c r="AG176" i="54"/>
  <c r="AM176" i="54" s="1"/>
  <c r="AH176" i="54"/>
  <c r="AN176" i="54" s="1"/>
  <c r="AI176" i="54"/>
  <c r="AO176" i="54" s="1"/>
  <c r="AD176" i="54"/>
  <c r="AE176" i="54"/>
  <c r="AF176" i="54"/>
  <c r="AG61" i="55"/>
  <c r="AM61" i="55" s="1"/>
  <c r="AI61" i="55"/>
  <c r="AO61" i="55" s="1"/>
  <c r="AH61" i="55"/>
  <c r="AN61" i="55" s="1"/>
  <c r="AF61" i="55"/>
  <c r="AE61" i="55"/>
  <c r="AD61" i="55"/>
  <c r="AD73" i="56"/>
  <c r="AH73" i="56"/>
  <c r="AN73" i="56" s="1"/>
  <c r="AI73" i="56"/>
  <c r="AO73" i="56" s="1"/>
  <c r="AG73" i="56"/>
  <c r="AM73" i="56" s="1"/>
  <c r="AF73" i="56"/>
  <c r="AE73" i="56"/>
  <c r="AI53" i="52"/>
  <c r="AO53" i="52" s="1"/>
  <c r="AH53" i="52"/>
  <c r="AN53" i="52" s="1"/>
  <c r="AG53" i="52"/>
  <c r="AM53" i="52" s="1"/>
  <c r="AF53" i="52"/>
  <c r="AD53" i="52"/>
  <c r="AE53" i="52"/>
  <c r="AH75" i="57"/>
  <c r="AN75" i="57" s="1"/>
  <c r="AG75" i="57"/>
  <c r="AM75" i="57" s="1"/>
  <c r="AD75" i="57"/>
  <c r="AE75" i="57"/>
  <c r="AF75" i="57"/>
  <c r="AI75" i="57"/>
  <c r="AO75" i="57" s="1"/>
  <c r="AI134" i="54"/>
  <c r="AO134" i="54" s="1"/>
  <c r="AG134" i="54"/>
  <c r="AM134" i="54" s="1"/>
  <c r="AH134" i="54"/>
  <c r="AN134" i="54" s="1"/>
  <c r="AF134" i="54"/>
  <c r="AE134" i="54"/>
  <c r="AD134" i="54"/>
  <c r="AI63" i="55"/>
  <c r="AO63" i="55" s="1"/>
  <c r="AG63" i="55"/>
  <c r="AM63" i="55" s="1"/>
  <c r="AH63" i="55"/>
  <c r="AN63" i="55" s="1"/>
  <c r="AD63" i="55"/>
  <c r="AF63" i="55"/>
  <c r="AE63" i="55"/>
  <c r="AI77" i="56"/>
  <c r="AO77" i="56" s="1"/>
  <c r="AG77" i="56"/>
  <c r="AM77" i="56" s="1"/>
  <c r="AD77" i="56"/>
  <c r="AH77" i="56"/>
  <c r="AN77" i="56" s="1"/>
  <c r="AF77" i="56"/>
  <c r="AE77" i="56"/>
  <c r="AH49" i="56"/>
  <c r="AN49" i="56" s="1"/>
  <c r="AE49" i="56"/>
  <c r="AD49" i="56"/>
  <c r="AG49" i="56"/>
  <c r="AM49" i="56" s="1"/>
  <c r="AI49" i="56"/>
  <c r="AO49" i="56" s="1"/>
  <c r="AF49" i="56"/>
  <c r="AH88" i="53"/>
  <c r="AN88" i="53" s="1"/>
  <c r="AG88" i="53"/>
  <c r="AM88" i="53" s="1"/>
  <c r="AI88" i="53"/>
  <c r="AO88" i="53" s="1"/>
  <c r="AD88" i="53"/>
  <c r="AE88" i="53"/>
  <c r="AF88" i="53"/>
  <c r="AG86" i="58"/>
  <c r="AM86" i="58" s="1"/>
  <c r="AD86" i="58"/>
  <c r="AH86" i="58"/>
  <c r="AN86" i="58" s="1"/>
  <c r="AE86" i="58"/>
  <c r="AI86" i="58"/>
  <c r="AO86" i="58" s="1"/>
  <c r="AF86" i="58"/>
  <c r="AI128" i="54"/>
  <c r="AO128" i="54" s="1"/>
  <c r="AG128" i="54"/>
  <c r="AM128" i="54" s="1"/>
  <c r="AH128" i="54"/>
  <c r="AN128" i="54" s="1"/>
  <c r="AF128" i="54"/>
  <c r="AD128" i="54"/>
  <c r="AE128" i="54"/>
  <c r="AH77" i="60"/>
  <c r="AN77" i="60" s="1"/>
  <c r="AF77" i="60"/>
  <c r="AE77" i="60"/>
  <c r="AI77" i="60"/>
  <c r="AO77" i="60" s="1"/>
  <c r="AD77" i="60"/>
  <c r="AG77" i="60"/>
  <c r="AM77" i="60" s="1"/>
  <c r="AH163" i="54"/>
  <c r="AG163" i="54"/>
  <c r="AI163" i="54"/>
  <c r="AE163" i="54"/>
  <c r="AD163" i="54"/>
  <c r="AF163" i="54"/>
  <c r="AF77" i="58"/>
  <c r="AG77" i="58"/>
  <c r="AM77" i="58" s="1"/>
  <c r="AD77" i="58"/>
  <c r="AH77" i="58"/>
  <c r="AN77" i="58" s="1"/>
  <c r="AI77" i="58"/>
  <c r="AO77" i="58" s="1"/>
  <c r="AE77" i="58"/>
  <c r="AH73" i="60"/>
  <c r="AN73" i="60" s="1"/>
  <c r="AI73" i="60"/>
  <c r="AO73" i="60" s="1"/>
  <c r="AF73" i="60"/>
  <c r="AE73" i="60"/>
  <c r="AG73" i="60"/>
  <c r="AM73" i="60" s="1"/>
  <c r="AD73" i="60"/>
  <c r="AF93" i="54"/>
  <c r="AH93" i="54"/>
  <c r="AD93" i="54"/>
  <c r="AE93" i="54"/>
  <c r="AG93" i="54"/>
  <c r="AM93" i="54" s="1"/>
  <c r="AI93" i="54"/>
  <c r="AO93" i="54" s="1"/>
  <c r="AG129" i="54"/>
  <c r="AM129" i="54" s="1"/>
  <c r="AH129" i="54"/>
  <c r="AN129" i="54" s="1"/>
  <c r="AI129" i="54"/>
  <c r="AO129" i="54" s="1"/>
  <c r="AF129" i="54"/>
  <c r="AD129" i="54"/>
  <c r="AE129" i="54"/>
  <c r="AI101" i="53"/>
  <c r="AO101" i="53" s="1"/>
  <c r="AH101" i="53"/>
  <c r="AN101" i="53" s="1"/>
  <c r="AG101" i="53"/>
  <c r="AM101" i="53" s="1"/>
  <c r="AD101" i="53"/>
  <c r="AE101" i="53"/>
  <c r="AF101" i="53"/>
  <c r="AG92" i="54"/>
  <c r="AM92" i="54" s="1"/>
  <c r="AI92" i="54"/>
  <c r="AO92" i="54" s="1"/>
  <c r="AH92" i="54"/>
  <c r="AN92" i="54" s="1"/>
  <c r="AF92" i="54"/>
  <c r="AE92" i="54"/>
  <c r="AD92" i="54"/>
  <c r="AH90" i="58"/>
  <c r="AN90" i="58" s="1"/>
  <c r="AF90" i="58"/>
  <c r="AG90" i="58"/>
  <c r="AM90" i="58" s="1"/>
  <c r="AE90" i="58"/>
  <c r="AI90" i="58"/>
  <c r="AO90" i="58" s="1"/>
  <c r="AD90" i="58"/>
  <c r="AH47" i="56"/>
  <c r="AE47" i="56"/>
  <c r="AG47" i="56"/>
  <c r="AI47" i="56"/>
  <c r="AF47" i="56"/>
  <c r="AD47" i="56"/>
  <c r="AG173" i="54"/>
  <c r="AM173" i="54" s="1"/>
  <c r="AI173" i="54"/>
  <c r="AO173" i="54" s="1"/>
  <c r="AH173" i="54"/>
  <c r="AN173" i="54" s="1"/>
  <c r="AD173" i="54"/>
  <c r="AE173" i="54"/>
  <c r="AF173" i="54"/>
  <c r="AH71" i="60"/>
  <c r="AN71" i="60" s="1"/>
  <c r="AF71" i="60"/>
  <c r="AI71" i="60"/>
  <c r="AO71" i="60" s="1"/>
  <c r="AG71" i="60"/>
  <c r="AM71" i="60" s="1"/>
  <c r="AD71" i="60"/>
  <c r="AE71" i="60"/>
  <c r="AI127" i="54"/>
  <c r="AO127" i="54" s="1"/>
  <c r="AG127" i="54"/>
  <c r="AM127" i="54" s="1"/>
  <c r="AH127" i="54"/>
  <c r="AN127" i="54" s="1"/>
  <c r="AE127" i="54"/>
  <c r="AD127" i="54"/>
  <c r="AF127" i="54"/>
  <c r="AI82" i="57"/>
  <c r="AO82" i="57" s="1"/>
  <c r="AF82" i="57"/>
  <c r="AF90" i="57" s="1"/>
  <c r="AG11" i="57" s="1"/>
  <c r="AD82" i="57"/>
  <c r="AH82" i="57"/>
  <c r="AN82" i="57" s="1"/>
  <c r="AE82" i="57"/>
  <c r="AG82" i="57"/>
  <c r="AM82" i="57" s="1"/>
  <c r="AI47" i="55"/>
  <c r="AO47" i="55" s="1"/>
  <c r="AG47" i="55"/>
  <c r="AM47" i="55" s="1"/>
  <c r="AH47" i="55"/>
  <c r="AN47" i="55" s="1"/>
  <c r="AE47" i="55"/>
  <c r="AF47" i="55"/>
  <c r="AD47" i="55"/>
  <c r="AE90" i="57"/>
  <c r="AG9" i="57" s="1"/>
  <c r="AH76" i="60"/>
  <c r="AN76" i="60" s="1"/>
  <c r="AF76" i="60"/>
  <c r="AI76" i="60"/>
  <c r="AO76" i="60" s="1"/>
  <c r="AD76" i="60"/>
  <c r="AE76" i="60"/>
  <c r="AG76" i="60"/>
  <c r="AM76" i="60" s="1"/>
  <c r="AI72" i="56"/>
  <c r="AO72" i="56" s="1"/>
  <c r="AG72" i="56"/>
  <c r="AM72" i="56" s="1"/>
  <c r="AD72" i="56"/>
  <c r="AF72" i="56"/>
  <c r="AE72" i="56"/>
  <c r="AH72" i="56"/>
  <c r="AN72" i="56" s="1"/>
  <c r="AH52" i="52"/>
  <c r="AN52" i="52" s="1"/>
  <c r="AI52" i="52"/>
  <c r="AO52" i="52" s="1"/>
  <c r="AG52" i="52"/>
  <c r="AM52" i="52" s="1"/>
  <c r="AF52" i="52"/>
  <c r="AD52" i="52"/>
  <c r="AE52" i="52"/>
  <c r="AH48" i="56"/>
  <c r="AN48" i="56" s="1"/>
  <c r="AE48" i="56"/>
  <c r="AG48" i="56"/>
  <c r="AM48" i="56" s="1"/>
  <c r="AI48" i="56"/>
  <c r="AO48" i="56" s="1"/>
  <c r="AF48" i="56"/>
  <c r="AD48" i="56"/>
  <c r="AI133" i="54"/>
  <c r="AO133" i="54" s="1"/>
  <c r="AG133" i="54"/>
  <c r="AM133" i="54" s="1"/>
  <c r="AH133" i="54"/>
  <c r="AN133" i="54" s="1"/>
  <c r="AF133" i="54"/>
  <c r="AE133" i="54"/>
  <c r="AD133" i="54"/>
  <c r="AI82" i="55"/>
  <c r="AO82" i="55" s="1"/>
  <c r="AH82" i="55"/>
  <c r="AN82" i="55" s="1"/>
  <c r="AG82" i="55"/>
  <c r="AM82" i="55" s="1"/>
  <c r="AD82" i="55"/>
  <c r="AF82" i="55"/>
  <c r="AE82" i="55"/>
  <c r="AH52" i="56"/>
  <c r="AN52" i="56" s="1"/>
  <c r="AG52" i="56"/>
  <c r="AM52" i="56" s="1"/>
  <c r="AE52" i="56"/>
  <c r="AI52" i="56"/>
  <c r="AO52" i="56" s="1"/>
  <c r="AF52" i="56"/>
  <c r="AD52" i="56"/>
  <c r="AI60" i="55"/>
  <c r="AH60" i="55"/>
  <c r="AG60" i="55"/>
  <c r="AD60" i="55"/>
  <c r="AD65" i="55" s="1"/>
  <c r="AE60" i="55"/>
  <c r="AE65" i="55" s="1"/>
  <c r="AF60" i="55"/>
  <c r="AF65" i="55" s="1"/>
  <c r="AH74" i="54"/>
  <c r="AN74" i="54" s="1"/>
  <c r="AG74" i="54"/>
  <c r="AI74" i="54"/>
  <c r="AF74" i="54"/>
  <c r="AD74" i="54"/>
  <c r="AE74" i="54"/>
  <c r="AG136" i="54"/>
  <c r="AM136" i="54" s="1"/>
  <c r="AF136" i="54"/>
  <c r="AI136" i="54"/>
  <c r="AO136" i="54" s="1"/>
  <c r="AH136" i="54"/>
  <c r="AN136" i="54" s="1"/>
  <c r="AE136" i="54"/>
  <c r="AH86" i="54"/>
  <c r="AN86" i="54" s="1"/>
  <c r="AI86" i="54"/>
  <c r="AO86" i="54" s="1"/>
  <c r="AG86" i="54"/>
  <c r="AM86" i="54" s="1"/>
  <c r="AF86" i="54"/>
  <c r="AD86" i="54"/>
  <c r="AE86" i="54"/>
  <c r="AI81" i="60"/>
  <c r="AO81" i="60" s="1"/>
  <c r="AG81" i="60"/>
  <c r="AM81" i="60" s="1"/>
  <c r="AH81" i="60"/>
  <c r="AN81" i="60" s="1"/>
  <c r="AF81" i="60"/>
  <c r="AE81" i="60"/>
  <c r="AD81" i="60"/>
  <c r="AH87" i="54"/>
  <c r="AN87" i="54" s="1"/>
  <c r="AI87" i="54"/>
  <c r="AO87" i="54" s="1"/>
  <c r="AG87" i="54"/>
  <c r="AM87" i="54" s="1"/>
  <c r="AD87" i="54"/>
  <c r="AE87" i="54"/>
  <c r="AF87" i="54"/>
  <c r="AH45" i="55"/>
  <c r="AN45" i="55" s="1"/>
  <c r="AG45" i="55"/>
  <c r="AM45" i="55" s="1"/>
  <c r="AI45" i="55"/>
  <c r="AO45" i="55" s="1"/>
  <c r="AF45" i="55"/>
  <c r="AE45" i="55"/>
  <c r="AD45" i="55"/>
  <c r="AF70" i="56"/>
  <c r="AE70" i="56"/>
  <c r="AI70" i="56"/>
  <c r="AD70" i="56"/>
  <c r="AG70" i="56"/>
  <c r="AH70" i="56"/>
  <c r="AG84" i="54"/>
  <c r="AM84" i="54" s="1"/>
  <c r="AH84" i="54"/>
  <c r="AN84" i="54" s="1"/>
  <c r="AI84" i="54"/>
  <c r="AO84" i="54" s="1"/>
  <c r="AE84" i="54"/>
  <c r="AD84" i="54"/>
  <c r="AF84" i="54"/>
  <c r="AH70" i="59"/>
  <c r="AN70" i="59" s="1"/>
  <c r="AI70" i="59"/>
  <c r="AO70" i="59" s="1"/>
  <c r="AG70" i="59"/>
  <c r="AM70" i="59" s="1"/>
  <c r="AF70" i="59"/>
  <c r="AF79" i="59" s="1"/>
  <c r="AG11" i="59" s="1"/>
  <c r="AD70" i="59"/>
  <c r="AD79" i="59" s="1"/>
  <c r="AG10" i="59" s="1"/>
  <c r="AE70" i="59"/>
  <c r="AI82" i="60"/>
  <c r="AO82" i="60" s="1"/>
  <c r="AG82" i="60"/>
  <c r="AM82" i="60" s="1"/>
  <c r="AD82" i="60"/>
  <c r="AH82" i="60"/>
  <c r="AN82" i="60" s="1"/>
  <c r="AE82" i="60"/>
  <c r="AF82" i="60"/>
  <c r="AI83" i="55"/>
  <c r="AO83" i="55" s="1"/>
  <c r="AG83" i="55"/>
  <c r="AM83" i="55" s="1"/>
  <c r="AH83" i="55"/>
  <c r="AN83" i="55" s="1"/>
  <c r="AF83" i="55"/>
  <c r="AD83" i="55"/>
  <c r="AE83" i="55"/>
  <c r="AH51" i="56"/>
  <c r="AN51" i="56" s="1"/>
  <c r="AE51" i="56"/>
  <c r="AF51" i="56"/>
  <c r="AI51" i="56"/>
  <c r="AO51" i="56" s="1"/>
  <c r="AG51" i="56"/>
  <c r="AM51" i="56" s="1"/>
  <c r="AD51" i="56"/>
  <c r="AH83" i="54"/>
  <c r="AN83" i="54" s="1"/>
  <c r="AG83" i="54"/>
  <c r="AM83" i="54" s="1"/>
  <c r="AI83" i="54"/>
  <c r="AO83" i="54" s="1"/>
  <c r="AF83" i="54"/>
  <c r="AE83" i="54"/>
  <c r="AD83" i="54"/>
  <c r="AH172" i="54"/>
  <c r="AN172" i="54" s="1"/>
  <c r="AG172" i="54"/>
  <c r="AM172" i="54" s="1"/>
  <c r="AI172" i="54"/>
  <c r="AO172" i="54" s="1"/>
  <c r="AF172" i="54"/>
  <c r="AD172" i="54"/>
  <c r="AE172" i="54"/>
  <c r="AI71" i="56"/>
  <c r="AO71" i="56" s="1"/>
  <c r="AG71" i="56"/>
  <c r="AM71" i="56" s="1"/>
  <c r="AD71" i="56"/>
  <c r="AH71" i="56"/>
  <c r="AN71" i="56" s="1"/>
  <c r="AF71" i="56"/>
  <c r="AE71" i="56"/>
  <c r="K119" i="8"/>
  <c r="T119" i="8" s="1"/>
  <c r="Q122" i="8"/>
  <c r="C192" i="35"/>
  <c r="J192" i="35" s="1"/>
  <c r="I195" i="35"/>
  <c r="I38" i="8"/>
  <c r="AM70" i="56" l="1"/>
  <c r="AG87" i="56"/>
  <c r="AF87" i="56"/>
  <c r="AF108" i="54"/>
  <c r="AG11" i="54" s="1"/>
  <c r="AH65" i="55"/>
  <c r="AN60" i="55"/>
  <c r="AF64" i="56"/>
  <c r="AG11" i="56" s="1"/>
  <c r="AH64" i="56"/>
  <c r="AN47" i="56"/>
  <c r="AD109" i="58"/>
  <c r="AG10" i="58" s="1"/>
  <c r="AD194" i="54"/>
  <c r="AD195" i="54" s="1"/>
  <c r="AH194" i="54"/>
  <c r="AN163" i="54"/>
  <c r="AF102" i="53"/>
  <c r="AG11" i="53" s="1"/>
  <c r="AE49" i="55"/>
  <c r="AG9" i="55" s="1"/>
  <c r="AH49" i="55"/>
  <c r="AN44" i="55"/>
  <c r="AI151" i="54"/>
  <c r="AO151" i="54" s="1"/>
  <c r="AO119" i="54"/>
  <c r="AF95" i="60"/>
  <c r="AG11" i="60" s="1"/>
  <c r="AD85" i="55"/>
  <c r="AD86" i="55" s="1"/>
  <c r="AI85" i="55"/>
  <c r="AO80" i="55"/>
  <c r="AD87" i="56"/>
  <c r="AD88" i="56" s="1"/>
  <c r="AI108" i="54"/>
  <c r="AO108" i="54" s="1"/>
  <c r="AO74" i="54"/>
  <c r="AI65" i="55"/>
  <c r="AO60" i="55"/>
  <c r="AI64" i="56"/>
  <c r="AO47" i="56"/>
  <c r="AH108" i="54"/>
  <c r="AN93" i="54"/>
  <c r="AE109" i="58"/>
  <c r="AG9" i="58" s="1"/>
  <c r="AE194" i="54"/>
  <c r="AE102" i="53"/>
  <c r="AG9" i="53" s="1"/>
  <c r="AF49" i="55"/>
  <c r="AG11" i="55" s="1"/>
  <c r="AE151" i="54"/>
  <c r="AG151" i="54"/>
  <c r="AM119" i="54"/>
  <c r="AD95" i="60"/>
  <c r="AG10" i="60" s="1"/>
  <c r="AE85" i="55"/>
  <c r="AE62" i="52"/>
  <c r="AO70" i="56"/>
  <c r="AI87" i="56"/>
  <c r="AE108" i="54"/>
  <c r="AG9" i="54" s="1"/>
  <c r="AG108" i="54"/>
  <c r="AM74" i="54"/>
  <c r="AM47" i="56"/>
  <c r="AG64" i="56"/>
  <c r="AF109" i="58"/>
  <c r="AG11" i="58" s="1"/>
  <c r="AI194" i="54"/>
  <c r="AO194" i="54" s="1"/>
  <c r="AO163" i="54"/>
  <c r="AD102" i="53"/>
  <c r="AI49" i="55"/>
  <c r="AO44" i="55"/>
  <c r="AF151" i="54"/>
  <c r="AH151" i="54"/>
  <c r="AN119" i="54"/>
  <c r="AE95" i="60"/>
  <c r="AG9" i="60" s="1"/>
  <c r="AG85" i="55"/>
  <c r="AM80" i="55"/>
  <c r="AF62" i="52"/>
  <c r="AH87" i="56"/>
  <c r="AN70" i="56"/>
  <c r="AE87" i="56"/>
  <c r="AD108" i="54"/>
  <c r="AG10" i="54" s="1"/>
  <c r="AG65" i="55"/>
  <c r="AM60" i="55"/>
  <c r="AD64" i="56"/>
  <c r="AG10" i="56" s="1"/>
  <c r="AE64" i="56"/>
  <c r="AG9" i="56" s="1"/>
  <c r="AF194" i="54"/>
  <c r="AG194" i="54"/>
  <c r="AM163" i="54"/>
  <c r="AD49" i="55"/>
  <c r="AG10" i="55" s="1"/>
  <c r="AG49" i="55"/>
  <c r="AM44" i="55"/>
  <c r="AD151" i="54"/>
  <c r="AF85" i="55"/>
  <c r="AH85" i="55"/>
  <c r="AN80" i="55"/>
  <c r="AD62" i="52"/>
  <c r="B9" i="12"/>
  <c r="AG10" i="53" l="1"/>
  <c r="AD103" i="53"/>
  <c r="C14" i="18"/>
  <c r="C12" i="18"/>
  <c r="C11" i="18"/>
  <c r="C10" i="18"/>
  <c r="C9" i="18"/>
  <c r="C8" i="18"/>
  <c r="C7" i="18"/>
  <c r="C5" i="18"/>
  <c r="C28" i="14"/>
  <c r="C29" i="14"/>
  <c r="C30" i="14"/>
  <c r="AB75" i="14" l="1"/>
  <c r="AC75" i="14"/>
  <c r="AC79" i="14"/>
  <c r="AC78" i="14"/>
  <c r="AC77" i="14"/>
  <c r="AB79" i="14"/>
  <c r="AB77" i="14"/>
  <c r="AB76" i="14"/>
  <c r="AB78" i="14"/>
  <c r="AC76" i="14"/>
  <c r="AC72" i="14"/>
  <c r="AB72" i="14"/>
  <c r="AB73" i="14"/>
  <c r="AB74" i="14"/>
  <c r="AB71" i="14"/>
  <c r="AC73" i="14"/>
  <c r="AC74" i="14"/>
  <c r="AC71" i="14"/>
  <c r="D33" i="14"/>
  <c r="C33" i="14" s="1"/>
  <c r="D32" i="14"/>
  <c r="C32" i="14" s="1"/>
  <c r="D31" i="14"/>
  <c r="C31" i="14" s="1"/>
  <c r="D27" i="14"/>
  <c r="C27" i="14" s="1"/>
  <c r="D26" i="14"/>
  <c r="C26" i="14" s="1"/>
  <c r="AB69" i="14" s="1"/>
  <c r="D25" i="14"/>
  <c r="C25" i="14" s="1"/>
  <c r="D24" i="14"/>
  <c r="C24" i="14" s="1"/>
  <c r="D23" i="14"/>
  <c r="C23" i="14" s="1"/>
  <c r="D22" i="14"/>
  <c r="C22" i="14" s="1"/>
  <c r="D21" i="14"/>
  <c r="C21" i="14" s="1"/>
  <c r="D20" i="14"/>
  <c r="C20" i="14" s="1"/>
  <c r="D19" i="14"/>
  <c r="C19" i="14" s="1"/>
  <c r="C14" i="12"/>
  <c r="C15" i="12"/>
  <c r="C16" i="12"/>
  <c r="C17" i="12"/>
  <c r="C18" i="12"/>
  <c r="C19" i="12"/>
  <c r="C20" i="12"/>
  <c r="C21" i="12"/>
  <c r="AB50" i="14" l="1"/>
  <c r="AC54" i="14"/>
  <c r="AB52" i="14"/>
  <c r="AB53" i="14"/>
  <c r="AC52" i="14"/>
  <c r="AC50" i="14"/>
  <c r="AC51" i="14"/>
  <c r="AB51" i="14"/>
  <c r="AB54" i="14"/>
  <c r="AC53" i="14"/>
  <c r="AC49" i="14"/>
  <c r="AB49" i="14"/>
  <c r="AB62" i="14"/>
  <c r="AC62" i="14"/>
  <c r="AC70" i="14"/>
  <c r="AB70" i="14"/>
  <c r="AB61" i="14"/>
  <c r="AC61" i="14"/>
  <c r="AC56" i="14"/>
  <c r="AC57" i="14"/>
  <c r="AB60" i="14"/>
  <c r="AB59" i="14"/>
  <c r="AC59" i="14"/>
  <c r="AC58" i="14"/>
  <c r="AC60" i="14"/>
  <c r="AB57" i="14"/>
  <c r="AB56" i="14"/>
  <c r="AB58" i="14"/>
  <c r="AC67" i="14"/>
  <c r="AC69" i="14"/>
  <c r="AB68" i="14"/>
  <c r="AB67" i="14"/>
  <c r="AG67" i="14" s="1"/>
  <c r="AC68" i="14"/>
  <c r="AC81" i="14"/>
  <c r="AB84" i="14"/>
  <c r="AC86" i="14"/>
  <c r="AB83" i="14"/>
  <c r="AC85" i="14"/>
  <c r="AC83" i="14"/>
  <c r="AC82" i="14"/>
  <c r="AC84" i="14"/>
  <c r="AB81" i="14"/>
  <c r="AB86" i="14"/>
  <c r="AB85" i="14"/>
  <c r="AB82" i="14"/>
  <c r="AC55" i="14"/>
  <c r="AB55" i="14"/>
  <c r="AB65" i="14"/>
  <c r="AB66" i="14"/>
  <c r="AC66" i="14"/>
  <c r="AC65" i="14"/>
  <c r="AC63" i="14"/>
  <c r="AB63" i="14"/>
  <c r="AB64" i="14"/>
  <c r="AC64" i="14"/>
  <c r="AC80" i="14"/>
  <c r="AB80" i="14"/>
  <c r="AF53" i="18"/>
  <c r="AG53" i="18"/>
  <c r="AH53" i="18"/>
  <c r="AI53" i="18"/>
  <c r="AD53" i="18"/>
  <c r="AE58" i="18"/>
  <c r="AL58" i="18"/>
  <c r="AK58" i="18"/>
  <c r="AJ58" i="18"/>
  <c r="AH56" i="18"/>
  <c r="AG56" i="18"/>
  <c r="AI56" i="18"/>
  <c r="AE56" i="18"/>
  <c r="AF56" i="18"/>
  <c r="AD56" i="18"/>
  <c r="AE53" i="18"/>
  <c r="AL53" i="18"/>
  <c r="AK53" i="18"/>
  <c r="AJ53" i="18"/>
  <c r="AL57" i="18"/>
  <c r="AK57" i="18"/>
  <c r="AJ57" i="18"/>
  <c r="AF58" i="18"/>
  <c r="AH58" i="18"/>
  <c r="AI58" i="18"/>
  <c r="AD58" i="18"/>
  <c r="AG58" i="18"/>
  <c r="AL54" i="18"/>
  <c r="AJ54" i="18"/>
  <c r="AK54" i="18"/>
  <c r="AH57" i="18"/>
  <c r="AG57" i="18"/>
  <c r="AE57" i="18"/>
  <c r="AI57" i="18"/>
  <c r="AD57" i="18"/>
  <c r="AF57" i="18"/>
  <c r="AG55" i="18"/>
  <c r="AD55" i="18"/>
  <c r="AI55" i="18"/>
  <c r="AE55" i="18"/>
  <c r="AF55" i="18"/>
  <c r="AH55" i="18"/>
  <c r="AJ55" i="18"/>
  <c r="AL55" i="18"/>
  <c r="AK55" i="18"/>
  <c r="AF54" i="18"/>
  <c r="AH54" i="18"/>
  <c r="AI54" i="18"/>
  <c r="AD54" i="18"/>
  <c r="AE54" i="18"/>
  <c r="AG54" i="18"/>
  <c r="AL56" i="18"/>
  <c r="AJ56" i="18"/>
  <c r="AK56" i="18"/>
  <c r="AN56" i="18" s="1"/>
  <c r="AH67" i="14"/>
  <c r="AI67" i="14"/>
  <c r="AK113" i="14"/>
  <c r="AJ113" i="14"/>
  <c r="AL113" i="14"/>
  <c r="AH113" i="14"/>
  <c r="AG113" i="14"/>
  <c r="AD113" i="14"/>
  <c r="AI113" i="14"/>
  <c r="AF113" i="14"/>
  <c r="AE113" i="14"/>
  <c r="AF111" i="14"/>
  <c r="AD111" i="14"/>
  <c r="AG111" i="14"/>
  <c r="AH111" i="14"/>
  <c r="AI111" i="14"/>
  <c r="AE111" i="14"/>
  <c r="AJ111" i="14"/>
  <c r="AL111" i="14"/>
  <c r="AK111" i="14"/>
  <c r="AI110" i="14"/>
  <c r="AG110" i="14"/>
  <c r="AF110" i="14"/>
  <c r="AD110" i="14"/>
  <c r="AH110" i="14"/>
  <c r="AE110" i="14"/>
  <c r="AL110" i="14"/>
  <c r="AJ110" i="14"/>
  <c r="AK110" i="14"/>
  <c r="AK112" i="14"/>
  <c r="AL112" i="14"/>
  <c r="AJ112" i="14"/>
  <c r="AF112" i="14"/>
  <c r="AI112" i="14"/>
  <c r="AG112" i="14"/>
  <c r="AH112" i="14"/>
  <c r="AD112" i="14"/>
  <c r="AE112" i="14"/>
  <c r="AK74" i="14"/>
  <c r="AL74" i="14"/>
  <c r="AJ74" i="14"/>
  <c r="AK77" i="14"/>
  <c r="AL77" i="14"/>
  <c r="AJ77" i="14"/>
  <c r="AI77" i="14"/>
  <c r="AH77" i="14"/>
  <c r="AG77" i="14"/>
  <c r="AD77" i="14"/>
  <c r="AE77" i="14"/>
  <c r="AF77" i="14"/>
  <c r="AI69" i="14"/>
  <c r="AG69" i="14"/>
  <c r="AH69" i="14"/>
  <c r="AL73" i="14"/>
  <c r="AJ73" i="14"/>
  <c r="AK73" i="14"/>
  <c r="AK72" i="14"/>
  <c r="AL72" i="14"/>
  <c r="AJ72" i="14"/>
  <c r="AG72" i="14"/>
  <c r="AD72" i="14"/>
  <c r="AI72" i="14"/>
  <c r="AO72" i="14" s="1"/>
  <c r="AE72" i="14"/>
  <c r="AF72" i="14"/>
  <c r="AH72" i="14"/>
  <c r="AN72" i="14" s="1"/>
  <c r="AG76" i="14"/>
  <c r="AF76" i="14"/>
  <c r="AE76" i="14"/>
  <c r="AI76" i="14"/>
  <c r="AH76" i="14"/>
  <c r="AD76" i="14"/>
  <c r="AI78" i="14"/>
  <c r="AE78" i="14"/>
  <c r="AD78" i="14"/>
  <c r="AF78" i="14"/>
  <c r="AH78" i="14"/>
  <c r="AG78" i="14"/>
  <c r="AE69" i="14"/>
  <c r="AF71" i="14"/>
  <c r="AD71" i="14"/>
  <c r="AG71" i="14"/>
  <c r="AE71" i="14"/>
  <c r="AI71" i="14"/>
  <c r="AH71" i="14"/>
  <c r="AG74" i="14"/>
  <c r="AD74" i="14"/>
  <c r="AI74" i="14"/>
  <c r="AF74" i="14"/>
  <c r="AH74" i="14"/>
  <c r="AE74" i="14"/>
  <c r="AK76" i="14"/>
  <c r="AJ76" i="14"/>
  <c r="AL76" i="14"/>
  <c r="AK75" i="14"/>
  <c r="AL75" i="14"/>
  <c r="AJ75" i="14"/>
  <c r="AK79" i="14"/>
  <c r="AL79" i="14"/>
  <c r="AJ79" i="14"/>
  <c r="AG75" i="14"/>
  <c r="AH75" i="14"/>
  <c r="AF75" i="14"/>
  <c r="AE75" i="14"/>
  <c r="AI75" i="14"/>
  <c r="AD75" i="14"/>
  <c r="AJ71" i="14"/>
  <c r="AK71" i="14"/>
  <c r="AL71" i="14"/>
  <c r="AD73" i="14"/>
  <c r="AG73" i="14"/>
  <c r="AH73" i="14"/>
  <c r="AF73" i="14"/>
  <c r="AI73" i="14"/>
  <c r="AE73" i="14"/>
  <c r="AH79" i="14"/>
  <c r="AG79" i="14"/>
  <c r="AI79" i="14"/>
  <c r="AF79" i="14"/>
  <c r="AE79" i="14"/>
  <c r="AD79" i="14"/>
  <c r="AL78" i="14"/>
  <c r="AK78" i="14"/>
  <c r="AJ78" i="14"/>
  <c r="AB46" i="12"/>
  <c r="AC46" i="12"/>
  <c r="AB40" i="12"/>
  <c r="AB42" i="12"/>
  <c r="AC41" i="12"/>
  <c r="AB39" i="12"/>
  <c r="AB41" i="12"/>
  <c r="AC40" i="12"/>
  <c r="AC39" i="12"/>
  <c r="AC42" i="12"/>
  <c r="AC47" i="12"/>
  <c r="AC48" i="12"/>
  <c r="AB48" i="12"/>
  <c r="AB47" i="12"/>
  <c r="AB43" i="12"/>
  <c r="AC43" i="12"/>
  <c r="AC44" i="12"/>
  <c r="AB44" i="12"/>
  <c r="AB45" i="12"/>
  <c r="AC45" i="12"/>
  <c r="AB38" i="12"/>
  <c r="AC38" i="12"/>
  <c r="AC33" i="12"/>
  <c r="AB37" i="12"/>
  <c r="AB35" i="12"/>
  <c r="AB36" i="12"/>
  <c r="AB33" i="12"/>
  <c r="AB34" i="12"/>
  <c r="AB32" i="12"/>
  <c r="AC32" i="12"/>
  <c r="AC36" i="12"/>
  <c r="AC37" i="12"/>
  <c r="AC34" i="12"/>
  <c r="AC35" i="12"/>
  <c r="AN79" i="14" l="1"/>
  <c r="AO73" i="14"/>
  <c r="AM73" i="14"/>
  <c r="AM56" i="18"/>
  <c r="AN57" i="18"/>
  <c r="AO53" i="18"/>
  <c r="AM58" i="18"/>
  <c r="AO57" i="18"/>
  <c r="AO55" i="18"/>
  <c r="AM53" i="18"/>
  <c r="AF70" i="18"/>
  <c r="AG11" i="18" s="1"/>
  <c r="AN55" i="18"/>
  <c r="AN54" i="18"/>
  <c r="AM57" i="18"/>
  <c r="AN53" i="18"/>
  <c r="AD70" i="18"/>
  <c r="AG10" i="18" s="1"/>
  <c r="AM54" i="18"/>
  <c r="AM55" i="18"/>
  <c r="AO58" i="18"/>
  <c r="AO54" i="18"/>
  <c r="AE70" i="18"/>
  <c r="AG9" i="18" s="1"/>
  <c r="AO56" i="18"/>
  <c r="AN58" i="18"/>
  <c r="AM113" i="14"/>
  <c r="AO113" i="14"/>
  <c r="AM110" i="14"/>
  <c r="AN112" i="14"/>
  <c r="AN75" i="14"/>
  <c r="AM112" i="14"/>
  <c r="AN111" i="14"/>
  <c r="AO111" i="14"/>
  <c r="AN110" i="14"/>
  <c r="AO110" i="14"/>
  <c r="AN74" i="14"/>
  <c r="AO112" i="14"/>
  <c r="AM111" i="14"/>
  <c r="AN113" i="14"/>
  <c r="AM78" i="14"/>
  <c r="AO74" i="14"/>
  <c r="AM79" i="14"/>
  <c r="AO75" i="14"/>
  <c r="AO79" i="14"/>
  <c r="AM74" i="14"/>
  <c r="AM71" i="14"/>
  <c r="AN78" i="14"/>
  <c r="AO78" i="14"/>
  <c r="AM72" i="14"/>
  <c r="AL65" i="14"/>
  <c r="AK65" i="14"/>
  <c r="AJ65" i="14"/>
  <c r="AH70" i="14"/>
  <c r="AG70" i="14"/>
  <c r="AD70" i="14"/>
  <c r="AI70" i="14"/>
  <c r="AE70" i="14"/>
  <c r="AF70" i="14"/>
  <c r="AJ54" i="14"/>
  <c r="AK54" i="14"/>
  <c r="AL54" i="14"/>
  <c r="AL86" i="14"/>
  <c r="AK86" i="14"/>
  <c r="AJ86" i="14"/>
  <c r="AI56" i="14"/>
  <c r="AE56" i="14"/>
  <c r="AG56" i="14"/>
  <c r="AF56" i="14"/>
  <c r="AH56" i="14"/>
  <c r="AD56" i="14"/>
  <c r="AG59" i="14"/>
  <c r="AI59" i="14"/>
  <c r="AE59" i="14"/>
  <c r="AF59" i="14"/>
  <c r="AD59" i="14"/>
  <c r="AH59" i="14"/>
  <c r="AI63" i="14"/>
  <c r="AG63" i="14"/>
  <c r="AD63" i="14"/>
  <c r="AH63" i="14"/>
  <c r="AF63" i="14"/>
  <c r="AE63" i="14"/>
  <c r="AK68" i="14"/>
  <c r="AL68" i="14"/>
  <c r="AJ68" i="14"/>
  <c r="AK50" i="14"/>
  <c r="AJ50" i="14"/>
  <c r="AL50" i="14"/>
  <c r="AH60" i="14"/>
  <c r="AE60" i="14"/>
  <c r="AF60" i="14"/>
  <c r="AI60" i="14"/>
  <c r="AD60" i="14"/>
  <c r="AG60" i="14"/>
  <c r="AH62" i="14"/>
  <c r="AI62" i="14"/>
  <c r="AE62" i="14"/>
  <c r="AG62" i="14"/>
  <c r="AD62" i="14"/>
  <c r="AF62" i="14"/>
  <c r="AL64" i="14"/>
  <c r="AJ64" i="14"/>
  <c r="AK64" i="14"/>
  <c r="AL63" i="14"/>
  <c r="AJ63" i="14"/>
  <c r="AK63" i="14"/>
  <c r="AL69" i="14"/>
  <c r="AO69" i="14" s="1"/>
  <c r="AJ69" i="14"/>
  <c r="AK69" i="14"/>
  <c r="AN69" i="14" s="1"/>
  <c r="AK61" i="14"/>
  <c r="AJ61" i="14"/>
  <c r="AL61" i="14"/>
  <c r="AL49" i="14"/>
  <c r="AK49" i="14"/>
  <c r="AJ49" i="14"/>
  <c r="AI54" i="14"/>
  <c r="AE54" i="14"/>
  <c r="AF54" i="14"/>
  <c r="AD54" i="14"/>
  <c r="AG54" i="14"/>
  <c r="AH54" i="14"/>
  <c r="AK52" i="14"/>
  <c r="AL52" i="14"/>
  <c r="AJ52" i="14"/>
  <c r="AK80" i="14"/>
  <c r="AJ80" i="14"/>
  <c r="AL80" i="14"/>
  <c r="AK83" i="14"/>
  <c r="AL83" i="14"/>
  <c r="AJ83" i="14"/>
  <c r="AE82" i="14"/>
  <c r="AJ82" i="14"/>
  <c r="AL82" i="14"/>
  <c r="AK82" i="14"/>
  <c r="AI82" i="14"/>
  <c r="AG82" i="14"/>
  <c r="AM82" i="14" s="1"/>
  <c r="AD82" i="14"/>
  <c r="AF82" i="14"/>
  <c r="AH82" i="14"/>
  <c r="AK60" i="14"/>
  <c r="AJ60" i="14"/>
  <c r="AL60" i="14"/>
  <c r="AL57" i="14"/>
  <c r="AK57" i="14"/>
  <c r="AJ57" i="14"/>
  <c r="AO71" i="14"/>
  <c r="AN76" i="14"/>
  <c r="AM76" i="14"/>
  <c r="AF69" i="14"/>
  <c r="AO77" i="14"/>
  <c r="AH64" i="14"/>
  <c r="AI64" i="14"/>
  <c r="AF64" i="14"/>
  <c r="AG64" i="14"/>
  <c r="AE64" i="14"/>
  <c r="AD64" i="14"/>
  <c r="AH68" i="14"/>
  <c r="AI68" i="14"/>
  <c r="AG68" i="14"/>
  <c r="AF68" i="14"/>
  <c r="AD68" i="14"/>
  <c r="AE68" i="14"/>
  <c r="AF53" i="14"/>
  <c r="AI53" i="14"/>
  <c r="AE53" i="14"/>
  <c r="AG53" i="14"/>
  <c r="AH53" i="14"/>
  <c r="AD53" i="14"/>
  <c r="AG49" i="14"/>
  <c r="AI49" i="14"/>
  <c r="AH49" i="14"/>
  <c r="AF49" i="14"/>
  <c r="AE49" i="14"/>
  <c r="AD49" i="14"/>
  <c r="AE55" i="14"/>
  <c r="AL55" i="14"/>
  <c r="AK55" i="14"/>
  <c r="AJ55" i="14"/>
  <c r="AH81" i="14"/>
  <c r="AG81" i="14"/>
  <c r="AF81" i="14"/>
  <c r="AD81" i="14"/>
  <c r="AE81" i="14"/>
  <c r="AI81" i="14"/>
  <c r="AG83" i="14"/>
  <c r="AI83" i="14"/>
  <c r="AH83" i="14"/>
  <c r="AD83" i="14"/>
  <c r="AE83" i="14"/>
  <c r="AF83" i="14"/>
  <c r="AG58" i="14"/>
  <c r="AI58" i="14"/>
  <c r="AH58" i="14"/>
  <c r="AF58" i="14"/>
  <c r="AD58" i="14"/>
  <c r="AE58" i="14"/>
  <c r="AG65" i="14"/>
  <c r="AI65" i="14"/>
  <c r="AE65" i="14"/>
  <c r="AF65" i="14"/>
  <c r="AH65" i="14"/>
  <c r="AD65" i="14"/>
  <c r="AK70" i="14"/>
  <c r="AL70" i="14"/>
  <c r="AJ70" i="14"/>
  <c r="AL51" i="14"/>
  <c r="AK51" i="14"/>
  <c r="AJ51" i="14"/>
  <c r="AL53" i="14"/>
  <c r="AK53" i="14"/>
  <c r="AJ53" i="14"/>
  <c r="AI55" i="14"/>
  <c r="AG55" i="14"/>
  <c r="AF55" i="14"/>
  <c r="AD55" i="14"/>
  <c r="AH55" i="14"/>
  <c r="AG85" i="14"/>
  <c r="AI85" i="14"/>
  <c r="AE85" i="14"/>
  <c r="AD85" i="14"/>
  <c r="AH85" i="14"/>
  <c r="AF85" i="14"/>
  <c r="AE86" i="14"/>
  <c r="AI86" i="14"/>
  <c r="AG86" i="14"/>
  <c r="AD86" i="14"/>
  <c r="AF86" i="14"/>
  <c r="AH86" i="14"/>
  <c r="AK81" i="14"/>
  <c r="AL81" i="14"/>
  <c r="AJ81" i="14"/>
  <c r="AK56" i="14"/>
  <c r="AJ56" i="14"/>
  <c r="AL56" i="14"/>
  <c r="AK58" i="14"/>
  <c r="AJ58" i="14"/>
  <c r="AL58" i="14"/>
  <c r="AK62" i="14"/>
  <c r="AJ62" i="14"/>
  <c r="AL62" i="14"/>
  <c r="AK66" i="14"/>
  <c r="AJ66" i="14"/>
  <c r="AL66" i="14"/>
  <c r="AI66" i="14"/>
  <c r="AG66" i="14"/>
  <c r="AF66" i="14"/>
  <c r="AD66" i="14"/>
  <c r="AH66" i="14"/>
  <c r="AE66" i="14"/>
  <c r="AL67" i="14"/>
  <c r="AO67" i="14" s="1"/>
  <c r="AJ67" i="14"/>
  <c r="AM67" i="14" s="1"/>
  <c r="AK67" i="14"/>
  <c r="AN67" i="14" s="1"/>
  <c r="AF67" i="14"/>
  <c r="AD67" i="14"/>
  <c r="AE67" i="14"/>
  <c r="AG61" i="14"/>
  <c r="AE61" i="14"/>
  <c r="AF61" i="14"/>
  <c r="AH61" i="14"/>
  <c r="AI61" i="14"/>
  <c r="AD61" i="14"/>
  <c r="AI52" i="14"/>
  <c r="AE52" i="14"/>
  <c r="AG52" i="14"/>
  <c r="AH52" i="14"/>
  <c r="AF52" i="14"/>
  <c r="AD52" i="14"/>
  <c r="AE51" i="14"/>
  <c r="AI51" i="14"/>
  <c r="AF51" i="14"/>
  <c r="AG51" i="14"/>
  <c r="AH51" i="14"/>
  <c r="AD51" i="14"/>
  <c r="AI50" i="14"/>
  <c r="AE50" i="14"/>
  <c r="AF50" i="14"/>
  <c r="AH50" i="14"/>
  <c r="AG50" i="14"/>
  <c r="AD50" i="14"/>
  <c r="AI80" i="14"/>
  <c r="AE80" i="14"/>
  <c r="AG80" i="14"/>
  <c r="AH80" i="14"/>
  <c r="AF80" i="14"/>
  <c r="AD80" i="14"/>
  <c r="AK85" i="14"/>
  <c r="AL85" i="14"/>
  <c r="AJ85" i="14"/>
  <c r="AL84" i="14"/>
  <c r="AK84" i="14"/>
  <c r="AJ84" i="14"/>
  <c r="AI84" i="14"/>
  <c r="AE84" i="14"/>
  <c r="AG84" i="14"/>
  <c r="AD84" i="14"/>
  <c r="AH84" i="14"/>
  <c r="AF84" i="14"/>
  <c r="AL59" i="14"/>
  <c r="AK59" i="14"/>
  <c r="AJ59" i="14"/>
  <c r="AG57" i="14"/>
  <c r="AI57" i="14"/>
  <c r="AE57" i="14"/>
  <c r="AF57" i="14"/>
  <c r="AH57" i="14"/>
  <c r="AD57" i="14"/>
  <c r="AO76" i="14"/>
  <c r="AM69" i="14"/>
  <c r="AN73" i="14"/>
  <c r="AM75" i="14"/>
  <c r="AN71" i="14"/>
  <c r="AD69" i="14"/>
  <c r="AN77" i="14"/>
  <c r="AM77" i="14"/>
  <c r="AK35" i="12"/>
  <c r="AL35" i="12"/>
  <c r="AJ35" i="12"/>
  <c r="AL32" i="12"/>
  <c r="AK32" i="12"/>
  <c r="AJ32" i="12"/>
  <c r="AI36" i="12"/>
  <c r="AH36" i="12"/>
  <c r="AG36" i="12"/>
  <c r="AD36" i="12"/>
  <c r="AE36" i="12"/>
  <c r="AF36" i="12"/>
  <c r="AL38" i="12"/>
  <c r="AK38" i="12"/>
  <c r="AJ38" i="12"/>
  <c r="AH44" i="12"/>
  <c r="AI44" i="12"/>
  <c r="AG44" i="12"/>
  <c r="AD44" i="12"/>
  <c r="AF44" i="12"/>
  <c r="AE44" i="12"/>
  <c r="AH47" i="12"/>
  <c r="AG47" i="12"/>
  <c r="AI47" i="12"/>
  <c r="AD47" i="12"/>
  <c r="AF47" i="12"/>
  <c r="AE47" i="12"/>
  <c r="AK42" i="12"/>
  <c r="AJ42" i="12"/>
  <c r="AL42" i="12"/>
  <c r="AI39" i="12"/>
  <c r="AH39" i="12"/>
  <c r="AG39" i="12"/>
  <c r="AF39" i="12"/>
  <c r="AE39" i="12"/>
  <c r="AD39" i="12"/>
  <c r="AJ46" i="12"/>
  <c r="AL46" i="12"/>
  <c r="AK46" i="12"/>
  <c r="AJ36" i="12"/>
  <c r="AL36" i="12"/>
  <c r="AK36" i="12"/>
  <c r="AG33" i="12"/>
  <c r="AI33" i="12"/>
  <c r="AH33" i="12"/>
  <c r="AE33" i="12"/>
  <c r="AF33" i="12"/>
  <c r="AD33" i="12"/>
  <c r="AK33" i="12"/>
  <c r="AJ33" i="12"/>
  <c r="AL33" i="12"/>
  <c r="AG45" i="12"/>
  <c r="AI45" i="12"/>
  <c r="AH45" i="12"/>
  <c r="AE45" i="12"/>
  <c r="AF45" i="12"/>
  <c r="AD45" i="12"/>
  <c r="AH43" i="12"/>
  <c r="AI43" i="12"/>
  <c r="AG43" i="12"/>
  <c r="AF43" i="12"/>
  <c r="AE43" i="12"/>
  <c r="AD43" i="12"/>
  <c r="AL47" i="12"/>
  <c r="AK47" i="12"/>
  <c r="AJ47" i="12"/>
  <c r="AI41" i="12"/>
  <c r="AG41" i="12"/>
  <c r="AH41" i="12"/>
  <c r="AE41" i="12"/>
  <c r="AD41" i="12"/>
  <c r="AF41" i="12"/>
  <c r="AI40" i="12"/>
  <c r="AG40" i="12"/>
  <c r="AH40" i="12"/>
  <c r="AD40" i="12"/>
  <c r="AF40" i="12"/>
  <c r="AE40" i="12"/>
  <c r="AJ37" i="12"/>
  <c r="AL37" i="12"/>
  <c r="AK37" i="12"/>
  <c r="AI34" i="12"/>
  <c r="AH34" i="12"/>
  <c r="AG34" i="12"/>
  <c r="AE34" i="12"/>
  <c r="AD34" i="12"/>
  <c r="AF34" i="12"/>
  <c r="AI37" i="12"/>
  <c r="AO37" i="12" s="1"/>
  <c r="AH37" i="12"/>
  <c r="AN37" i="12" s="1"/>
  <c r="AG37" i="12"/>
  <c r="AD37" i="12"/>
  <c r="AE37" i="12"/>
  <c r="AF37" i="12"/>
  <c r="AL45" i="12"/>
  <c r="AJ45" i="12"/>
  <c r="AK45" i="12"/>
  <c r="AL43" i="12"/>
  <c r="AK43" i="12"/>
  <c r="AJ43" i="12"/>
  <c r="AL48" i="12"/>
  <c r="AK48" i="12"/>
  <c r="AJ48" i="12"/>
  <c r="AL40" i="12"/>
  <c r="AK40" i="12"/>
  <c r="AJ40" i="12"/>
  <c r="AI42" i="12"/>
  <c r="AO42" i="12" s="1"/>
  <c r="AH42" i="12"/>
  <c r="AN42" i="12" s="1"/>
  <c r="AG42" i="12"/>
  <c r="AD42" i="12"/>
  <c r="AF42" i="12"/>
  <c r="AE42" i="12"/>
  <c r="AK34" i="12"/>
  <c r="AJ34" i="12"/>
  <c r="AL34" i="12"/>
  <c r="AI32" i="12"/>
  <c r="AO32" i="12" s="1"/>
  <c r="AH32" i="12"/>
  <c r="AG32" i="12"/>
  <c r="AE32" i="12"/>
  <c r="AF32" i="12"/>
  <c r="AD32" i="12"/>
  <c r="AG35" i="12"/>
  <c r="AI35" i="12"/>
  <c r="AO35" i="12" s="1"/>
  <c r="AH35" i="12"/>
  <c r="AN35" i="12" s="1"/>
  <c r="AE35" i="12"/>
  <c r="AD35" i="12"/>
  <c r="AF35" i="12"/>
  <c r="AH38" i="12"/>
  <c r="AG38" i="12"/>
  <c r="AI38" i="12"/>
  <c r="AO38" i="12" s="1"/>
  <c r="AF38" i="12"/>
  <c r="AE38" i="12"/>
  <c r="AD38" i="12"/>
  <c r="AJ44" i="12"/>
  <c r="AL44" i="12"/>
  <c r="AK44" i="12"/>
  <c r="AI48" i="12"/>
  <c r="AO48" i="12" s="1"/>
  <c r="AH48" i="12"/>
  <c r="AN48" i="12" s="1"/>
  <c r="AG48" i="12"/>
  <c r="AM48" i="12" s="1"/>
  <c r="AF48" i="12"/>
  <c r="AD48" i="12"/>
  <c r="AE48" i="12"/>
  <c r="AL39" i="12"/>
  <c r="AK39" i="12"/>
  <c r="AJ39" i="12"/>
  <c r="AK41" i="12"/>
  <c r="AJ41" i="12"/>
  <c r="AL41" i="12"/>
  <c r="AI46" i="12"/>
  <c r="AH46" i="12"/>
  <c r="AG46" i="12"/>
  <c r="AD46" i="12"/>
  <c r="AF46" i="12"/>
  <c r="AE46" i="12"/>
  <c r="AN34" i="12" l="1"/>
  <c r="AN40" i="12"/>
  <c r="AN51" i="14"/>
  <c r="AO85" i="14"/>
  <c r="AN54" i="14"/>
  <c r="AM50" i="14"/>
  <c r="AM46" i="12"/>
  <c r="AO43" i="12"/>
  <c r="AO36" i="12"/>
  <c r="AN32" i="12"/>
  <c r="AM37" i="12"/>
  <c r="AM40" i="12"/>
  <c r="AN45" i="12"/>
  <c r="AN47" i="12"/>
  <c r="AM42" i="12"/>
  <c r="AM34" i="12"/>
  <c r="AN57" i="14"/>
  <c r="AN66" i="14"/>
  <c r="AM58" i="14"/>
  <c r="AN86" i="14"/>
  <c r="AO65" i="14"/>
  <c r="AO49" i="14"/>
  <c r="AO62" i="14"/>
  <c r="AO60" i="14"/>
  <c r="AO82" i="14"/>
  <c r="AN80" i="14"/>
  <c r="AO52" i="14"/>
  <c r="AN84" i="14"/>
  <c r="AM85" i="14"/>
  <c r="AO80" i="14"/>
  <c r="AM52" i="14"/>
  <c r="AO61" i="14"/>
  <c r="AM65" i="14"/>
  <c r="AN68" i="14"/>
  <c r="AN60" i="14"/>
  <c r="AO63" i="14"/>
  <c r="AO54" i="14"/>
  <c r="AN64" i="14"/>
  <c r="AM84" i="14"/>
  <c r="AN61" i="14"/>
  <c r="AM66" i="14"/>
  <c r="AO56" i="14"/>
  <c r="AO55" i="14"/>
  <c r="AO53" i="14"/>
  <c r="AO84" i="14"/>
  <c r="AO66" i="14"/>
  <c r="AN56" i="14"/>
  <c r="AN70" i="14"/>
  <c r="AO81" i="14"/>
  <c r="AF118" i="14"/>
  <c r="K16" i="14" s="1"/>
  <c r="I37" i="14" s="1"/>
  <c r="AO64" i="14"/>
  <c r="AM81" i="14"/>
  <c r="AN65" i="14"/>
  <c r="AN58" i="14"/>
  <c r="AE118" i="14"/>
  <c r="J16" i="14" s="1"/>
  <c r="AN82" i="14"/>
  <c r="AM61" i="14"/>
  <c r="AM62" i="14"/>
  <c r="AO57" i="14"/>
  <c r="AM80" i="14"/>
  <c r="AO58" i="14"/>
  <c r="AN85" i="14"/>
  <c r="AM55" i="14"/>
  <c r="AM70" i="14"/>
  <c r="AN83" i="14"/>
  <c r="AN81" i="14"/>
  <c r="AN49" i="14"/>
  <c r="AN53" i="14"/>
  <c r="AM68" i="14"/>
  <c r="AM57" i="14"/>
  <c r="AM60" i="14"/>
  <c r="AO83" i="14"/>
  <c r="AO50" i="14"/>
  <c r="AO68" i="14"/>
  <c r="AN63" i="14"/>
  <c r="AN59" i="14"/>
  <c r="AO59" i="14"/>
  <c r="AM86" i="14"/>
  <c r="AO70" i="14"/>
  <c r="AM83" i="14"/>
  <c r="AM49" i="14"/>
  <c r="AM63" i="14"/>
  <c r="AN50" i="14"/>
  <c r="AO51" i="14"/>
  <c r="AN52" i="14"/>
  <c r="AO86" i="14"/>
  <c r="AN55" i="14"/>
  <c r="AM51" i="14"/>
  <c r="AD118" i="14"/>
  <c r="I16" i="14" s="1"/>
  <c r="AM53" i="14"/>
  <c r="AM64" i="14"/>
  <c r="AN62" i="14"/>
  <c r="AM59" i="14"/>
  <c r="AM56" i="14"/>
  <c r="AM54" i="14"/>
  <c r="AM44" i="12"/>
  <c r="AE49" i="12"/>
  <c r="K7" i="12" s="1"/>
  <c r="AF49" i="12"/>
  <c r="M7" i="12" s="1"/>
  <c r="J21" i="12" s="1"/>
  <c r="AD49" i="12"/>
  <c r="J7" i="12" s="1"/>
  <c r="AN43" i="12"/>
  <c r="AN38" i="12"/>
  <c r="AO41" i="12"/>
  <c r="AM33" i="12"/>
  <c r="AO39" i="12"/>
  <c r="AM47" i="12"/>
  <c r="AO46" i="12"/>
  <c r="AM38" i="12"/>
  <c r="AM41" i="12"/>
  <c r="AM43" i="12"/>
  <c r="AM45" i="12"/>
  <c r="AO33" i="12"/>
  <c r="AN39" i="12"/>
  <c r="AO47" i="12"/>
  <c r="AN44" i="12"/>
  <c r="AN36" i="12"/>
  <c r="AN46" i="12"/>
  <c r="AM35" i="12"/>
  <c r="AM32" i="12"/>
  <c r="AO40" i="12"/>
  <c r="AN41" i="12"/>
  <c r="AO45" i="12"/>
  <c r="AN33" i="12"/>
  <c r="AM39" i="12"/>
  <c r="AO44" i="12"/>
  <c r="AM36" i="12"/>
  <c r="AO34" i="12"/>
  <c r="J24" i="12" l="1"/>
  <c r="AB10" i="12"/>
  <c r="AD10" i="12"/>
  <c r="I40" i="14"/>
  <c r="H137" i="14"/>
  <c r="Z11" i="14"/>
  <c r="AB11" i="14"/>
  <c r="N141" i="14" l="1"/>
  <c r="H138" i="14"/>
  <c r="O138"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20" authorId="0" shapeId="0" xr:uid="{00000000-0006-0000-0300-000001000000}">
      <text>
        <r>
          <rPr>
            <sz val="9"/>
            <color rgb="FF000000"/>
            <rFont val="Tahoma"/>
            <family val="2"/>
          </rPr>
          <t xml:space="preserve">Only volatile substances give air emissions in the Bat and average cases. In the worst case, particles can be carried indoor by mist and steam.
</t>
        </r>
      </text>
    </comment>
    <comment ref="K20" authorId="0" shapeId="0" xr:uid="{00000000-0006-0000-0300-000002000000}">
      <text>
        <r>
          <rPr>
            <sz val="9"/>
            <color rgb="FF000000"/>
            <rFont val="Tahoma"/>
            <family val="2"/>
          </rPr>
          <t xml:space="preserve">For average, 0.1% of a volatile substance is assumed to be emitted to air.
For average, 10% is assumed broken down to monomer and emitted to air.
</t>
        </r>
      </text>
    </comment>
    <comment ref="Q20" authorId="0" shapeId="0" xr:uid="{00000000-0006-0000-03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22" authorId="0" shapeId="0" xr:uid="{00000000-0006-0000-0C00-000001000000}">
      <text>
        <r>
          <rPr>
            <sz val="9"/>
            <color rgb="FF000000"/>
            <rFont val="Tahoma"/>
            <family val="2"/>
          </rPr>
          <t xml:space="preserve">Only volatile substances give air emissions in the Bat and average cases. In the worst case, particles can be carried indoor by mist and steam.
</t>
        </r>
      </text>
    </comment>
    <comment ref="K22" authorId="0" shapeId="0" xr:uid="{00000000-0006-0000-0C00-000002000000}">
      <text>
        <r>
          <rPr>
            <sz val="9"/>
            <color rgb="FF000000"/>
            <rFont val="Tahoma"/>
            <family val="2"/>
          </rPr>
          <t xml:space="preserve">For average, 0.1% of a volatile substance is assumed to be emitted to air.
For average, 10% is assumed broken down to monomer and emitted to air.
</t>
        </r>
      </text>
    </comment>
    <comment ref="Q22" authorId="0" shapeId="0" xr:uid="{00000000-0006-0000-0C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22" authorId="0" shapeId="0" xr:uid="{00000000-0006-0000-0D00-000001000000}">
      <text>
        <r>
          <rPr>
            <sz val="9"/>
            <color rgb="FF000000"/>
            <rFont val="Tahoma"/>
            <family val="2"/>
          </rPr>
          <t xml:space="preserve">Only volatile substances give air emissions in the Bat and average cases. In the worst case, particles can be carried indoor by mist and steam.
</t>
        </r>
      </text>
    </comment>
    <comment ref="K22" authorId="0" shapeId="0" xr:uid="{00000000-0006-0000-0D00-000002000000}">
      <text>
        <r>
          <rPr>
            <sz val="9"/>
            <color rgb="FF000000"/>
            <rFont val="Tahoma"/>
            <family val="2"/>
          </rPr>
          <t xml:space="preserve">For average, 0.1% of a volatile substance is assumed to be emitted to air.
For average, 10% is assumed broken down to monomer and emitted to air.
</t>
        </r>
      </text>
    </comment>
    <comment ref="Q22" authorId="0" shapeId="0" xr:uid="{00000000-0006-0000-0D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49" authorId="0" shapeId="0" xr:uid="{00000000-0006-0000-1100-000001000000}">
      <text>
        <r>
          <rPr>
            <sz val="9"/>
            <color rgb="FF000000"/>
            <rFont val="Tahoma"/>
            <family val="2"/>
          </rPr>
          <t xml:space="preserve">Only volatile substances give air emissions in the Bat and average cases. In the worst case, particles can be carried indoor by mist and steam.
</t>
        </r>
      </text>
    </comment>
    <comment ref="K49" authorId="0" shapeId="0" xr:uid="{00000000-0006-0000-1100-000002000000}">
      <text>
        <r>
          <rPr>
            <sz val="9"/>
            <color rgb="FF000000"/>
            <rFont val="Tahoma"/>
            <family val="2"/>
          </rPr>
          <t xml:space="preserve">For average, 0.1% of a volatile substance is assumed to be emitted to air.
For average, 10% is assumed broken down to monomer and emitted to air.
</t>
        </r>
      </text>
    </comment>
    <comment ref="Q49" authorId="0" shapeId="0" xr:uid="{00000000-0006-0000-11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43" authorId="0" shapeId="0" xr:uid="{00000000-0006-0000-1200-000001000000}">
      <text>
        <r>
          <rPr>
            <sz val="9"/>
            <color rgb="FF000000"/>
            <rFont val="Tahoma"/>
            <family val="2"/>
          </rPr>
          <t xml:space="preserve">Only volatile substances give air emissions in the Bat and average cases. In the worst case, particles can be carried indoor by mist and steam.
</t>
        </r>
      </text>
    </comment>
    <comment ref="K43" authorId="0" shapeId="0" xr:uid="{00000000-0006-0000-1200-000002000000}">
      <text>
        <r>
          <rPr>
            <sz val="9"/>
            <color rgb="FF000000"/>
            <rFont val="Tahoma"/>
            <family val="2"/>
          </rPr>
          <t xml:space="preserve">For average, 0.1% of a volatile substance is assumed to be emitted to air.
For average, 10% is assumed broken down to monomer and emitted to air.
</t>
        </r>
      </text>
    </comment>
    <comment ref="Q43" authorId="0" shapeId="0" xr:uid="{00000000-0006-0000-12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64" authorId="0" shapeId="0" xr:uid="{00000000-0006-0000-1300-000001000000}">
      <text>
        <r>
          <rPr>
            <sz val="9"/>
            <color rgb="FF000000"/>
            <rFont val="Tahoma"/>
            <family val="2"/>
          </rPr>
          <t xml:space="preserve">Only volatile substances give air emissions in the Bat and average cases. In the worst case, particles can be carried indoor by mist and steam.
</t>
        </r>
      </text>
    </comment>
    <comment ref="K64" authorId="0" shapeId="0" xr:uid="{00000000-0006-0000-1300-000002000000}">
      <text>
        <r>
          <rPr>
            <sz val="9"/>
            <color rgb="FF000000"/>
            <rFont val="Tahoma"/>
            <family val="2"/>
          </rPr>
          <t xml:space="preserve">For average, 0.1% of a volatile substance is assumed to be emitted to air.
For average, 10% is assumed broken down to monomer and emitted to air.
</t>
        </r>
      </text>
    </comment>
    <comment ref="Q64" authorId="0" shapeId="0" xr:uid="{00000000-0006-0000-13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67" authorId="0" shapeId="0" xr:uid="{00000000-0006-0000-1400-000001000000}">
      <text>
        <r>
          <rPr>
            <sz val="9"/>
            <color rgb="FF000000"/>
            <rFont val="Tahoma"/>
            <family val="2"/>
          </rPr>
          <t xml:space="preserve">Only volatile substances give air emissions in the Bat and average cases. In the worst case, particles can be carried indoor by mist and steam.
</t>
        </r>
      </text>
    </comment>
    <comment ref="K67" authorId="0" shapeId="0" xr:uid="{00000000-0006-0000-1400-000002000000}">
      <text>
        <r>
          <rPr>
            <sz val="9"/>
            <color rgb="FF000000"/>
            <rFont val="Tahoma"/>
            <family val="2"/>
          </rPr>
          <t xml:space="preserve">For average, 0.1% of a volatile substance is assumed to be emitted to air.
For average, 10% is assumed broken down to monomer and emitted to air.
</t>
        </r>
      </text>
    </comment>
    <comment ref="Q67" authorId="0" shapeId="0" xr:uid="{00000000-0006-0000-14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 ref="G112" authorId="0" shapeId="0" xr:uid="{00000000-0006-0000-1400-000004000000}">
      <text>
        <r>
          <rPr>
            <sz val="9"/>
            <color rgb="FF000000"/>
            <rFont val="Tahoma"/>
            <family val="2"/>
          </rPr>
          <t xml:space="preserve">Only volatile substances give air emissions in the Bat and average cases. In the worst case, particles can be carried indoor by mist and steam.
</t>
        </r>
      </text>
    </comment>
    <comment ref="K112" authorId="0" shapeId="0" xr:uid="{00000000-0006-0000-1400-000005000000}">
      <text>
        <r>
          <rPr>
            <sz val="9"/>
            <color rgb="FF000000"/>
            <rFont val="Tahoma"/>
            <family val="2"/>
          </rPr>
          <t xml:space="preserve">For average, 0.1% of a volatile substance is assumed to be emitted to air.
For average, 10% is assumed broken down to monomer and emitted to air.
</t>
        </r>
      </text>
    </comment>
    <comment ref="Q112" authorId="0" shapeId="0" xr:uid="{00000000-0006-0000-1400-000006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 ref="G156" authorId="0" shapeId="0" xr:uid="{00000000-0006-0000-1400-000007000000}">
      <text>
        <r>
          <rPr>
            <sz val="9"/>
            <color rgb="FF000000"/>
            <rFont val="Tahoma"/>
            <family val="2"/>
          </rPr>
          <t xml:space="preserve">Only volatile substances give air emissions in the Bat and average cases. In the worst case, particles can be carried indoor by mist and steam.
</t>
        </r>
      </text>
    </comment>
    <comment ref="K156" authorId="0" shapeId="0" xr:uid="{00000000-0006-0000-1400-000008000000}">
      <text>
        <r>
          <rPr>
            <sz val="9"/>
            <color rgb="FF000000"/>
            <rFont val="Tahoma"/>
            <family val="2"/>
          </rPr>
          <t xml:space="preserve">For average, 0.1% of a volatile substance is assumed to be emitted to air.
For average, 10% is assumed broken down to monomer and emitted to air.
</t>
        </r>
      </text>
    </comment>
    <comment ref="Q156" authorId="0" shapeId="0" xr:uid="{00000000-0006-0000-1400-000009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34" authorId="0" shapeId="0" xr:uid="{00000000-0006-0000-1500-000001000000}">
      <text>
        <r>
          <rPr>
            <sz val="9"/>
            <color rgb="FF000000"/>
            <rFont val="Tahoma"/>
            <family val="2"/>
          </rPr>
          <t xml:space="preserve">Only volatile substances give air emissions in the Bat and average cases. In the worst case, particles can be carried indoor by mist and steam.
</t>
        </r>
      </text>
    </comment>
    <comment ref="K34" authorId="0" shapeId="0" xr:uid="{00000000-0006-0000-1500-000002000000}">
      <text>
        <r>
          <rPr>
            <sz val="9"/>
            <color rgb="FF000000"/>
            <rFont val="Tahoma"/>
            <family val="2"/>
          </rPr>
          <t xml:space="preserve">For average, 0.1% of a volatile substance is assumed to be emitted to air.
For average, 10% is assumed broken down to monomer and emitted to air.
</t>
        </r>
      </text>
    </comment>
    <comment ref="Q34" authorId="0" shapeId="0" xr:uid="{00000000-0006-0000-15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 ref="G52" authorId="0" shapeId="0" xr:uid="{00000000-0006-0000-1500-000004000000}">
      <text>
        <r>
          <rPr>
            <sz val="9"/>
            <color rgb="FF000000"/>
            <rFont val="Tahoma"/>
            <family val="2"/>
          </rPr>
          <t xml:space="preserve">Only volatile substances give air emissions in the Bat and average cases. In the worst case, particles can be carried indoor by mist and steam.
</t>
        </r>
      </text>
    </comment>
    <comment ref="K52" authorId="0" shapeId="0" xr:uid="{00000000-0006-0000-1500-000005000000}">
      <text>
        <r>
          <rPr>
            <sz val="9"/>
            <color rgb="FF000000"/>
            <rFont val="Tahoma"/>
            <family val="2"/>
          </rPr>
          <t xml:space="preserve">For average, 0.1% of a volatile substance is assumed to be emitted to air.
For average, 10% is assumed broken down to monomer and emitted to air.
</t>
        </r>
      </text>
    </comment>
    <comment ref="Q52" authorId="0" shapeId="0" xr:uid="{00000000-0006-0000-1500-000006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 ref="G70" authorId="0" shapeId="0" xr:uid="{00000000-0006-0000-1500-000007000000}">
      <text>
        <r>
          <rPr>
            <sz val="9"/>
            <color rgb="FF000000"/>
            <rFont val="Tahoma"/>
            <family val="2"/>
          </rPr>
          <t xml:space="preserve">Only volatile substances give air emissions in the Bat and average cases. In the worst case, particles can be carried indoor by mist and steam.
</t>
        </r>
      </text>
    </comment>
    <comment ref="K70" authorId="0" shapeId="0" xr:uid="{00000000-0006-0000-1500-000008000000}">
      <text>
        <r>
          <rPr>
            <sz val="9"/>
            <color rgb="FF000000"/>
            <rFont val="Tahoma"/>
            <family val="2"/>
          </rPr>
          <t xml:space="preserve">For average, 0.1% of a volatile substance is assumed to be emitted to air.
For average, 10% is assumed broken down to monomer and emitted to air.
</t>
        </r>
      </text>
    </comment>
    <comment ref="Q70" authorId="0" shapeId="0" xr:uid="{00000000-0006-0000-1500-000009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46" authorId="0" shapeId="0" xr:uid="{00000000-0006-0000-1600-000001000000}">
      <text>
        <r>
          <rPr>
            <sz val="9"/>
            <color rgb="FF000000"/>
            <rFont val="Tahoma"/>
            <family val="2"/>
          </rPr>
          <t xml:space="preserve">Only volatile substances give air emissions in the Bat and average cases. In the worst case, particles can be carried indoor by mist and steam.
</t>
        </r>
      </text>
    </comment>
    <comment ref="K46" authorId="0" shapeId="0" xr:uid="{00000000-0006-0000-1600-000002000000}">
      <text>
        <r>
          <rPr>
            <sz val="9"/>
            <color rgb="FF000000"/>
            <rFont val="Tahoma"/>
            <family val="2"/>
          </rPr>
          <t xml:space="preserve">For average, 0.1% of a volatile substance is assumed to be emitted to air.
For average, 10% is assumed broken down to monomer and emitted to air.
</t>
        </r>
      </text>
    </comment>
    <comment ref="Q46" authorId="0" shapeId="0" xr:uid="{00000000-0006-0000-16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 ref="G69" authorId="0" shapeId="0" xr:uid="{00000000-0006-0000-1600-000004000000}">
      <text>
        <r>
          <rPr>
            <sz val="9"/>
            <color rgb="FF000000"/>
            <rFont val="Tahoma"/>
            <family val="2"/>
          </rPr>
          <t xml:space="preserve">Only volatile substances give air emissions in the Bat and average cases. In the worst case, particles can be carried indoor by mist and steam.
</t>
        </r>
      </text>
    </comment>
    <comment ref="K69" authorId="0" shapeId="0" xr:uid="{00000000-0006-0000-1600-000005000000}">
      <text>
        <r>
          <rPr>
            <sz val="9"/>
            <color rgb="FF000000"/>
            <rFont val="Tahoma"/>
            <family val="2"/>
          </rPr>
          <t xml:space="preserve">For average, 0.1% of a volatile substance is assumed to be emitted to air.
For average, 10% is assumed broken down to monomer and emitted to air.
</t>
        </r>
      </text>
    </comment>
    <comment ref="Q69" authorId="0" shapeId="0" xr:uid="{00000000-0006-0000-1600-000006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58" authorId="0" shapeId="0" xr:uid="{00000000-0006-0000-1700-000001000000}">
      <text>
        <r>
          <rPr>
            <sz val="9"/>
            <color rgb="FF000000"/>
            <rFont val="Tahoma"/>
            <family val="2"/>
          </rPr>
          <t xml:space="preserve">Only volatile substances give air emissions in the Bat and average cases. In the worst case, particles can be carried indoor by mist and steam.
</t>
        </r>
      </text>
    </comment>
    <comment ref="K58" authorId="0" shapeId="0" xr:uid="{00000000-0006-0000-1700-000002000000}">
      <text>
        <r>
          <rPr>
            <sz val="9"/>
            <color rgb="FF000000"/>
            <rFont val="Tahoma"/>
            <family val="2"/>
          </rPr>
          <t xml:space="preserve">For average, 0.1% of a volatile substance is assumed to be emitted to air.
For average, 10% is assumed broken down to monomer and emitted to air.
</t>
        </r>
      </text>
    </comment>
    <comment ref="Q58" authorId="0" shapeId="0" xr:uid="{00000000-0006-0000-17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70" authorId="0" shapeId="0" xr:uid="{00000000-0006-0000-1800-000001000000}">
      <text>
        <r>
          <rPr>
            <sz val="9"/>
            <color rgb="FF000000"/>
            <rFont val="Tahoma"/>
            <family val="2"/>
          </rPr>
          <t xml:space="preserve">Only volatile substances give air emissions in the Bat and average cases. In the worst case, particles can be carried indoor by mist and steam.
</t>
        </r>
      </text>
    </comment>
    <comment ref="K70" authorId="0" shapeId="0" xr:uid="{00000000-0006-0000-1800-000002000000}">
      <text>
        <r>
          <rPr>
            <sz val="9"/>
            <color rgb="FF000000"/>
            <rFont val="Tahoma"/>
            <family val="2"/>
          </rPr>
          <t xml:space="preserve">For average, 0.1% of a volatile substance is assumed to be emitted to air.
For average, 10% is assumed broken down to monomer and emitted to air.
</t>
        </r>
      </text>
    </comment>
    <comment ref="Q70" authorId="0" shapeId="0" xr:uid="{00000000-0006-0000-18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19" authorId="0" shapeId="0" xr:uid="{00000000-0006-0000-0400-000001000000}">
      <text>
        <r>
          <rPr>
            <sz val="9"/>
            <color rgb="FF000000"/>
            <rFont val="Tahoma"/>
            <family val="2"/>
          </rPr>
          <t xml:space="preserve">Only volatile substances give air emissions in the Bat and average cases. In the worst case, particles can be carried indoor by mist and steam.
</t>
        </r>
      </text>
    </comment>
    <comment ref="K19" authorId="0" shapeId="0" xr:uid="{00000000-0006-0000-0400-000002000000}">
      <text>
        <r>
          <rPr>
            <sz val="9"/>
            <color rgb="FF000000"/>
            <rFont val="Tahoma"/>
            <family val="2"/>
          </rPr>
          <t xml:space="preserve">For average, 0.1% of a volatile substance is assumed to be emitted to air.
For average, 10% is assumed broken down to monomer and emitted to air.
</t>
        </r>
      </text>
    </comment>
    <comment ref="Q19" authorId="0" shapeId="0" xr:uid="{00000000-0006-0000-04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52" authorId="0" shapeId="0" xr:uid="{00000000-0006-0000-1900-000001000000}">
      <text>
        <r>
          <rPr>
            <sz val="9"/>
            <color rgb="FF000000"/>
            <rFont val="Tahoma"/>
            <family val="2"/>
          </rPr>
          <t xml:space="preserve">Only volatile substances give air emissions in the Bat and average cases. In the worst case, particles can be carried indoor by mist and steam.
</t>
        </r>
      </text>
    </comment>
    <comment ref="K52" authorId="0" shapeId="0" xr:uid="{00000000-0006-0000-1900-000002000000}">
      <text>
        <r>
          <rPr>
            <sz val="9"/>
            <color rgb="FF000000"/>
            <rFont val="Tahoma"/>
            <family val="2"/>
          </rPr>
          <t xml:space="preserve">For average, 0.1% of a volatile substance is assumed to be emitted to air.
For average, 10% is assumed broken down to monomer and emitted to air.
</t>
        </r>
      </text>
    </comment>
    <comment ref="Q52" authorId="0" shapeId="0" xr:uid="{00000000-0006-0000-19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61" authorId="0" shapeId="0" xr:uid="{00000000-0006-0000-1A00-000001000000}">
      <text>
        <r>
          <rPr>
            <sz val="9"/>
            <color rgb="FF000000"/>
            <rFont val="Tahoma"/>
            <family val="2"/>
          </rPr>
          <t xml:space="preserve">Only volatile substances give air emissions in the Bat and average cases. In the worst case, particles can be carried indoor by mist and steam.
</t>
        </r>
      </text>
    </comment>
    <comment ref="K61" authorId="0" shapeId="0" xr:uid="{00000000-0006-0000-1A00-000002000000}">
      <text>
        <r>
          <rPr>
            <sz val="9"/>
            <color rgb="FF000000"/>
            <rFont val="Tahoma"/>
            <family val="2"/>
          </rPr>
          <t xml:space="preserve">For average, 0.1% of a volatile substance is assumed to be emitted to air.
For average, 10% is assumed broken down to monomer and emitted to air.
</t>
        </r>
      </text>
    </comment>
    <comment ref="Q61" authorId="0" shapeId="0" xr:uid="{00000000-0006-0000-1A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28" authorId="0" shapeId="0" xr:uid="{00000000-0006-0000-2000-000001000000}">
      <text>
        <r>
          <rPr>
            <sz val="9"/>
            <color rgb="FF000000"/>
            <rFont val="Tahoma"/>
            <family val="2"/>
          </rPr>
          <t xml:space="preserve">Only volatile substances give air emissions in the Bat and average cases. In the worst case, particles can be carried indoor by mist and steam.
</t>
        </r>
      </text>
    </comment>
    <comment ref="K28" authorId="0" shapeId="0" xr:uid="{00000000-0006-0000-2000-000002000000}">
      <text>
        <r>
          <rPr>
            <sz val="9"/>
            <color rgb="FF000000"/>
            <rFont val="Tahoma"/>
            <family val="2"/>
          </rPr>
          <t xml:space="preserve">For average, 0.1% of a volatile substance is assumed to be emitted to air.
For average, 10% is assumed broken down to monomer and emitted to air.
</t>
        </r>
      </text>
    </comment>
    <comment ref="Q28" authorId="0" shapeId="0" xr:uid="{00000000-0006-0000-20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43" authorId="0" shapeId="0" xr:uid="{00000000-0006-0000-2100-000001000000}">
      <text>
        <r>
          <rPr>
            <sz val="9"/>
            <color rgb="FF000000"/>
            <rFont val="Tahoma"/>
            <family val="2"/>
          </rPr>
          <t xml:space="preserve">Only volatile substances give air emissions in the Bat and average cases. In the worst case, particles can be carried indoor by mist and steam.
</t>
        </r>
      </text>
    </comment>
    <comment ref="K43" authorId="0" shapeId="0" xr:uid="{00000000-0006-0000-2100-000002000000}">
      <text>
        <r>
          <rPr>
            <sz val="9"/>
            <color rgb="FF000000"/>
            <rFont val="Tahoma"/>
            <family val="2"/>
          </rPr>
          <t xml:space="preserve">For average, 0.1% of a volatile substance is assumed to be emitted to air.
For average, 10% is assumed broken down to monomer and emitted to air.
</t>
        </r>
      </text>
    </comment>
    <comment ref="Q43" authorId="0" shapeId="0" xr:uid="{00000000-0006-0000-21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48" authorId="0" shapeId="0" xr:uid="{00000000-0006-0000-2200-000001000000}">
      <text>
        <r>
          <rPr>
            <sz val="9"/>
            <color rgb="FF000000"/>
            <rFont val="Tahoma"/>
            <family val="2"/>
          </rPr>
          <t xml:space="preserve">Only volatile substances give air emissions in the Bat and average cases. In the worst case, particles can be carried indoor by mist and steam.
</t>
        </r>
      </text>
    </comment>
    <comment ref="K48" authorId="0" shapeId="0" xr:uid="{00000000-0006-0000-2200-000002000000}">
      <text>
        <r>
          <rPr>
            <sz val="9"/>
            <color rgb="FF000000"/>
            <rFont val="Tahoma"/>
            <family val="2"/>
          </rPr>
          <t xml:space="preserve">For average, 0.1% of a volatile substance is assumed to be emitted to air.
For average, 10% is assumed broken down to monomer and emitted to air.
</t>
        </r>
      </text>
    </comment>
    <comment ref="Q48" authorId="0" shapeId="0" xr:uid="{00000000-0006-0000-22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71" authorId="0" shapeId="0" xr:uid="{00000000-0006-0000-2300-000001000000}">
      <text>
        <r>
          <rPr>
            <sz val="9"/>
            <color rgb="FF000000"/>
            <rFont val="Tahoma"/>
            <family val="2"/>
          </rPr>
          <t xml:space="preserve">Only volatile substances give air emissions in the Bat and average cases. In the worst case, particles can be carried indoor by mist and steam.
</t>
        </r>
      </text>
    </comment>
    <comment ref="K71" authorId="0" shapeId="0" xr:uid="{00000000-0006-0000-2300-000002000000}">
      <text>
        <r>
          <rPr>
            <sz val="9"/>
            <color rgb="FF000000"/>
            <rFont val="Tahoma"/>
            <family val="2"/>
          </rPr>
          <t xml:space="preserve">For average, 0.1% of a volatile substance is assumed to be emitted to air.
For average, 10% is assumed broken down to monomer and emitted to air.
</t>
        </r>
      </text>
    </comment>
    <comment ref="Q71" authorId="0" shapeId="0" xr:uid="{00000000-0006-0000-23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34" authorId="0" shapeId="0" xr:uid="{00000000-0006-0000-2400-000001000000}">
      <text>
        <r>
          <rPr>
            <sz val="9"/>
            <color rgb="FF000000"/>
            <rFont val="Tahoma"/>
            <family val="2"/>
          </rPr>
          <t xml:space="preserve">Only volatile substances give air emissions in the Bat and average cases. In the worst case, particles can be carried indoor by mist and steam.
</t>
        </r>
      </text>
    </comment>
    <comment ref="K34" authorId="0" shapeId="0" xr:uid="{00000000-0006-0000-2400-000002000000}">
      <text>
        <r>
          <rPr>
            <sz val="9"/>
            <color rgb="FF000000"/>
            <rFont val="Tahoma"/>
            <family val="2"/>
          </rPr>
          <t xml:space="preserve">For average, 0.1% of a volatile substance is assumed to be emitted to air.
For average, 10% is assumed broken down to monomer and emitted to air.
</t>
        </r>
      </text>
    </comment>
    <comment ref="Q34" authorId="0" shapeId="0" xr:uid="{00000000-0006-0000-24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1" authorId="0" shapeId="0" xr:uid="{00000000-0006-0000-2500-000001000000}">
      <text>
        <r>
          <rPr>
            <sz val="9"/>
            <color rgb="FF000000"/>
            <rFont val="Tahoma"/>
            <family val="2"/>
          </rPr>
          <t xml:space="preserve">Only volatile substances give air emissions in the BAT and average cases. In the worst case, particles can be carried indoor by mist and steam.
</t>
        </r>
      </text>
    </comment>
    <comment ref="K1" authorId="0" shapeId="0" xr:uid="{00000000-0006-0000-2500-000002000000}">
      <text>
        <r>
          <rPr>
            <sz val="9"/>
            <color rgb="FF000000"/>
            <rFont val="Tahoma"/>
            <family val="2"/>
          </rPr>
          <t xml:space="preserve">For average scenario, 0.1% of a volatile substance is assumed to be emitted to urban air.
For average scenario, 1% of polymers is assumed broken down to monomer and emitted to urban air.
</t>
        </r>
      </text>
    </comment>
    <comment ref="Q1" authorId="0" shapeId="0" xr:uid="{00000000-0006-0000-2500-000003000000}">
      <text>
        <r>
          <rPr>
            <sz val="9"/>
            <color rgb="FF000000"/>
            <rFont val="Tahoma"/>
            <family val="2"/>
          </rPr>
          <t xml:space="preserve">Average: 90% of all compounds assumed separated in waste water treatment facility.
assumed no salt is reacted
0% of  persistent compounds reacted.
90 % of reactive compounds reacted.
95% of dyestuff/effect chemicals (coating materials etc.) adsorbed.
Dissociating substances handled in LCIA in USEtox 2.0.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23" authorId="0" shapeId="0" xr:uid="{00000000-0006-0000-0500-000001000000}">
      <text>
        <r>
          <rPr>
            <sz val="9"/>
            <color rgb="FF000000"/>
            <rFont val="Tahoma"/>
            <family val="2"/>
          </rPr>
          <t xml:space="preserve">Only volatile substances give air emissions in the Bat and average cases. In the worst case, particles can be carried indoor by mist and steam.
</t>
        </r>
      </text>
    </comment>
    <comment ref="K23" authorId="0" shapeId="0" xr:uid="{00000000-0006-0000-0500-000002000000}">
      <text>
        <r>
          <rPr>
            <sz val="9"/>
            <color rgb="FF000000"/>
            <rFont val="Tahoma"/>
            <family val="2"/>
          </rPr>
          <t xml:space="preserve">For average, 0.1% of a volatile substance is assumed to be emitted to air.
For average, 10% is assumed broken down to monomer and emitted to air.
</t>
        </r>
      </text>
    </comment>
    <comment ref="Q23" authorId="0" shapeId="0" xr:uid="{00000000-0006-0000-05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22" authorId="0" shapeId="0" xr:uid="{00000000-0006-0000-0600-000001000000}">
      <text>
        <r>
          <rPr>
            <sz val="9"/>
            <color rgb="FF000000"/>
            <rFont val="Tahoma"/>
            <family val="2"/>
          </rPr>
          <t xml:space="preserve">Only volatile substances give air emissions in the Bat and average cases. In the worst case, particles can be carried indoor by mist and steam.
</t>
        </r>
      </text>
    </comment>
    <comment ref="K22" authorId="0" shapeId="0" xr:uid="{00000000-0006-0000-0600-000002000000}">
      <text>
        <r>
          <rPr>
            <sz val="9"/>
            <color rgb="FF000000"/>
            <rFont val="Tahoma"/>
            <family val="2"/>
          </rPr>
          <t xml:space="preserve">For average, 0.1% of a volatile substance is assumed to be emitted to air.
For average, 10% is assumed broken down to monomer and emitted to air.
</t>
        </r>
      </text>
    </comment>
    <comment ref="Q22" authorId="0" shapeId="0" xr:uid="{00000000-0006-0000-06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21" authorId="0" shapeId="0" xr:uid="{00000000-0006-0000-0700-000001000000}">
      <text>
        <r>
          <rPr>
            <sz val="9"/>
            <color rgb="FF000000"/>
            <rFont val="Tahoma"/>
            <family val="2"/>
          </rPr>
          <t xml:space="preserve">Only volatile substances give air emissions in the Bat and average cases. In the worst case, particles can be carried indoor by mist and steam.
</t>
        </r>
      </text>
    </comment>
    <comment ref="K21" authorId="0" shapeId="0" xr:uid="{00000000-0006-0000-0700-000002000000}">
      <text>
        <r>
          <rPr>
            <sz val="9"/>
            <color rgb="FF000000"/>
            <rFont val="Tahoma"/>
            <family val="2"/>
          </rPr>
          <t xml:space="preserve">For average, 0.1% of a volatile substance is assumed to be emitted to air.
For average, 10% is assumed broken down to monomer and emitted to air.
</t>
        </r>
      </text>
    </comment>
    <comment ref="Q21" authorId="0" shapeId="0" xr:uid="{00000000-0006-0000-07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21" authorId="0" shapeId="0" xr:uid="{00000000-0006-0000-0800-000001000000}">
      <text>
        <r>
          <rPr>
            <sz val="9"/>
            <color rgb="FF000000"/>
            <rFont val="Tahoma"/>
            <family val="2"/>
          </rPr>
          <t xml:space="preserve">Only volatile substances give air emissions in the Bat and average cases. In the worst case, particles can be carried indoor by mist and steam.
</t>
        </r>
      </text>
    </comment>
    <comment ref="K21" authorId="0" shapeId="0" xr:uid="{00000000-0006-0000-0800-000002000000}">
      <text>
        <r>
          <rPr>
            <sz val="9"/>
            <color rgb="FF000000"/>
            <rFont val="Tahoma"/>
            <family val="2"/>
          </rPr>
          <t xml:space="preserve">For average, 0.1% of a volatile substance is assumed to be emitted to air.
For average, 10% is assumed broken down to monomer and emitted to air.
</t>
        </r>
      </text>
    </comment>
    <comment ref="Q21" authorId="0" shapeId="0" xr:uid="{00000000-0006-0000-08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23" authorId="0" shapeId="0" xr:uid="{00000000-0006-0000-0900-000001000000}">
      <text>
        <r>
          <rPr>
            <sz val="9"/>
            <color rgb="FF000000"/>
            <rFont val="Tahoma"/>
            <family val="2"/>
          </rPr>
          <t xml:space="preserve">Only volatile substances give air emissions in the Bat and average cases. In the worst case, particles can be carried indoor by mist and steam.
</t>
        </r>
      </text>
    </comment>
    <comment ref="K23" authorId="0" shapeId="0" xr:uid="{00000000-0006-0000-0900-000002000000}">
      <text>
        <r>
          <rPr>
            <sz val="9"/>
            <color rgb="FF000000"/>
            <rFont val="Tahoma"/>
            <family val="2"/>
          </rPr>
          <t xml:space="preserve">For average, 0.1% of a volatile substance is assumed to be emitted to air.
For average, 10% is assumed broken down to monomer and emitted to air.
</t>
        </r>
      </text>
    </comment>
    <comment ref="Q23" authorId="0" shapeId="0" xr:uid="{00000000-0006-0000-09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22" authorId="0" shapeId="0" xr:uid="{00000000-0006-0000-0A00-000001000000}">
      <text>
        <r>
          <rPr>
            <sz val="9"/>
            <color rgb="FF000000"/>
            <rFont val="Tahoma"/>
            <family val="2"/>
          </rPr>
          <t xml:space="preserve">Only volatile substances give air emissions in the Bat and average cases. In the worst case, particles can be carried indoor by mist and steam.
</t>
        </r>
      </text>
    </comment>
    <comment ref="K22" authorId="0" shapeId="0" xr:uid="{00000000-0006-0000-0A00-000002000000}">
      <text>
        <r>
          <rPr>
            <sz val="9"/>
            <color rgb="FF000000"/>
            <rFont val="Tahoma"/>
            <family val="2"/>
          </rPr>
          <t xml:space="preserve">For average, 0.1% of a volatile substance is assumed to be emitted to air.
For average, 10% is assumed broken down to monomer and emitted to air.
</t>
        </r>
      </text>
    </comment>
    <comment ref="Q22" authorId="0" shapeId="0" xr:uid="{00000000-0006-0000-0A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Sandra Roos</author>
  </authors>
  <commentList>
    <comment ref="G23" authorId="0" shapeId="0" xr:uid="{00000000-0006-0000-0B00-000001000000}">
      <text>
        <r>
          <rPr>
            <sz val="9"/>
            <color rgb="FF000000"/>
            <rFont val="Tahoma"/>
            <family val="2"/>
          </rPr>
          <t xml:space="preserve">Only volatile substances give air emissions in the Bat and average cases. In the worst case, particles can be carried indoor by mist and steam.
</t>
        </r>
      </text>
    </comment>
    <comment ref="K23" authorId="0" shapeId="0" xr:uid="{00000000-0006-0000-0B00-000002000000}">
      <text>
        <r>
          <rPr>
            <sz val="9"/>
            <color rgb="FF000000"/>
            <rFont val="Tahoma"/>
            <family val="2"/>
          </rPr>
          <t xml:space="preserve">For average, 0.1% of a volatile substance is assumed to be emitted to air.
For average, 10% is assumed broken down to monomer and emitted to air.
</t>
        </r>
      </text>
    </comment>
    <comment ref="Q23" authorId="0" shapeId="0" xr:uid="{00000000-0006-0000-0B00-000003000000}">
      <text>
        <r>
          <rPr>
            <sz val="9"/>
            <color rgb="FF000000"/>
            <rFont val="Tahoma"/>
            <family val="2"/>
          </rPr>
          <t xml:space="preserve">Average: 90% of all compounds assumed separated in waste water treatment facility.
assumed no salt is reacted
0% of  persistent compounds reacted.
90 % of unstable compounds reacted.
95% of dyestuff/effect chemicals (coating materials etc.) adsorbed.
Dissociating substances handled in LCIA in USEtox 2.0.
</t>
        </r>
      </text>
    </comment>
  </commentList>
</comments>
</file>

<file path=xl/sharedStrings.xml><?xml version="1.0" encoding="utf-8"?>
<sst xmlns="http://schemas.openxmlformats.org/spreadsheetml/2006/main" count="15652" uniqueCount="1391">
  <si>
    <t>Formic acid</t>
  </si>
  <si>
    <t>Hydrogen peroxide</t>
  </si>
  <si>
    <t>kg</t>
  </si>
  <si>
    <t>Formaldehyde</t>
  </si>
  <si>
    <t>Acetic acid</t>
  </si>
  <si>
    <t>Sodium hydroxide</t>
  </si>
  <si>
    <t>indoor</t>
  </si>
  <si>
    <t>river</t>
  </si>
  <si>
    <t>Type</t>
  </si>
  <si>
    <t>Bleach, hydrogen peroxide</t>
  </si>
  <si>
    <t>Optical brightener, stilbene disulfonic acid (Uvitex BHT liq 115%)</t>
  </si>
  <si>
    <t>Unit</t>
  </si>
  <si>
    <t>-</t>
  </si>
  <si>
    <t>37251-67-5</t>
  </si>
  <si>
    <t>126-92-1</t>
  </si>
  <si>
    <t>Oxirane, methyl-, polymer with oxirane, decyl ether</t>
  </si>
  <si>
    <t>Ethoxylated fatty alcohol (&gt;6 EO)</t>
  </si>
  <si>
    <t>69011-36-5</t>
  </si>
  <si>
    <t>Sodium mono(2-ethylhexyl)estersulfate</t>
  </si>
  <si>
    <t>Phosphonic acid, disodium salt</t>
  </si>
  <si>
    <t>13708-85-5</t>
  </si>
  <si>
    <t>64-18-6</t>
  </si>
  <si>
    <t xml:space="preserve">64-19-7 </t>
  </si>
  <si>
    <t>7722-84-1</t>
  </si>
  <si>
    <t>7786-30-3</t>
  </si>
  <si>
    <t>1310-73-2</t>
  </si>
  <si>
    <t>Diethanolamine</t>
  </si>
  <si>
    <t>111-42-2</t>
  </si>
  <si>
    <t>50-00-0</t>
  </si>
  <si>
    <t>16470-24-9</t>
  </si>
  <si>
    <t>Polyacrylic acid, sodium salt</t>
  </si>
  <si>
    <t>USEtox CTUcarc.</t>
  </si>
  <si>
    <t>USEtox CTUnon-carc.</t>
  </si>
  <si>
    <t>USEtox CTUecotox</t>
  </si>
  <si>
    <t>9003-04-7</t>
  </si>
  <si>
    <t>Acrylamide/sodium acrylate copolymer</t>
  </si>
  <si>
    <t>Octadecanoic acid</t>
  </si>
  <si>
    <t>57-11-4</t>
  </si>
  <si>
    <t xml:space="preserve">Fluorescent Brightener 220 </t>
  </si>
  <si>
    <t>Ethylene oxide</t>
  </si>
  <si>
    <t>Magnesium chloride</t>
  </si>
  <si>
    <t>Indigo</t>
  </si>
  <si>
    <t>Thiosulfate</t>
  </si>
  <si>
    <t>Nonylphenol ethoxylate (NPEO)</t>
  </si>
  <si>
    <t>Sulfuric acid</t>
  </si>
  <si>
    <t>Detergent/Wetting agent, average</t>
  </si>
  <si>
    <t>Peroxide stabilizer, average</t>
  </si>
  <si>
    <t>Base (alkali) (NaOH), average</t>
  </si>
  <si>
    <t>Bleach (H2O2), average</t>
  </si>
  <si>
    <t>Antifoaming agent, average</t>
  </si>
  <si>
    <t>Blue VAT dyestuff (indigo), average</t>
  </si>
  <si>
    <t>Reducing agent, average</t>
  </si>
  <si>
    <t>Wetting/Penetrating agent, cellulosic, average</t>
  </si>
  <si>
    <t>Conducting salt (NaSO4), average</t>
  </si>
  <si>
    <t>Acid (sulphuric acid), average</t>
  </si>
  <si>
    <t>Base/Soda ash (Na2CO3), average</t>
  </si>
  <si>
    <t>Sizing agent, average</t>
  </si>
  <si>
    <t>Oxidizing agent (H2O2), average</t>
  </si>
  <si>
    <t>Chemical product</t>
  </si>
  <si>
    <t>Detergent, average (Ultravon EL)</t>
  </si>
  <si>
    <t>75-21-8</t>
  </si>
  <si>
    <t>67762-90-7</t>
  </si>
  <si>
    <t>104-76-7</t>
  </si>
  <si>
    <t>482-89-3</t>
  </si>
  <si>
    <t>Peroxide stabilizer, average (Clarite 3X)</t>
  </si>
  <si>
    <t>Phosphonic acid</t>
  </si>
  <si>
    <t>Dimethyl siloxane, reaction product with silica</t>
  </si>
  <si>
    <t>Nonylphenol</t>
  </si>
  <si>
    <t>Fatty methylester sulfonates</t>
  </si>
  <si>
    <t>Alcohols, c12-14, ethoxylated</t>
  </si>
  <si>
    <t>2-methyl-4-isothiazolin-3-one</t>
  </si>
  <si>
    <t>5-chloro-2-methyl-4-isothiazolin-3-one</t>
  </si>
  <si>
    <t>Sodium lauryl sulfate</t>
  </si>
  <si>
    <t>Isooctyl alcohol</t>
  </si>
  <si>
    <t>Sodium sulfate</t>
  </si>
  <si>
    <t>Antifoaming agent, average (3M Defoamer)</t>
  </si>
  <si>
    <t>Sodium lauryl sulphate</t>
  </si>
  <si>
    <t>5-chloro-2-methyl-4-isothiazoline-3-one</t>
  </si>
  <si>
    <t>7664-93-9</t>
  </si>
  <si>
    <t>Sodium carbonate (Na2CO3)</t>
  </si>
  <si>
    <t>497-19-8</t>
  </si>
  <si>
    <t>151-21-3</t>
  </si>
  <si>
    <t>Sodium dithionite</t>
  </si>
  <si>
    <t>Sodium disulfate</t>
  </si>
  <si>
    <t>Iso-octyl alcohol</t>
  </si>
  <si>
    <t>Ethoxylated alcohol (NPEO)</t>
  </si>
  <si>
    <t>Conducting salt</t>
  </si>
  <si>
    <t xml:space="preserve"> </t>
  </si>
  <si>
    <t>Sequestering agent, average</t>
  </si>
  <si>
    <t>Acrylamide</t>
  </si>
  <si>
    <t>Lubricant, average (Albafluid CD)</t>
  </si>
  <si>
    <t>Dyeing denim in continuous pad with skying (mix)</t>
  </si>
  <si>
    <t>9016-45-9</t>
  </si>
  <si>
    <t>7772-98-7/10102-17-7</t>
  </si>
  <si>
    <t>25154-52-3</t>
  </si>
  <si>
    <t>26172-55-4</t>
  </si>
  <si>
    <t>2682-20-4</t>
  </si>
  <si>
    <t>7757-82-6</t>
  </si>
  <si>
    <t>79-06-1</t>
  </si>
  <si>
    <t>Process</t>
  </si>
  <si>
    <t>Content per kg used product</t>
  </si>
  <si>
    <t>Yarn bleaching of cotton/elastane yarn in OBEM machine</t>
  </si>
  <si>
    <t>Wetting/Penetration agent (synthetic), average</t>
  </si>
  <si>
    <t>Total</t>
  </si>
  <si>
    <t>Amount per kg process</t>
  </si>
  <si>
    <t>Amount per FU</t>
  </si>
  <si>
    <t>Jeans (baseline)</t>
  </si>
  <si>
    <t>Inputs/Outputs</t>
  </si>
  <si>
    <t>Distr. &amp; ret.</t>
  </si>
  <si>
    <t>Distr. &amp; ret. - Distr. transp.</t>
  </si>
  <si>
    <t>Distr. &amp; ret. - Transp. staff</t>
  </si>
  <si>
    <t>Distr. &amp; ret. - Waste</t>
  </si>
  <si>
    <t>Distr. &amp; ret.- Stores</t>
  </si>
  <si>
    <t>End of life</t>
  </si>
  <si>
    <t>Fabric prod. - Bleaching</t>
  </si>
  <si>
    <t>Fabric prod. - Drying</t>
  </si>
  <si>
    <t>Fabric prod. - Dyeing</t>
  </si>
  <si>
    <t>Fabric prod. - Spinning</t>
  </si>
  <si>
    <t>Fabric prod. - Weaving</t>
  </si>
  <si>
    <t>Fibre production - Cotton</t>
  </si>
  <si>
    <t>Fibre production - Elastane</t>
  </si>
  <si>
    <t>Garment prod.</t>
  </si>
  <si>
    <t>Garment prod. - Energy</t>
  </si>
  <si>
    <t>Garment prod. - Other</t>
  </si>
  <si>
    <t>Garment prod. - packaging</t>
  </si>
  <si>
    <t>Garment prod. - Waste</t>
  </si>
  <si>
    <t>Garment prod. - Weaving</t>
  </si>
  <si>
    <t>Transport in prod.</t>
  </si>
  <si>
    <t>Use</t>
  </si>
  <si>
    <t>Use - Drying</t>
  </si>
  <si>
    <t>Use - Ironing</t>
  </si>
  <si>
    <t>Use - Transport to home</t>
  </si>
  <si>
    <t>Use - Washing</t>
  </si>
  <si>
    <t>Flows</t>
  </si>
  <si>
    <t>Default ecotoxicity (USEtox)</t>
  </si>
  <si>
    <t>Extra ecotox 99%</t>
  </si>
  <si>
    <t>Extra ecotox 90%</t>
  </si>
  <si>
    <t>Extra ecotox 0%</t>
  </si>
  <si>
    <t>T-shirt (baseline)</t>
  </si>
  <si>
    <t>Fabric prod. - Knitting</t>
  </si>
  <si>
    <t>Fibre production</t>
  </si>
  <si>
    <t>Lubricant, average</t>
  </si>
  <si>
    <t>Acid (formic acid), average</t>
  </si>
  <si>
    <t>Optical brightener, average</t>
  </si>
  <si>
    <t>Softener, average</t>
  </si>
  <si>
    <t>Bleaching cotton tricot with optical brightener in jet machine, average</t>
  </si>
  <si>
    <t>Base (alkali) (Na2CO3), average</t>
  </si>
  <si>
    <t>Dispergent, average</t>
  </si>
  <si>
    <t>Decalcifier ((NH4)2SO4), average</t>
  </si>
  <si>
    <t>Antireduction agent (H2O2), average</t>
  </si>
  <si>
    <t>Black disperse dyestuff PA, BAT</t>
  </si>
  <si>
    <t>Soda (CaCO3), average</t>
  </si>
  <si>
    <t>Detergent/Wetting agent, BAT</t>
  </si>
  <si>
    <t>PES dress - life cycle</t>
  </si>
  <si>
    <t>EOL</t>
  </si>
  <si>
    <t>Fabric prod.- dispersion print</t>
  </si>
  <si>
    <t>Fabric prod.-dyeing PES tricot</t>
  </si>
  <si>
    <t>fabric prod.-knitting</t>
  </si>
  <si>
    <t>Fabric prod.-pretreatment</t>
  </si>
  <si>
    <t>Fabric prod.-weaving</t>
  </si>
  <si>
    <t>use</t>
  </si>
  <si>
    <t>Dyeing PES tricot black in jet dyeing machine, average (mix)</t>
  </si>
  <si>
    <t>Fabric prod.-drying</t>
  </si>
  <si>
    <t>Fabric prod.-yarn spinning</t>
  </si>
  <si>
    <t>Fiber prod.- PES</t>
  </si>
  <si>
    <t xml:space="preserve">Garment prod. </t>
  </si>
  <si>
    <t>Dispersion print of PES weave on rotation printer (mix)</t>
  </si>
  <si>
    <t>Pretreatment in jet machine of PES weave before printing</t>
  </si>
  <si>
    <t>Detergent, for print (Ultravon PRE)</t>
  </si>
  <si>
    <t>Thickener (Alcoprint DT-CS)</t>
  </si>
  <si>
    <t>Reduction agent printing (Lyoprint AIR 1:1)</t>
  </si>
  <si>
    <t>Pigment (Terasil Black P-R liq.50%)</t>
  </si>
  <si>
    <t>Detergent surfactant (Eriopon OS)</t>
  </si>
  <si>
    <t>Acid (acetic acid), average</t>
  </si>
  <si>
    <t>1937-37-7</t>
  </si>
  <si>
    <t xml:space="preserve">5-hydroxy-6-(phenylazo)naphthalene-2,7-disulphonate </t>
  </si>
  <si>
    <t>Cotton cultivation, ginning and baling</t>
  </si>
  <si>
    <t>Polyester fibre production</t>
  </si>
  <si>
    <t>Elastane fibre production</t>
  </si>
  <si>
    <t/>
  </si>
  <si>
    <t>Comment</t>
  </si>
  <si>
    <t>Products</t>
  </si>
  <si>
    <t>Bleaching cotton tricot with optical brightener in jet machine, average (mix)</t>
  </si>
  <si>
    <t>Resources</t>
  </si>
  <si>
    <t>Water, river</t>
  </si>
  <si>
    <t>m3</t>
  </si>
  <si>
    <t>6 baths, 1:10, no recirculation is made</t>
  </si>
  <si>
    <t>Materials/fuels</t>
  </si>
  <si>
    <t>6 % of fabric weight</t>
  </si>
  <si>
    <t>3% of fabric weight</t>
  </si>
  <si>
    <t>Air emissions from 1 kg Lubricant, average</t>
  </si>
  <si>
    <t>Air emissions from 1 kg Detergent/Wetting agent, average</t>
  </si>
  <si>
    <t>Air emissions from 1 kg Acid (formic acid), average</t>
  </si>
  <si>
    <t>Air emissions from 1 kg Peroxide stabilizer, average</t>
  </si>
  <si>
    <t>Air emissions from 1 kg Bleach (H2O2), average</t>
  </si>
  <si>
    <t>Air emissions from 1 kg Acid (sulfuric acid), average</t>
  </si>
  <si>
    <t>Water emissions from 1 kg Lubricant, average</t>
  </si>
  <si>
    <t>Water emissions from 1 kg Detergent, average</t>
  </si>
  <si>
    <t>Water emissions from 1 kg Acid (formic acid), average</t>
  </si>
  <si>
    <t>Water emissions from 1 kg Peroxide stabilizer, average</t>
  </si>
  <si>
    <t>Water emissions from 1 kg Base (NaOH), average</t>
  </si>
  <si>
    <t>Water emissions from 1 kg Bleach (H2O2), average</t>
  </si>
  <si>
    <t>Water emissions from 1 kg Optical brightener, average</t>
  </si>
  <si>
    <t>Water emissions from 1 kg Acid (sulfuric acid), average</t>
  </si>
  <si>
    <t>Water emissions from 1 kg Softener, average</t>
  </si>
  <si>
    <t>Electricity/heat</t>
  </si>
  <si>
    <t>MiFuFa electricity mix</t>
  </si>
  <si>
    <t>kWh</t>
  </si>
  <si>
    <t>Heat, light fuel oil, at boiler 10kW, non-modulating/CH S</t>
  </si>
  <si>
    <t>Emissions to water</t>
  </si>
  <si>
    <t>COD, Chemical Oxygen Demand</t>
  </si>
  <si>
    <t>EU ecolabel criteria assumed to be passed.</t>
  </si>
  <si>
    <t>Waste to treatment</t>
  </si>
  <si>
    <t>Disposal, sludge from pulp and paper production, 25% water, to sanitary landfill/CH EcoInvent System</t>
  </si>
  <si>
    <t>estimated</t>
  </si>
  <si>
    <t>Emissions to air</t>
  </si>
  <si>
    <t>4 baths, 1:6, no recirculation is made</t>
  </si>
  <si>
    <t>Amount</t>
  </si>
  <si>
    <t>Product</t>
  </si>
  <si>
    <t>Bleached cotton fabric</t>
  </si>
  <si>
    <t>Sheet name</t>
  </si>
  <si>
    <t>Average process</t>
  </si>
  <si>
    <t>BAT process</t>
  </si>
  <si>
    <t>Worst case process</t>
  </si>
  <si>
    <t>Model processes</t>
  </si>
  <si>
    <t>T-shirt</t>
  </si>
  <si>
    <t>Jeans</t>
  </si>
  <si>
    <t>Dress</t>
  </si>
  <si>
    <t>Jacket</t>
  </si>
  <si>
    <t>Uniform</t>
  </si>
  <si>
    <t>5 % of fabric weight</t>
  </si>
  <si>
    <t>Air emissions from 1 kg Sequestering agent, average</t>
  </si>
  <si>
    <t>Water emissions from 1 kg Sequestering agent, average</t>
  </si>
  <si>
    <t>Water emissions from 1 kg Antifoaming agent, average</t>
  </si>
  <si>
    <t>Water emissions from 1 kg Wetting/Penetration agent (synthetic), average</t>
  </si>
  <si>
    <t>Water emissions from 1 kg Soda (CaCO3), average</t>
  </si>
  <si>
    <t>Bleaching cotton fabric</t>
  </si>
  <si>
    <t>Bleaching cotton yarn</t>
  </si>
  <si>
    <t>Dyeing polyester tricot</t>
  </si>
  <si>
    <t>Dyeing polyamide weave</t>
  </si>
  <si>
    <t xml:space="preserve">Dyeing polyester weave </t>
  </si>
  <si>
    <t>Dyeing cotton tricot</t>
  </si>
  <si>
    <t>Cutting</t>
  </si>
  <si>
    <t>Sewing</t>
  </si>
  <si>
    <t>Ironing and packaging</t>
  </si>
  <si>
    <t>Model archetype garments</t>
  </si>
  <si>
    <t>Production of T-shirt, average, per kg</t>
  </si>
  <si>
    <t>Cotton, based on Cotton Inc. data in GaBi</t>
  </si>
  <si>
    <t>Ring spinning to yarn, cotton 250 dtex (mix)</t>
  </si>
  <si>
    <t>Knitting yarn to fabric, 250 dtex (mix)</t>
  </si>
  <si>
    <t>Confectioning of t-shirt, per kg (mix)</t>
  </si>
  <si>
    <t>Transport, lorry 16-32t, EURO3/RER S</t>
  </si>
  <si>
    <t>tkm</t>
  </si>
  <si>
    <t>Amount per kg</t>
  </si>
  <si>
    <t>BAT chemicals</t>
  </si>
  <si>
    <t>Worst case chemicals</t>
  </si>
  <si>
    <t>Process performance</t>
  </si>
  <si>
    <t>Impact calculations</t>
  </si>
  <si>
    <t>Cotton fibre production</t>
  </si>
  <si>
    <t>per 1 kg cotton fibres (bales after ginning)</t>
  </si>
  <si>
    <t>GWP100 [kg CO2 eq.]</t>
  </si>
  <si>
    <t>Freshwater EP [kg P eq.]</t>
  </si>
  <si>
    <t>AP [mole of H+ eq.]</t>
  </si>
  <si>
    <t>POCP [kg NMVOC eq.]</t>
  </si>
  <si>
    <t>Total freshwater consumption (including rainwater) [kg]</t>
  </si>
  <si>
    <r>
      <t>Agr. land occ. [m</t>
    </r>
    <r>
      <rPr>
        <b/>
        <vertAlign val="superscript"/>
        <sz val="10"/>
        <color theme="1"/>
        <rFont val="Calibri"/>
        <family val="2"/>
        <scheme val="minor"/>
      </rPr>
      <t>2</t>
    </r>
    <r>
      <rPr>
        <b/>
        <sz val="10"/>
        <color theme="1"/>
        <rFont val="Calibri"/>
        <family val="2"/>
        <scheme val="minor"/>
      </rPr>
      <t>a]</t>
    </r>
  </si>
  <si>
    <t>Human toxicity (non-carc.,) [CTUh]</t>
  </si>
  <si>
    <t>Human toxicity (carc.,) [CTUh]</t>
  </si>
  <si>
    <t>Ecotoxicity [CTUeco]</t>
  </si>
  <si>
    <t>PED (non-renewable, net) [MJ]</t>
  </si>
  <si>
    <t>Chemicals performance</t>
  </si>
  <si>
    <t>Salt, not emitted to air</t>
  </si>
  <si>
    <t>6 % of fabric weight, not emitted to air</t>
  </si>
  <si>
    <t>3% of fabric weight, not emitted to air</t>
  </si>
  <si>
    <t>Green = Covered in USEtox</t>
  </si>
  <si>
    <t>CAS emissions</t>
  </si>
  <si>
    <t>Orange = Calculated CF in Roos et al. 2017</t>
  </si>
  <si>
    <t>Emissions</t>
  </si>
  <si>
    <t>Yellow = Covered in COSMEDE (only ecotox)</t>
  </si>
  <si>
    <t>Bleaching cotton tricot with optical brightener in jet machine, BAT process (mix)</t>
  </si>
  <si>
    <t>Bleaching cotton tricot with optical brightener in jet machine, worst case process (mix)</t>
  </si>
  <si>
    <t>Bleaching cotton tricot with optical brightener in jet machine, worst case chemicals (mix)</t>
  </si>
  <si>
    <t>6 baths, 1:5, no recirculation is made</t>
  </si>
  <si>
    <t>BAT emission control</t>
  </si>
  <si>
    <t>6 baths, 1:20, no recirculation is made</t>
  </si>
  <si>
    <t>Air emissions from 1 kg Detergent/Wetting agent, BAT</t>
  </si>
  <si>
    <t>Bleaching cotton tricot in jet machine, BAT chemicals (mix)</t>
  </si>
  <si>
    <t>No optical brightener</t>
  </si>
  <si>
    <t>Impact assessment with ILCD</t>
  </si>
  <si>
    <t xml:space="preserve">Time-integrated chemical content </t>
  </si>
  <si>
    <t>Amount released per kg input chemical product</t>
  </si>
  <si>
    <t>Documentation</t>
  </si>
  <si>
    <t>Emissions to air (per kg used chemical product), average</t>
  </si>
  <si>
    <t>Emissions to water (per kg used chemical product), average</t>
  </si>
  <si>
    <t>MSDS</t>
  </si>
  <si>
    <t>&lt;= 0.001 in alcohol ethoxylates</t>
  </si>
  <si>
    <t>MSDS + Expert estimation for concentration</t>
  </si>
  <si>
    <t>Worst case - mist carries substance</t>
  </si>
  <si>
    <t>THK online: Uvitex BHT liq 115%</t>
  </si>
  <si>
    <t>Softener, average (Sapamine SFC)</t>
  </si>
  <si>
    <t>7681-57-4</t>
  </si>
  <si>
    <t>Breakdown product</t>
  </si>
  <si>
    <t>7775-14-6</t>
  </si>
  <si>
    <t>Wetting agent/Penetration agent, average (Cottoclarin ok 88 ECO)</t>
  </si>
  <si>
    <t>Sizing agent, average (PVA)</t>
  </si>
  <si>
    <t>Polyvinyl alcohol</t>
  </si>
  <si>
    <t>9002-89-5</t>
  </si>
  <si>
    <t>6 airings assumed</t>
  </si>
  <si>
    <t>Sequestering agent/complex binder, average (Invatex)</t>
  </si>
  <si>
    <t>Naphtha, petroleum, hydrotreated heavy</t>
  </si>
  <si>
    <t>64742-48-9</t>
  </si>
  <si>
    <t>Distillates, petroleum, hydrotreated heavy paraffinic</t>
  </si>
  <si>
    <t>64742-54-7</t>
  </si>
  <si>
    <t>Poly(oxy-1,2-ethanediyl) , .alpha.-tridecyl-.omega.-hydroxy-, phosphate</t>
  </si>
  <si>
    <t>9046-01-9</t>
  </si>
  <si>
    <t>Decanol</t>
  </si>
  <si>
    <t>assumption decanol</t>
  </si>
  <si>
    <t>112-30-1</t>
  </si>
  <si>
    <t>Maleinsyra, bis(2-etylhexyl)ester</t>
  </si>
  <si>
    <t>142-16-5</t>
  </si>
  <si>
    <t>Decane and other higher alkanes</t>
  </si>
  <si>
    <t>64742-47-8</t>
  </si>
  <si>
    <t>C.I. Disperse Black 9</t>
  </si>
  <si>
    <t>Selected from Colour Index database. Assumption..</t>
  </si>
  <si>
    <t>20721-50-0/12222-69-4</t>
  </si>
  <si>
    <t>2-[2-(2-butoxietoxi)etoxi]etanol</t>
  </si>
  <si>
    <t>143-22-6</t>
  </si>
  <si>
    <t>Pigment (C.I. DIRECT BLACK 38), worst case</t>
  </si>
  <si>
    <t>DWR agent, fluoro, worst case (Oleophobol S + C8)</t>
  </si>
  <si>
    <t>Etylene glycol</t>
  </si>
  <si>
    <t>107-21-1</t>
  </si>
  <si>
    <t>1H,1H,2H,2H-Perfluorodecylacrylate (8:2 FTA)</t>
  </si>
  <si>
    <t>27905-45-9</t>
  </si>
  <si>
    <t>assumption 1% of 8:2 FTAC</t>
  </si>
  <si>
    <t>Perfluorooctanoic acid (PFOA)</t>
  </si>
  <si>
    <t>335-67-1</t>
  </si>
  <si>
    <t>Aceton</t>
  </si>
  <si>
    <t>67-64-1</t>
  </si>
  <si>
    <t>Poly(oxy-1,2-ethanediyl), α-(1-oxooctadecyl)-ω-
hydroxy-</t>
  </si>
  <si>
    <t>9002-92-0</t>
  </si>
  <si>
    <t>1H,1H,2H,2H-Perfluoroctylacrylate (6:2 FTA)</t>
  </si>
  <si>
    <t>17527-29-6</t>
  </si>
  <si>
    <t>Perfluorohexanoic acid (PFHxA)</t>
  </si>
  <si>
    <t>307-24-4</t>
  </si>
  <si>
    <t>DWR agent, fluoro, average (Oleophobol S + C4)</t>
  </si>
  <si>
    <t>1H,1H,2H,2H-Perfluoro-1-hexanol (4:2 FTOH)</t>
  </si>
  <si>
    <t>2043-47-2</t>
  </si>
  <si>
    <t>Perfluorobutane sulfonic acid (PFBS)</t>
  </si>
  <si>
    <t>375-73-5</t>
  </si>
  <si>
    <t>TMS</t>
  </si>
  <si>
    <t>Hydroxytrimethylsilane (trimethylsilanol) (TMS)</t>
  </si>
  <si>
    <t>1066-40-6</t>
  </si>
  <si>
    <t>DMSD</t>
  </si>
  <si>
    <t>DMSD is the primary hydrolysis product of PDMS, assumption 1% of PDMS</t>
  </si>
  <si>
    <t>Dimethylsilanediol (DMSD)</t>
  </si>
  <si>
    <t>1066-42-8</t>
  </si>
  <si>
    <t>D5, Decamethylcyclopentasiloxane</t>
  </si>
  <si>
    <t>541-02-6</t>
  </si>
  <si>
    <t>D4, Octamethylcyclotetrasiloxane</t>
  </si>
  <si>
    <t>556-67-2</t>
  </si>
  <si>
    <t>PDMS</t>
  </si>
  <si>
    <t>assumption 50%. Emulsion bestående av polydimetylsiloxan och en självtvärbindande
kondensationsprodukt. Katjonisk</t>
  </si>
  <si>
    <t>worst case - monomer release</t>
  </si>
  <si>
    <t xml:space="preserve">63148-62-9 </t>
  </si>
  <si>
    <t>Alcohols, C11-14-iso-,
C13-rich</t>
  </si>
  <si>
    <t>68526-86-3</t>
  </si>
  <si>
    <t>DWR agent, paraffin wax, BEP</t>
  </si>
  <si>
    <t>Paraffin Wax</t>
  </si>
  <si>
    <t>Paraffin Wax (Melting Point 45 to 48)</t>
  </si>
  <si>
    <t>8002-74-2</t>
  </si>
  <si>
    <t>Wetting agent for better printability (Ultravon PRE)</t>
  </si>
  <si>
    <t>2-metyl-2,4-pentandiol</t>
  </si>
  <si>
    <t>111-42-1</t>
  </si>
  <si>
    <t>Fatty alcohol alkoxylate</t>
  </si>
  <si>
    <t>Lauryl alcohol di(oxyethylene) ethanol</t>
  </si>
  <si>
    <t>3055-94-5</t>
  </si>
  <si>
    <t>Ethoxylated fatty alcohol</t>
  </si>
  <si>
    <t>Alcohols, ethoxylated</t>
  </si>
  <si>
    <t>61827-42-7</t>
  </si>
  <si>
    <t>Black disperse dyestuff PA (Eriofast Black M)</t>
  </si>
  <si>
    <t>(7-(4-Chloro-6-(4-ethenesulfonyl-phenyl-amino)-
(1,3,5)-triazin-2-ylamino)-4-hydroxy-3-(2-hydroxy-5-
nitro-phenylazo)-naphthalene-2-sulfonic acid)-(3-
hydroxy-4-(2-hydroxy-naphthalene-1-ylazo)-7-nitronaphthalene-
1-sulfonic acid)-chrome(III) complex,
sodium salt</t>
  </si>
  <si>
    <t>Yellow disperse dyestuff PA, BAT (Eriofast Yellow 5G)</t>
  </si>
  <si>
    <t>Natrium av sulfosuccinsyradioktylester</t>
  </si>
  <si>
    <t>577-11-7</t>
  </si>
  <si>
    <t>Blue disperse dyestuff PA, BAT (Eriofast Blue 3G)</t>
  </si>
  <si>
    <t>Reactive Blue 4</t>
  </si>
  <si>
    <t>MSDS, replaces 500717-36-2</t>
  </si>
  <si>
    <t>2-Anthracenesulfonic acid, 1-amino-4-[(4-amino-2-
sulfophenyl)amino]-9,10-dihydro-9,10-dioxo-,
disodium salt, reaction product with 2-[[3-[(4,6-
dichloro-1,3,5-triazin-2-yl)ethylamino]phenyl]sulfonyl
]ethyl hydrogen sulfate, sodium salts</t>
  </si>
  <si>
    <t>13324-20-4</t>
  </si>
  <si>
    <t>Dispergent, average (ALBAFLOW UNI-01)</t>
  </si>
  <si>
    <t>C9-11 Alkohol ethoxylate</t>
  </si>
  <si>
    <t>68439-46-3</t>
  </si>
  <si>
    <t>Isotridecanol ethoxylated</t>
  </si>
  <si>
    <t>Ammonium sulphate</t>
  </si>
  <si>
    <t>7783-20-2</t>
  </si>
  <si>
    <t>Yellow disperse dyestuff PES, average (Terasil Yellow W-6GS)</t>
  </si>
  <si>
    <t>1,2-dihydro-6-hydroxy-1,4-dimethyl-2-oxo-5-[[3-[(phenylsulphonyl)oxy]phenyl]azo]nicotinonitrile</t>
  </si>
  <si>
    <t>Selected from Colour Index database. Assumption. This substance is pre-registered under REACH.</t>
  </si>
  <si>
    <t>59312-61-7</t>
  </si>
  <si>
    <t>Red disperse/VAT dyestuff PES, average (Terasil W Red W-FS)</t>
  </si>
  <si>
    <t>2-(3-oxobenzo[b]thien-2(3H)-ylidene)benzo[b]thiophene-3(2H)-one</t>
  </si>
  <si>
    <t>522-75-8</t>
  </si>
  <si>
    <t>Calcium carbonate</t>
  </si>
  <si>
    <t>471-34-1</t>
  </si>
  <si>
    <t>Black disperse dyestuff PES, average (Terasil black W-NS)</t>
  </si>
  <si>
    <t>Sodium 2-[methyloleoylamino]ethane-1-sulphonate</t>
  </si>
  <si>
    <t>137-20-2</t>
  </si>
  <si>
    <t>metyl-N-[(3-acetylamino)-4-(2-cyano-4-
nitrofenylazo)fenyl]-N-[(1-metoxi)acetyl]glycinat</t>
  </si>
  <si>
    <t>149850-30-6</t>
  </si>
  <si>
    <t>Alanine, N-[5-(acetylamino)-4-[(2-chloro-6-cyano-4-
nitrophenyl) azo]-2-methoxyphenyl]-N-(2-methoxy-2-
oxoethyl)-, methyl ester</t>
  </si>
  <si>
    <t>204277-61-2</t>
  </si>
  <si>
    <t>Disperse violet 28</t>
  </si>
  <si>
    <t>MSDS, replaces 188070-47-5</t>
  </si>
  <si>
    <t>81-42-5</t>
  </si>
  <si>
    <t>Wetting agent/Penetration agent, BAT (Albaflow SF plus)</t>
  </si>
  <si>
    <t>assumption oil. Self-emulsifying preparation of organic oil, carboxylic acid esters and special additives.</t>
  </si>
  <si>
    <t>Lubricant, BAT (Breviol/PAM-N)</t>
  </si>
  <si>
    <t>Dispergent, BAT (Univadine DP)</t>
  </si>
  <si>
    <t>Ammoniumsalt av en syra-modifierad polyhydroxialkylenglykoleter</t>
  </si>
  <si>
    <t>Dyestuff reduction protection agent, average (Albatex AR)</t>
  </si>
  <si>
    <t>Oxiderande ämne</t>
  </si>
  <si>
    <t>Circular knitting</t>
  </si>
  <si>
    <t>Flat knitting</t>
  </si>
  <si>
    <t>Weaving, 150 dtex</t>
  </si>
  <si>
    <t>Weaving, 300 dtex</t>
  </si>
  <si>
    <t>For SimaPro, the results from the same dataset differed so the GaBi results need to be inserted manually.</t>
  </si>
  <si>
    <t>ILCD impact*</t>
  </si>
  <si>
    <t>x</t>
  </si>
  <si>
    <t>Acid, acetic acid, BAT</t>
  </si>
  <si>
    <t>Acid, formic acid, average</t>
  </si>
  <si>
    <t>Acid, sulfuric acid, average</t>
  </si>
  <si>
    <t>The Cotton Incorporated (2012) study contains both cultivation, ginning and baling</t>
  </si>
  <si>
    <t>Polyamide 6 fibre production</t>
  </si>
  <si>
    <t>Melt spinning of PES to fibers (mix)</t>
  </si>
  <si>
    <t>Lubricating oil, at plant/RER S</t>
  </si>
  <si>
    <t>Manganese, at regional storage/RER S</t>
  </si>
  <si>
    <t>Cobalt, at plant/GLO S</t>
  </si>
  <si>
    <t>Antimony, at refinery/CN S</t>
  </si>
  <si>
    <t>Phosphoric acid, industrial grade, 85% in H2O, at plant/RER S</t>
  </si>
  <si>
    <t>PES fibre</t>
  </si>
  <si>
    <t>Melt spinning of PES to fibers, BAT process (mix)</t>
  </si>
  <si>
    <t>Melt spinning of PES to fibers, worst case process (mix)</t>
  </si>
  <si>
    <t>Melt spinning of PES to fibers, BAT chemicals (mix)</t>
  </si>
  <si>
    <t>Melt spinning of PES to fibers, worst case chemicals (mix)</t>
  </si>
  <si>
    <t>Melt spinning of PES to fibers, average (mix)</t>
  </si>
  <si>
    <t>Melt spinning of PA66 to fibres, average (mix)</t>
  </si>
  <si>
    <t>Melt spinning of PA66 to fibres, BAT process (mix)</t>
  </si>
  <si>
    <t>Melt spinning of PA66 to fibres, worst case process (mix)</t>
  </si>
  <si>
    <t>Melt spinning of PA66 to fibres, worst case chemicals (mix)</t>
  </si>
  <si>
    <t>Melt spinning of PA6 to fibres, average (mix)</t>
  </si>
  <si>
    <t>Melt spinning of PA6 to fibres, BAT process (mix)</t>
  </si>
  <si>
    <t>Melt spinning of PA6 to fibres, worst case process (mix)</t>
  </si>
  <si>
    <t>Melt spinning of PA6 to fibres, BAT chemicals (mix)</t>
  </si>
  <si>
    <t>Melt spinning of PA6 to fibres, worst case chemicals (mix)</t>
  </si>
  <si>
    <t>Melt spinning of PA66 to fibres, BAT chemicals (mix)</t>
  </si>
  <si>
    <t>MJ</t>
  </si>
  <si>
    <t>high. pop.</t>
  </si>
  <si>
    <t>Melt spinning of PA6 to fibers, average (mix)</t>
  </si>
  <si>
    <t>Melt spinning of PA6 to fibers, BAT process (mix)</t>
  </si>
  <si>
    <t>Melt spinning of PA6 to fibers, worst case process (mix)</t>
  </si>
  <si>
    <t>Melt spinning of PA6 to fibers, BAT chemicals (mix)</t>
  </si>
  <si>
    <t>Melt spinning of PA6 to fibers, worst case chemicals (mix)</t>
  </si>
  <si>
    <t>PA6 fibre</t>
  </si>
  <si>
    <t>Hexamethylene diamine</t>
  </si>
  <si>
    <t>Adipic acid</t>
  </si>
  <si>
    <t>Adipic acid, compound with hexane-1,6-diamine (1:1)</t>
  </si>
  <si>
    <t>Melt spinning of PA66 to fibers, average (mix)</t>
  </si>
  <si>
    <t>Melt spinning of PA66 to fibers, BAT process (mix)</t>
  </si>
  <si>
    <t>Melt spinning of PA66 to fibers, worst case process (mix)</t>
  </si>
  <si>
    <t>Melt spinning of PA66 to fibers, BAT chemicals (mix)</t>
  </si>
  <si>
    <t>Melt spinning of PA66 to fibers, worst case chemicals (mix)</t>
  </si>
  <si>
    <t>PA66 fibre</t>
  </si>
  <si>
    <t>Dry spinning of elastane fibers, average (mix)</t>
  </si>
  <si>
    <t>Dry spinning of elastane fibers, BAT process (mix)</t>
  </si>
  <si>
    <t>Dry spinning of elastane fibers, worst case process (mix)</t>
  </si>
  <si>
    <t>Dry spinning of elastane fibers, BAT chemicals (mix)</t>
  </si>
  <si>
    <t>Dry spinning of elastane fibers, worst case chemicals (mix)</t>
  </si>
  <si>
    <t>Dry spinning of elastane fibres, average (mix)</t>
  </si>
  <si>
    <t>Dry spinning of elastane fibres, BAT process (mix)</t>
  </si>
  <si>
    <t>Dry spinning of elastane fibres, worst case process (mix)</t>
  </si>
  <si>
    <t>Dry spinning of elastane fibres, BAT chemicals (mix)</t>
  </si>
  <si>
    <t>Dry spinning of elastane fibres, worst case chemicals (mix)</t>
  </si>
  <si>
    <t>Elastane fibre</t>
  </si>
  <si>
    <t>Lubricating oil, at plant/RER EcoInvent System</t>
  </si>
  <si>
    <t>N,n'-dimethylacetamide</t>
  </si>
  <si>
    <t>Waste incineration of textile fraction of industrial waste - no credits</t>
  </si>
  <si>
    <t>Ring spinning to yarn, CO/EL 150 dtex, average (mix)</t>
  </si>
  <si>
    <t>Ring spinning to yarn, CO/EL 150 dtex, BAT process (mix)</t>
  </si>
  <si>
    <t>Ring spinning to yarn, CO/EL 150 dtex, worst case process (mix)</t>
  </si>
  <si>
    <t>Ring spinning to yarn, CO/EL 150 dtex, BAT chemicals (mix)</t>
  </si>
  <si>
    <t>Ring spinning to yarn, CO/EL 150 dtex, worst case chemicals (mix)</t>
  </si>
  <si>
    <t>Ring spinning to yarn, CO 300 dtex, average (mix)</t>
  </si>
  <si>
    <t>Ring spinning to yarn, CO 300 dtex, BAT process (mix)</t>
  </si>
  <si>
    <t>Ring spinning to yarn, CO 300 dtex, worst case process (mix)</t>
  </si>
  <si>
    <t>Ring spinning to yarn, CO 300 dtex, BAT chemicals (mix)</t>
  </si>
  <si>
    <t>Ring spinning to yarn, CO 300 dtex, worst case chemicals (mix)</t>
  </si>
  <si>
    <t>Air-jet spinning to yarn, CO/PES 150 dtex, average (mix)</t>
  </si>
  <si>
    <t>Air-jet spinning to yarn, CO/PES 150 dtex, BAT process (mix)</t>
  </si>
  <si>
    <t>Air-jet spinning to yarn, CO/PES 150 dtex, worst case process (mix)</t>
  </si>
  <si>
    <t>Air-jet spinning to yarn, CO/PES 150 dtex, BAT chemicals (mix)</t>
  </si>
  <si>
    <t>Air-jet spinning to yarn, CO/PES 150 dtex, worst case chemicals (mix)</t>
  </si>
  <si>
    <t>CO/PES yarn</t>
  </si>
  <si>
    <t>Air-jet spinning to yarn, PES 150 dtex, average (mix)</t>
  </si>
  <si>
    <t>Air-jet spinning to yarn, PES 150 dtex, BAT process (mix)</t>
  </si>
  <si>
    <t>Air-jet spinning to yarn, PES 150 dtex, worst case process (mix)</t>
  </si>
  <si>
    <t>Air-jet spinning to yarn, PES 150 dtex, BAT chemicals (mix)</t>
  </si>
  <si>
    <t>Air-jet spinning to yarn, PES 150 dtex, worst case chemicals (mix)</t>
  </si>
  <si>
    <t>PES yarn</t>
  </si>
  <si>
    <t>8% of cotton
0.5% of synthetics</t>
  </si>
  <si>
    <t>0.5%</t>
  </si>
  <si>
    <t>Filament DTY yarn, synthetic 100 dtex (mix)</t>
  </si>
  <si>
    <t>PES DTY yarn</t>
  </si>
  <si>
    <t>Filament DTY yarn production, 100 dtex , average (mix)</t>
  </si>
  <si>
    <t>Filament DTY yarn production, 100 dtex , BAT process (mix)</t>
  </si>
  <si>
    <t>Filament DTY yarn production, 100 dtex , worst case process (mix)</t>
  </si>
  <si>
    <t>Filament DTY yarn production, 100 dtex , BAT chemicals (mix)</t>
  </si>
  <si>
    <t>Filament DTY yarn production, 100 dtex , worst case chemicals (mix)</t>
  </si>
  <si>
    <t>Compressed air, average generation, &gt;30kW, 6 bar gauge, at compressor/RER S</t>
  </si>
  <si>
    <t>CAS RN</t>
  </si>
  <si>
    <t>Name</t>
  </si>
  <si>
    <t>Sodium 2-[methyloleoylamino]ethane-1-sulphonate (cis-isomer)</t>
  </si>
  <si>
    <t>78330-23-1</t>
  </si>
  <si>
    <t>metyl-N-[(3-acetylamino)-4-(2-cyano-4-nitrofenylazo)fenyl]-N-[(1-metoxi)acetyl]glycinat</t>
  </si>
  <si>
    <t>Disperse Violet 28</t>
  </si>
  <si>
    <t>25085-02-3</t>
  </si>
  <si>
    <t>Acrylamide/sodium acrylate copolymer (Polyacrylamide (PAM))</t>
  </si>
  <si>
    <t>93348-22-2</t>
  </si>
  <si>
    <t>Fatty methylester sulfonates (R16) sodium salt</t>
  </si>
  <si>
    <t>6054-48-4</t>
  </si>
  <si>
    <t>Disperse Black 1</t>
  </si>
  <si>
    <t>Human UA carc.  [cases/kgemitted]</t>
  </si>
  <si>
    <t>Human UA non-carc.  [cases/kgemitted]</t>
  </si>
  <si>
    <t>Human FW carc.  [cases/kgemitted]</t>
  </si>
  <si>
    <t>Human FW non-carc.  [cases/kgemitted]</t>
  </si>
  <si>
    <t>Ecotox UA [PAF.m3.day/kgemitted]</t>
  </si>
  <si>
    <t>Ecotox FW [PAF.m3.day/kgemitted]</t>
  </si>
  <si>
    <t>Source</t>
  </si>
  <si>
    <t>USEtox</t>
  </si>
  <si>
    <t>Roos 2017</t>
  </si>
  <si>
    <t>COSMEDE</t>
  </si>
  <si>
    <t>Input wet treatment chemicals (from SimaPro)</t>
  </si>
  <si>
    <t>Amount per one t-shirt</t>
  </si>
  <si>
    <t>WWTP assumed at 90% efficiency for all chemicals (average).</t>
  </si>
  <si>
    <t>For all air emissions 0.1% is assumed to be emitted to urban air (average).</t>
  </si>
  <si>
    <t>Average case:</t>
  </si>
  <si>
    <t>Air emission (kg) per one t-shirt</t>
  </si>
  <si>
    <t>Water emission (kg) per one t-shirt</t>
  </si>
  <si>
    <t>CTU from Water emissions</t>
  </si>
  <si>
    <t>CTU from Air  emissions</t>
  </si>
  <si>
    <t>CTU total</t>
  </si>
  <si>
    <t>Carc.</t>
  </si>
  <si>
    <t>Non-carc.</t>
  </si>
  <si>
    <t>Freshwater</t>
  </si>
  <si>
    <t>Control</t>
  </si>
  <si>
    <t>Figures for wet treatment of 1.15*0,110 kg cotton tricot for T-shirt (15% cutting waste and 110 g t-shirt)</t>
  </si>
  <si>
    <t>Polyurethane, flexible foam, at plant/RER S</t>
  </si>
  <si>
    <t>Weaving to fabric 300 dtex (mix)</t>
  </si>
  <si>
    <t>Drying and fixation of cellulosics in stenter frame (mix)</t>
  </si>
  <si>
    <t>Production of jeans, average, per kg</t>
  </si>
  <si>
    <t>Wet treatment</t>
  </si>
  <si>
    <t>Amount per one pair of jeans</t>
  </si>
  <si>
    <t xml:space="preserve">Figures for wet treatment of 0.2125 kg weft yarn and 0.496 kg warp yarn, for 1 pair of jeans (20% cutting waste, product weight 477 g). </t>
  </si>
  <si>
    <t>95% on fabric</t>
  </si>
  <si>
    <t>Polyethylene terephthalate, granulate, amorphous {RER}| production | Alloc Def, S</t>
  </si>
  <si>
    <t>Ring spinning to yarn, synthetic 200 dtex (mix)</t>
  </si>
  <si>
    <t>Weaving to fabric 150 dtex (mix)</t>
  </si>
  <si>
    <t>Pretreatment in jet machine of PES weave before printing, average (mix)</t>
  </si>
  <si>
    <t>Printing polyester weave 50 percent coverage, black</t>
  </si>
  <si>
    <t>Drying and fixation of synthetics in stenter frame (mix)</t>
  </si>
  <si>
    <t>Confectioning of dress, per kg (mix)</t>
  </si>
  <si>
    <t>Production of dress, average, per kg</t>
  </si>
  <si>
    <t>Amount per one dress</t>
  </si>
  <si>
    <t>Figures for wet treatment of 0.231 kg black tricot and 0.241 kg printed exterior, for 1 dress (20% cutting waste and product weight 478 g).</t>
  </si>
  <si>
    <t>Wet treatment toxicity results for Production of T-shirt, average, for one t-shirt</t>
  </si>
  <si>
    <t>Production of jacket, average, per kg</t>
  </si>
  <si>
    <t>Polyethylene terephthalate, granulate, amorphous, at plant/RER S</t>
  </si>
  <si>
    <t>Nylon 6, at plant/RER S</t>
  </si>
  <si>
    <t>Melt spinning of PA6 to fibers (mix)</t>
  </si>
  <si>
    <t>Dry spinning of elastane to fibres (mix)</t>
  </si>
  <si>
    <t>Non woven process (CN)</t>
  </si>
  <si>
    <t>Confectioning of jacket, per kg (mix)</t>
  </si>
  <si>
    <t>Dyeing PA6 weave black in beam dyeing machine, average (mix)</t>
  </si>
  <si>
    <t>Dyeing PA6 weave olive in beam dyeing machine, average (mix)</t>
  </si>
  <si>
    <t>Dyeing PES weave orange in beam dyeing machine, average (mix)</t>
  </si>
  <si>
    <t>Yellow disperse dyestuff PA, BAT</t>
  </si>
  <si>
    <t>Blue disperse dyestuff PA, BAT</t>
  </si>
  <si>
    <t>DWR agent</t>
  </si>
  <si>
    <t>Wet treatment toxicity results for Production of jacket average, for one jacket</t>
  </si>
  <si>
    <t>Wet treatment toxicity results for Production of dress average, for one dress</t>
  </si>
  <si>
    <t>Wet treatment toxicity results for Production of jeans average, for one pair of jeans</t>
  </si>
  <si>
    <t>Jacket - life cycle</t>
  </si>
  <si>
    <t>Yellow disperse dyestuff PES, average</t>
  </si>
  <si>
    <t>Red disperse dyestuff PES, average</t>
  </si>
  <si>
    <t>Amount per one jacket</t>
  </si>
  <si>
    <t>Figures for wet treatment of 0.120 kg black PA6 weave, 0.350 kg olive PA6 weave and 0.150 kg orange PES weave, for 1 dress (20% cutting waste and product weight 444 g).</t>
  </si>
  <si>
    <t>Fabric and garment production</t>
  </si>
  <si>
    <t>Distribution and retail</t>
  </si>
  <si>
    <t>GWP100</t>
  </si>
  <si>
    <t>Freshwater EP</t>
  </si>
  <si>
    <t>Terrestrial AP</t>
  </si>
  <si>
    <t>POCP</t>
  </si>
  <si>
    <t>Freshwater consumption</t>
  </si>
  <si>
    <t>Agricultural land occ.</t>
  </si>
  <si>
    <t>Human toxicity (non-carc.)</t>
  </si>
  <si>
    <t>Human toxicity (carc.)</t>
  </si>
  <si>
    <t>Freshwater ecotoxicity</t>
  </si>
  <si>
    <t>PED (net)</t>
  </si>
  <si>
    <t>Inclusive toxicity</t>
  </si>
  <si>
    <t>Dyeing cotton/PES weave (mix)</t>
  </si>
  <si>
    <t>Confectioning of uniform, per kg</t>
  </si>
  <si>
    <t>Production of hospital uniform, average, per kg</t>
  </si>
  <si>
    <t>Amount per one uniform</t>
  </si>
  <si>
    <t>Method in SimaPro</t>
  </si>
  <si>
    <t>Fibre production - PES</t>
  </si>
  <si>
    <t>Garment prod. - Confectioning</t>
  </si>
  <si>
    <t>Industrial laundry</t>
  </si>
  <si>
    <t>Distribution to clients</t>
  </si>
  <si>
    <t>GWP100 (ReCiPe 1.08) [kg CO2 eq.]</t>
  </si>
  <si>
    <t>ILCD 2011 Midpoint+ V1.05 / EU27 2010, equal weighting</t>
  </si>
  <si>
    <t>Freshwater EP (ReCiPe 1.08) [kg P eq.]</t>
  </si>
  <si>
    <t>ILCD 2011 Midpoint+ V1.05 / EU27 2010, equal weighting (uses ReCiPe 1.05)</t>
  </si>
  <si>
    <t>Terrestrial AP (ReCiPe 1.08) [kg SO2 eq.]</t>
  </si>
  <si>
    <t>POCP (ReCiPe 1.08) [kg NMVOC eq.]</t>
  </si>
  <si>
    <t>Swiss Ecoscarcity model (Frischknecht and Knöpfel, 2013 )</t>
  </si>
  <si>
    <t>Agr. land occ. (ReCiPe 1.08) [m2a]</t>
  </si>
  <si>
    <t>ReCiPe version 1.11</t>
  </si>
  <si>
    <t>Human toxicity (carc., USEtox) [CTUh]</t>
  </si>
  <si>
    <t>Ecotoxicity (USEtox) [CTUeco]</t>
  </si>
  <si>
    <t>PED (net) [MJ]</t>
  </si>
  <si>
    <t>CML-IA baseline</t>
  </si>
  <si>
    <t>Blue reactive dyestuff CO, average</t>
  </si>
  <si>
    <t>Blue VAT dyestuff , BAT</t>
  </si>
  <si>
    <t>Hospital uniform - life cycle</t>
  </si>
  <si>
    <t>Wet treatment toxicity results for Production of uniform average, for one uniform</t>
  </si>
  <si>
    <t>ILCD impact score</t>
  </si>
  <si>
    <t>Figures for wet treatment of 0.408 kg blue CO/PES weave, for 1 uniform (20% cutting waste and product weight 340 g).</t>
  </si>
  <si>
    <t>IPCC global warming, excl biogenic carbon</t>
  </si>
  <si>
    <t>kg CO2-Equiv.</t>
  </si>
  <si>
    <t>EOL_transport</t>
  </si>
  <si>
    <t>fabric prod.-drying knitted</t>
  </si>
  <si>
    <t>Fabric prod.-drying woven</t>
  </si>
  <si>
    <t>fiber prod.-melt spinning</t>
  </si>
  <si>
    <t>Fiber prod.-yarn spinning</t>
  </si>
  <si>
    <t>Garment prod. - Sew &amp; conf.</t>
  </si>
  <si>
    <t>retail</t>
  </si>
  <si>
    <t>retail_Transport</t>
  </si>
  <si>
    <t>retail-Energy</t>
  </si>
  <si>
    <t>Production-transport</t>
  </si>
  <si>
    <t>use_ wash</t>
  </si>
  <si>
    <t>use_drying</t>
  </si>
  <si>
    <t>use_iron</t>
  </si>
  <si>
    <t>use_transport</t>
  </si>
  <si>
    <t>Production-waste treatment</t>
  </si>
  <si>
    <t xml:space="preserve">1.510867894
</t>
  </si>
  <si>
    <t>Freshwater eutrophication, EUTREND model, ReCiPe</t>
  </si>
  <si>
    <t>kg P eq</t>
  </si>
  <si>
    <t>Photochemical ozone formation, LOTOS-EUROS model, ReCiPe</t>
  </si>
  <si>
    <t>kg NMVOC</t>
  </si>
  <si>
    <t>ReCiPe 1.08 Midpoint (H) - Agricultural land occupation</t>
  </si>
  <si>
    <t>USEtox, Human toxicity, non-canc. (recommended)</t>
  </si>
  <si>
    <t>CTUh</t>
  </si>
  <si>
    <t>Acidification, accumulated exceedance</t>
  </si>
  <si>
    <t>Mole of H+ eq.</t>
  </si>
  <si>
    <t>USEtox, Human toxicity, cancer (recommended)</t>
  </si>
  <si>
    <t>USEtox, Ecotoxicity (recommended)</t>
  </si>
  <si>
    <t>CTUe</t>
  </si>
  <si>
    <t>Primary energy from non renewable resources (net cal. value)</t>
  </si>
  <si>
    <t>Total freshwater consumption, including rainwater, Swiss Ecoscarcity</t>
  </si>
  <si>
    <t>m2a</t>
  </si>
  <si>
    <t>Prod</t>
  </si>
  <si>
    <t>Human toxicity non-canc. effects, USEtox (recommended)</t>
  </si>
  <si>
    <t>Human toxicity cancer effects, USEtox (recommended)</t>
  </si>
  <si>
    <t>Total freshwater consumption (including rainwater)</t>
  </si>
  <si>
    <t>Production</t>
  </si>
  <si>
    <t>ILCD score</t>
  </si>
  <si>
    <r>
      <t>Agr. land occ. [m</t>
    </r>
    <r>
      <rPr>
        <vertAlign val="superscript"/>
        <sz val="10"/>
        <color theme="1"/>
        <rFont val="Calibri"/>
        <family val="2"/>
        <scheme val="minor"/>
      </rPr>
      <t>2</t>
    </r>
    <r>
      <rPr>
        <sz val="10"/>
        <color theme="1"/>
        <rFont val="Calibri"/>
        <family val="2"/>
        <scheme val="minor"/>
      </rPr>
      <t>a]</t>
    </r>
  </si>
  <si>
    <t>Baseline LC</t>
  </si>
  <si>
    <t>LC + extra tox</t>
  </si>
  <si>
    <t>Baseline Production</t>
  </si>
  <si>
    <t>Production + extra tox</t>
  </si>
  <si>
    <t>Agr. land occ. [m2a]</t>
  </si>
  <si>
    <t xml:space="preserve">Fabric production </t>
  </si>
  <si>
    <t>Garment production</t>
  </si>
  <si>
    <t>Use phase transport</t>
  </si>
  <si>
    <t>Laundry</t>
  </si>
  <si>
    <t>Not energy related</t>
  </si>
  <si>
    <t>Dyeing denim cotton yarn</t>
  </si>
  <si>
    <t>References</t>
  </si>
  <si>
    <t>For the purpose of the study in Roos et al. (2016), the Cotton Inc. data as implemented in GaBi v6.0 was used without any modifications (Cotton Incorporated 2012).</t>
  </si>
  <si>
    <t>Below are shown the characterized results with the ILCD impact assessment method as implemented in GaBi v6.0</t>
  </si>
  <si>
    <t>COTTON, CHARACTERISED ILCD in GaBi v6.0</t>
  </si>
  <si>
    <t>PED (non-renewable, net) [MJ]*</t>
  </si>
  <si>
    <t>COTTON, CHARACTERISED ILCD in SimaPro**</t>
  </si>
  <si>
    <t>*LCI results</t>
  </si>
  <si>
    <t>** ILCD 2011 Midpoint+ V1.08 / EU27 2010, equal weighting</t>
  </si>
  <si>
    <t>Roos, S., Zamani, B., Sandin, G., Peters, G.M., Svanström, M., 2016. A life cycle assessment (LCA)-based approach to guiding an industry sector towards sustainability: the case of the Swedish apparel sector. J. Clean. Prod. 133. doi:10.1016/j.jclepro.2016.05.146</t>
  </si>
  <si>
    <t>Yarn bleaching of cotton/elastane yarn in OBEM machine, average (mix)</t>
  </si>
  <si>
    <t>Yarn bleaching of cotton/elastane yarn in OBEM machine, BAT process (mix)</t>
  </si>
  <si>
    <t>Yarn bleaching of cotton/elastane yarn in OBEM machine, worst case process (mix)</t>
  </si>
  <si>
    <t>Yarn bleaching of cotton/elastane yarn in OBEM machine, worst case chemicals (mix)</t>
  </si>
  <si>
    <t>Yarn bleaching of cotton/elastane yarn in OBEM machine, BAT chemicals (mix)</t>
  </si>
  <si>
    <t>Bleached cotton yarn</t>
  </si>
  <si>
    <t>Air emissions from 1 kg Wetting/Penetration agent (synthetic), average</t>
  </si>
  <si>
    <t>Air emissions from 1 kg Base (alkali) (NaOH), average</t>
  </si>
  <si>
    <t>Air emissions from 1 kg Optical brightener, average</t>
  </si>
  <si>
    <t>Air emissions from 1 kg Softener, average</t>
  </si>
  <si>
    <t>Water emissions from 1 kg Detergent/Wetting agent, average</t>
  </si>
  <si>
    <t>Water emissions from 1 kg Base (alkali) (NaOH), average</t>
  </si>
  <si>
    <t>Model emissions, average process performance</t>
  </si>
  <si>
    <t>Direct tox</t>
  </si>
  <si>
    <t>Impact assessment with ILCD per kg process</t>
  </si>
  <si>
    <t>Pad-steam denim dyeing, average (mix)</t>
  </si>
  <si>
    <t>Pad-steam denim dyeing, BAT process (mix)</t>
  </si>
  <si>
    <t>Pad-steam denim dyeing, worst case process (mix)</t>
  </si>
  <si>
    <t>Pad-steam denim dyeing, BAT chemicals (mix)</t>
  </si>
  <si>
    <t>Pad-steam denim dyeing, worst case chemicals (mix)</t>
  </si>
  <si>
    <t>Indigo dyed cotton yarn</t>
  </si>
  <si>
    <t>Air emissions from 1 kg Antifoaming agent, average</t>
  </si>
  <si>
    <t>Air emissions from 1 kg Blue VAT dyestuff (indigo), average</t>
  </si>
  <si>
    <t>Air emissions from 1 kg Reducing agent, average</t>
  </si>
  <si>
    <t>Air emissions from 1 kg Wetting/Penetrating agent, cellulosic, average</t>
  </si>
  <si>
    <t>Air emissions from 1 kg Conducting salt (NaSO4), average</t>
  </si>
  <si>
    <t>Air emissions from 1 kg Acid (sulphuric acid), average</t>
  </si>
  <si>
    <t>Air emissions from 1 kg Base/Soda ash (Na2CO3), average</t>
  </si>
  <si>
    <t>Air emissions from 1 kg Sizing agent, average</t>
  </si>
  <si>
    <t>Air emissions from 1 kg Oxidizing agent (H2O2), average</t>
  </si>
  <si>
    <t>Water emissions from 1 kg Blue VAT dyestuff (indigo), average</t>
  </si>
  <si>
    <t>Water emissions from 1 kg Reducing agent, average</t>
  </si>
  <si>
    <t>Water emissions from 1 kg Wetting/Penetrating agent, cellulosic, average</t>
  </si>
  <si>
    <t>Water emissions from 1 kg Conducting salt (NaSO4), average</t>
  </si>
  <si>
    <t>Water emissions from 1 kg Acid (sulphuric acid), average</t>
  </si>
  <si>
    <t>Water emissions from 1 kg Base/Soda ash (Na2CO3), average</t>
  </si>
  <si>
    <t>Water emissions from 1 kg Sizing agent, average</t>
  </si>
  <si>
    <t>Water emissions from 1 kg Oxidizing agent (H2O2), average</t>
  </si>
  <si>
    <t>1:5 ratio</t>
  </si>
  <si>
    <t>10% of fabric weight</t>
  </si>
  <si>
    <t>BAT and worst case chemicals are found in Sheet 36</t>
  </si>
  <si>
    <t>Dyeing PES tricot black in jet dyeing machine, BAT process (mix)</t>
  </si>
  <si>
    <t>Dyeing PES tricot black in jet dyeing machine, worst case process (mix)</t>
  </si>
  <si>
    <t>Dyeing PES tricot black in jet dyeing machine, BAT chemicals (mix)</t>
  </si>
  <si>
    <t>Dyeing PES tricot black in jet dyeing machine, worst case chemicals (mix)</t>
  </si>
  <si>
    <t>Black dyed PES tricot</t>
  </si>
  <si>
    <t>Air emissions from 1 kg Base (alkali) (Na2CO3), average</t>
  </si>
  <si>
    <t>Air emissions from 1 kg Dispergent, average</t>
  </si>
  <si>
    <t>Air emissions from 1 kg Decalcifier ((NH4)2SO4), average</t>
  </si>
  <si>
    <t>Air emissions from 1 kg Antireduction agent (H2O2), average</t>
  </si>
  <si>
    <t>Air emissions from 1 kg Black disperse dyestuff PA, BAT</t>
  </si>
  <si>
    <t>Air emissions from 1 kg Soda (CaCO3), average</t>
  </si>
  <si>
    <t>Water emissions from 1 kg Base (alkali) (Na2CO3), average</t>
  </si>
  <si>
    <t>Water emissions from 1 kg Dispergent, average</t>
  </si>
  <si>
    <t>Water emissions from 1 kg Decalcifier ((NH4)2SO4), average</t>
  </si>
  <si>
    <t>Water emissions from 1 kg Antireduction agent (H2O2), average</t>
  </si>
  <si>
    <t>Water emissions from 1 kg Black disperse dyestuff PA, BAT</t>
  </si>
  <si>
    <t>Water emissions from 1 kg Detergent/Wetting agent, BAT</t>
  </si>
  <si>
    <t>Black disperse dyestuff PES, average</t>
  </si>
  <si>
    <t>Air emissions from 1 kg Black disperse dyestuff PES, average</t>
  </si>
  <si>
    <t>Water emissions from 1 kg Black disperse dyestuff PES, average</t>
  </si>
  <si>
    <t>Pretreatment in jet machine of PES weave before printing, BAT process (mix)</t>
  </si>
  <si>
    <t>Pretreatment in jet machine of PES weave before printing, worst case process (mix)</t>
  </si>
  <si>
    <t>Pretreatment in jet machine of PES weave before printing, BAT chemicals (mix)</t>
  </si>
  <si>
    <t>Pretreatment in jet machine of PES weave before printing, worst case chemicals (mix)</t>
  </si>
  <si>
    <t>Pretreated PES weave</t>
  </si>
  <si>
    <t>Air emissions from 1 kg Lubricant, average (Albafluid CD)</t>
  </si>
  <si>
    <t>Air emissions from 1 kg Detergent, for print (Ultravon PRE)</t>
  </si>
  <si>
    <t>Water emissions from 1 kg Lubricant, average (Albafluid CD)</t>
  </si>
  <si>
    <t>Water emissions from 1 kg Detergent, for print (Ultravon PRE)</t>
  </si>
  <si>
    <t>Dispersion print of PES weave on rotation printer, average (mix)</t>
  </si>
  <si>
    <t>Dispersion print of PES weave on rotation printer, BAT process (mix)</t>
  </si>
  <si>
    <t>Dispersion print of PES weave on rotation printer, worst case process (mix)</t>
  </si>
  <si>
    <t>Dispersion print of PES weave on rotation printer, BAT chemicals (mix)</t>
  </si>
  <si>
    <t>Dispersion print of PES weave on rotation printer, worst case chemicals (mix)</t>
  </si>
  <si>
    <t>1:5 ratio for jet machine assumed</t>
  </si>
  <si>
    <t>Dyeing PA6 weave black in beam dyeing machine, BAT process (mix)</t>
  </si>
  <si>
    <t>Dyeing PA6 weave black in beam dyeing machine, worst case process (mix)</t>
  </si>
  <si>
    <t>Dyeing PA6 weave black in beam dyeing machine, BAT chemicals (mix)</t>
  </si>
  <si>
    <t>Dyeing PA6 weave black in beam dyeing machine, worst case chemicals (mix)</t>
  </si>
  <si>
    <t>Black dyed PA6 weave</t>
  </si>
  <si>
    <t>5% of fabric weight</t>
  </si>
  <si>
    <t>1 % of fabric weight</t>
  </si>
  <si>
    <t>0.15 % of fabric weight</t>
  </si>
  <si>
    <t>DWR agent, average</t>
  </si>
  <si>
    <t>Air emissions from 1 kg Yellow disperse dyestuff PA, BAT</t>
  </si>
  <si>
    <t>Air emissions from 1 kg Blue disperse dyestuff PA, BAT</t>
  </si>
  <si>
    <t>Air emissions from 1 kg DWR agent, average</t>
  </si>
  <si>
    <t>Water emissions from 1 kg Yellow disperse dyestuff PA, BAT</t>
  </si>
  <si>
    <t>Water emissions from 1 kg Blue disperse dyestuff PA, BAT</t>
  </si>
  <si>
    <t>Water emissions from 1 kg DWR agent, average</t>
  </si>
  <si>
    <t>Dyeing PES weave orange in beam dyeing machine, BAT process (mix)</t>
  </si>
  <si>
    <t>Dyeing PES weave orange in beam dyeing machine, worst case process (mix)</t>
  </si>
  <si>
    <t>Dyeing PES weave orange in beam dyeing machine, BAT chemicals (mix)</t>
  </si>
  <si>
    <t>Dyeing PES weave orange in beam dyeing machine, worst case chemicals (mix)</t>
  </si>
  <si>
    <t>Orange dyed PES weave</t>
  </si>
  <si>
    <t>0.6 % of fabric weight</t>
  </si>
  <si>
    <t>1.3 % of fabric weight</t>
  </si>
  <si>
    <t>Air emissions from 1 kg Yellow disperse dyestuff PES, average</t>
  </si>
  <si>
    <t>Air emissions from 1 kg Red disperse dyestuff PES, average</t>
  </si>
  <si>
    <t>Water emissions from 1 kg Yellow disperse dyestuff PES, average</t>
  </si>
  <si>
    <t>Water emissions from 1 kg Red disperse dyestuff PES, average</t>
  </si>
  <si>
    <t>Dyeing CO/EL tricot green in jet dyeing machine, average (mix)</t>
  </si>
  <si>
    <t>Dyeing CO/EL tricot green in jet dyeing machine, BAT process (mix)</t>
  </si>
  <si>
    <t>Dyeing CO/EL tricot green in jet dyeing machine, worst case process (mix)</t>
  </si>
  <si>
    <t>Dyeing CO/EL tricot green in jet dyeing machine, BAT chemicals (mix)</t>
  </si>
  <si>
    <t>Dyeing CO/EL tricot green in jet dyeing machine, worst case chemicals (mix)</t>
  </si>
  <si>
    <t>Green dyed CO/EL tricot</t>
  </si>
  <si>
    <t xml:space="preserve">Wetting agent/Penetration agent, average </t>
  </si>
  <si>
    <t>Detergent, average</t>
  </si>
  <si>
    <t>Green reactive dyestuff, average</t>
  </si>
  <si>
    <t xml:space="preserve">Water emissions from 1 kg Wetting agent/Penetration agent, average </t>
  </si>
  <si>
    <t xml:space="preserve">Air emissions from 1 kg Wetting agent/Penetration agent, average </t>
  </si>
  <si>
    <t>Air emissions from 1 kg Detergent, average</t>
  </si>
  <si>
    <t>Reactive Green 19</t>
  </si>
  <si>
    <t>61931-49-5</t>
  </si>
  <si>
    <t># Suspected mutagen: KNN Mutagenicity model in VEGA (Q)SAR platform predicts that the chemical is Mutagen (moderate reliability) # Suspected persistent in the environment: The Danish QSAR database contains information indicating that the substance is predicted as non readily biodegradable # Suspected skin sensitiser: The Toolbox profiler Protein binding alerts for skin sensitization by OASIS v1.3 gives an alert for skin sensitisation</t>
  </si>
  <si>
    <t>Reactive dyestuff, average</t>
  </si>
  <si>
    <t>Air emissions from 1 kg Reactive dyestuff, average</t>
  </si>
  <si>
    <t>Water emissions from 1 kg Reactive dyestuff, average</t>
  </si>
  <si>
    <t>Dyeing cotton&amp;PES weave</t>
  </si>
  <si>
    <t>Dyeing cotton/PES weave, average (mix)</t>
  </si>
  <si>
    <t>Dyeing cotton/PES weave, BAT process (mix)</t>
  </si>
  <si>
    <t>Dyeing cotton/PES weave, worst case process (mix)</t>
  </si>
  <si>
    <t>Dyeing cotton/PES weave, BAT chemicals (mix)</t>
  </si>
  <si>
    <t>Dyeing cotton/PES weave, worst case chemicals (mix)</t>
  </si>
  <si>
    <t>Blue dyed CO/PES weave</t>
  </si>
  <si>
    <t>Air emissions from 1 kg Bleach, hydrogen peroxide</t>
  </si>
  <si>
    <t>Air emissions from 1 kg Blue VAT dyestuff , BAT</t>
  </si>
  <si>
    <t>Air emissions from 1 kg Blue reactive dyestuff CO, average</t>
  </si>
  <si>
    <t>Air emissions from 1 kg Acid, acetic acid, BAT</t>
  </si>
  <si>
    <t>Water emissions from 1 kg Bleach, hydrogen peroxide</t>
  </si>
  <si>
    <t>Water emissions from 1 kg Acid, acetic acid, BAT</t>
  </si>
  <si>
    <t>Water emissions from 1 kg Blue VAT dyestuff , BAT</t>
  </si>
  <si>
    <t>Water emissions from 1 kg Blue reactive dyestuff CO, average</t>
  </si>
  <si>
    <t>Circular knitting, average (mix)</t>
  </si>
  <si>
    <t>Circular knitting, BAT process (mix)</t>
  </si>
  <si>
    <t>Circular knitting, worst case process (mix)</t>
  </si>
  <si>
    <t>Circular knitting, BAT chemicals (mix)</t>
  </si>
  <si>
    <t>Circular knitting, worst case chemicals (mix)</t>
  </si>
  <si>
    <t>Flat knitting, average (mix)</t>
  </si>
  <si>
    <t>Flat knitting, BAT process (mix)</t>
  </si>
  <si>
    <t>Flat knitting, worst case process (mix)</t>
  </si>
  <si>
    <t>Flat knitting, BAT chemicals (mix)</t>
  </si>
  <si>
    <t>Flat knitting, worst case chemicals (mix)</t>
  </si>
  <si>
    <t>Weaving, 150 dtex, average (mix)</t>
  </si>
  <si>
    <t>Weaving, 150 dtex, BAT process (mix)</t>
  </si>
  <si>
    <t>Weaving, 150 dtex, worst case process (mix)</t>
  </si>
  <si>
    <t>Weaving, 150 dtex, BAT chemicals (mix)</t>
  </si>
  <si>
    <t>Weaving, 150 dtex, worst case chemicals (mix)</t>
  </si>
  <si>
    <t>Weaving, 300 dtex, average (mix)</t>
  </si>
  <si>
    <t>Weaving, 300 dtex, BAT process (mix)</t>
  </si>
  <si>
    <t>Weaving, 300 dtex, worst case process (mix)</t>
  </si>
  <si>
    <t>Weaving, 300 dtex, BAT chemicals (mix)</t>
  </si>
  <si>
    <t>Weaving, 300 dtex, worst case chemicals (mix)</t>
  </si>
  <si>
    <t>Non woven production, average (mix)</t>
  </si>
  <si>
    <t>Non woven production, BAT process (mix)</t>
  </si>
  <si>
    <t>Non woven production, worst case process (mix)</t>
  </si>
  <si>
    <t>Non woven production, BAT chemicals (mix)</t>
  </si>
  <si>
    <t>Non woven production, worst case chemicals (mix)</t>
  </si>
  <si>
    <t>Pretreatment of PES weave</t>
  </si>
  <si>
    <t>Dispersion print PES weave</t>
  </si>
  <si>
    <t>Drying cellulosics</t>
  </si>
  <si>
    <t>Drying synthetics</t>
  </si>
  <si>
    <t>Polyamide 6,6 fibre prod.</t>
  </si>
  <si>
    <t>Ring spinning CO/EL 150</t>
  </si>
  <si>
    <t>Ring spinning CO 300</t>
  </si>
  <si>
    <t>Air-jet spinning CO/PES 150</t>
  </si>
  <si>
    <t>Air-jet spinning PES 150</t>
  </si>
  <si>
    <t>Filament yarn production</t>
  </si>
  <si>
    <t>Drying and fixation of cellulosics, average (mix)</t>
  </si>
  <si>
    <t>Drying and fixation of cellulosics, BAT process (mix)</t>
  </si>
  <si>
    <t>Drying and fixation of cellulosics, worst case process (mix)</t>
  </si>
  <si>
    <t>Drying and fixation of cellulosics, BAT chemicals (mix)</t>
  </si>
  <si>
    <t>Drying and fixation of cellulosics, worst case chemicals (mix)</t>
  </si>
  <si>
    <t>Drying and fixation of synthetics, average (mix)</t>
  </si>
  <si>
    <t>Drying and fixation of synthetics, BAT process (mix)</t>
  </si>
  <si>
    <t>Drying and fixation of synthetics, worst case process (mix)</t>
  </si>
  <si>
    <t>Drying and fixation of synthetics, BAT chemicals (mix)</t>
  </si>
  <si>
    <t>Drying and fixation of synthetics, worst case chemicals (mix)</t>
  </si>
  <si>
    <t>Cutting, average (mix)</t>
  </si>
  <si>
    <t>Cutting, BAT process (mix)</t>
  </si>
  <si>
    <t>Cutting, worst case process (mix)</t>
  </si>
  <si>
    <t>Cutting, BAT chemicals (mix)</t>
  </si>
  <si>
    <t>Cutting, worst case chemicals (mix)</t>
  </si>
  <si>
    <t>Sewing, average (mix)</t>
  </si>
  <si>
    <t>Sewing, BAT process (mix)</t>
  </si>
  <si>
    <t>Sewing, worst case process (mix)</t>
  </si>
  <si>
    <t>Sewing, BAT chemicals (mix)</t>
  </si>
  <si>
    <t>Sewing, worst case chemicals (mix)</t>
  </si>
  <si>
    <t>Ironing and packaging, average (mix)</t>
  </si>
  <si>
    <t>Ironing and packaging, BAT process (mix)</t>
  </si>
  <si>
    <t>Ironing and packaging, worst case process (mix)</t>
  </si>
  <si>
    <t>Ironing and packaging, BAT chemicals (mix)</t>
  </si>
  <si>
    <t>Ironing and packaging, worst case chemicals (mix)</t>
  </si>
  <si>
    <t>10% less</t>
  </si>
  <si>
    <t>50% increase</t>
  </si>
  <si>
    <t>CO/EL yarn 150</t>
  </si>
  <si>
    <t>CO yarn 300</t>
  </si>
  <si>
    <t>Roos, S., Sandin, G., Zamani, B., Peters, G.M., 2015. Environmental assessment of Swedish fashion consumption. Five garments - sustainable futures. Mistra Future Fashion, Stockholm, Sweden.</t>
  </si>
  <si>
    <t>Swerea IVF's LCA database</t>
  </si>
  <si>
    <t>Cotton Incorporated, 2012. Life Cycle Assessment of Cotton Fiber &amp; Fabric Full Report, Cary, USA: Cotton Incorporated.</t>
  </si>
  <si>
    <t>Thickener, average</t>
  </si>
  <si>
    <t>Air emissions from 1 kg Thickener, average</t>
  </si>
  <si>
    <t>Water emissions from 1 kg Thickener, average</t>
  </si>
  <si>
    <t>Black pigment, average</t>
  </si>
  <si>
    <t>Air emissions from 1 kg Black pigment, average</t>
  </si>
  <si>
    <t>Water emissions from 1 kg Black pigment, average</t>
  </si>
  <si>
    <t>Reduction agent printing, average</t>
  </si>
  <si>
    <t>Air emissions from 1 kg Reduction agent printing, average</t>
  </si>
  <si>
    <t>Water emissions from 1 kg Reduction agent printing, average</t>
  </si>
  <si>
    <t>Dyeing PES weave orange in beam dyeing machine, average process (mix)</t>
  </si>
  <si>
    <t>Dyeing PES weave orange in beam dyeing machine, average chemicals (mix)</t>
  </si>
  <si>
    <t>average and worst case chemicals are found in Sheet 36</t>
  </si>
  <si>
    <t>Wetting agent/Penetration agent, average</t>
  </si>
  <si>
    <t>Air emissions from 1 kg Wetting agent/Penetration agent, average</t>
  </si>
  <si>
    <t>Water emissions from 1 kg Wetting agent/Penetration agent, average</t>
  </si>
  <si>
    <t>Sequestering agent/complex binder, average</t>
  </si>
  <si>
    <t>Air emissions from 1 kg Sequestering agent/complex binder, average</t>
  </si>
  <si>
    <t>Water emissions from 1 kg Sequestering agent/complex binder, average</t>
  </si>
  <si>
    <t>Direct toxicity</t>
  </si>
  <si>
    <t>54% is direct toxicity from emissions of pesticides to soil</t>
  </si>
  <si>
    <t>Fine knitted tricot</t>
  </si>
  <si>
    <r>
      <t>Agr. land occ. [m</t>
    </r>
    <r>
      <rPr>
        <vertAlign val="superscript"/>
        <sz val="10"/>
        <rFont val="Calibri"/>
        <family val="2"/>
        <scheme val="minor"/>
      </rPr>
      <t>2</t>
    </r>
    <r>
      <rPr>
        <sz val="10"/>
        <rFont val="Calibri"/>
        <family val="2"/>
        <scheme val="minor"/>
      </rPr>
      <t>a]</t>
    </r>
  </si>
  <si>
    <t>Coarse knitted tricot</t>
  </si>
  <si>
    <t>Dry fabric</t>
  </si>
  <si>
    <t>Cut pieces</t>
  </si>
  <si>
    <t>20% waste</t>
  </si>
  <si>
    <t>Sewn garments</t>
  </si>
  <si>
    <t>Packed garments</t>
  </si>
  <si>
    <t>European Commission, 2003. Integrated Pollution Prevention and Control (IPPC) Reference Document on Best Available Techniques for the Textiles Industry, Seville, Spain: European IPPC Bureau.</t>
  </si>
  <si>
    <t>Fabric production</t>
  </si>
  <si>
    <t>Airjet spinning CO/PES 150 dtex, average BG</t>
  </si>
  <si>
    <t>Airjet spinning PES 150 dtex, average BG</t>
  </si>
  <si>
    <t>Bleaching cotton tricot with optical brightener in jet machine, average BG</t>
  </si>
  <si>
    <t>Circular knitting to fine fabric, 150 dtex BG</t>
  </si>
  <si>
    <t>Cutting to pieces for confectioning BG</t>
  </si>
  <si>
    <t>Dispersion print of PES weave on rotation printer BG</t>
  </si>
  <si>
    <t>Dry spinning of elastane to fibres BG</t>
  </si>
  <si>
    <t>Drying and fixation of cellulosics in stenter frame BG</t>
  </si>
  <si>
    <t>Drying and fixation of synthetics in stenter frame BG</t>
  </si>
  <si>
    <t>Dyeing CO/EL tricot green in jet dyeing machine, average BG</t>
  </si>
  <si>
    <t>Dyeing cotton/PES weave, average BG</t>
  </si>
  <si>
    <t>Dyeing PA6 weave black in beam dyeing machine, average BG</t>
  </si>
  <si>
    <t>Dyeing PES tricot black in jet dyeing machine, average BG</t>
  </si>
  <si>
    <t>Dyeing PES weave orange in beam dyeing machine, average BG</t>
  </si>
  <si>
    <t>Filament DTY yarn, synthetic 100 dtex BG</t>
  </si>
  <si>
    <t>Flat knitting to coarse fabric, 300 dtex BG</t>
  </si>
  <si>
    <t>Ironing and packing textiles at factory BG</t>
  </si>
  <si>
    <t>Melt spinning of PA6 to fibers BG</t>
  </si>
  <si>
    <t>Melt spinning of PA66 to fibers BG</t>
  </si>
  <si>
    <t>Melt spinning of PES to fibers BG</t>
  </si>
  <si>
    <t>Non woven process BG</t>
  </si>
  <si>
    <t>Pad-steam denim dyeing BG</t>
  </si>
  <si>
    <t>Pretreatment in jet machine of PES weave before printing, average BG</t>
  </si>
  <si>
    <t>Ring spinning to yarn, 150 dtex BG</t>
  </si>
  <si>
    <t>Ring spinning to yarn, CO 300 dtex, average BG</t>
  </si>
  <si>
    <t>Sewing garments per kg BG</t>
  </si>
  <si>
    <t>Weaving to fabric 150 dtex BG</t>
  </si>
  <si>
    <t>Weaving to fabric 300 dtex BG</t>
  </si>
  <si>
    <t>Yarn bleaching of cotton/elastane yarn in OBEM machine BG</t>
  </si>
  <si>
    <t>Sheet/Data set No</t>
  </si>
  <si>
    <t>DG = datagap</t>
  </si>
  <si>
    <t>NEG = substance show no signs of this type of toxicity</t>
  </si>
  <si>
    <t>Chemical product number</t>
  </si>
  <si>
    <t>Ingredient list number</t>
  </si>
  <si>
    <t>TP F</t>
  </si>
  <si>
    <t>TP G</t>
  </si>
  <si>
    <t>Dyestuff D</t>
  </si>
  <si>
    <t>Stabilizer B</t>
  </si>
  <si>
    <t>Surfactant D</t>
  </si>
  <si>
    <t>Wetting agent B</t>
  </si>
  <si>
    <t>Dyestuff E</t>
  </si>
  <si>
    <t>Dyestuff F</t>
  </si>
  <si>
    <t>Dyestuff G</t>
  </si>
  <si>
    <t>TP H</t>
  </si>
  <si>
    <t>Lubricant A</t>
  </si>
  <si>
    <t>DWR agent D</t>
  </si>
  <si>
    <t>Wetting agent C</t>
  </si>
  <si>
    <t>TP I</t>
  </si>
  <si>
    <t>TP J</t>
  </si>
  <si>
    <t>Surfactant A</t>
  </si>
  <si>
    <t>TP K</t>
  </si>
  <si>
    <t>Dyestuff H</t>
  </si>
  <si>
    <t>Dyestuff I</t>
  </si>
  <si>
    <t>Dyestuff J</t>
  </si>
  <si>
    <t>DWR agent C</t>
  </si>
  <si>
    <t>Antifoaming agent B</t>
  </si>
  <si>
    <t>Surfactant B, R16 sodium salt</t>
  </si>
  <si>
    <t>Dyestuff K</t>
  </si>
  <si>
    <t>Surfactant C</t>
  </si>
  <si>
    <t>Function (see main article for explanations)</t>
  </si>
  <si>
    <t>compare</t>
  </si>
  <si>
    <t>NONYLPHENOL</t>
  </si>
  <si>
    <t>Dioctyl sodium sulfosuccinate</t>
  </si>
  <si>
    <t>Comments</t>
  </si>
  <si>
    <t>LC phase</t>
  </si>
  <si>
    <t>Yarn production</t>
  </si>
  <si>
    <t>Garment making</t>
  </si>
  <si>
    <r>
      <t>Agr. land occ. [kg C deficit</t>
    </r>
    <r>
      <rPr>
        <b/>
        <sz val="10"/>
        <color theme="1"/>
        <rFont val="Arial"/>
        <family val="2"/>
      </rPr>
      <t>]</t>
    </r>
  </si>
  <si>
    <r>
      <t>Agr. land occ. [m</t>
    </r>
    <r>
      <rPr>
        <b/>
        <vertAlign val="superscript"/>
        <sz val="10"/>
        <color theme="1"/>
        <rFont val="Arial"/>
        <family val="2"/>
      </rPr>
      <t>2</t>
    </r>
    <r>
      <rPr>
        <b/>
        <sz val="10"/>
        <color theme="1"/>
        <rFont val="Arial"/>
        <family val="2"/>
      </rPr>
      <t>a]*</t>
    </r>
  </si>
  <si>
    <t>Monomer/oligomer, terephthalate, dimethyl</t>
  </si>
  <si>
    <t>Monomer/oligomer, caprolactame</t>
  </si>
  <si>
    <t>Monomer/oligomer, hexamethylene diamine</t>
  </si>
  <si>
    <t>Monomer/oligomer, adipic acid</t>
  </si>
  <si>
    <t>Monomer/oligomer, adipic acid, compound with hexane-1,6-diamine (1:1)</t>
  </si>
  <si>
    <t>Dimethyl terephthalate</t>
  </si>
  <si>
    <t>Caprolactame</t>
  </si>
  <si>
    <t>Dimethylformamide</t>
  </si>
  <si>
    <t>Catalyst, antimony</t>
  </si>
  <si>
    <t>Antimony</t>
  </si>
  <si>
    <t>Accelerator, cobalt</t>
  </si>
  <si>
    <t>Cobalt bis (2-ethylhexanoate)</t>
  </si>
  <si>
    <t>136-52-7</t>
  </si>
  <si>
    <t>Accelerator, manganese</t>
  </si>
  <si>
    <t>2123-24-2</t>
  </si>
  <si>
    <t>Sodium caprolactam</t>
  </si>
  <si>
    <t>Accelerator, isocyanate</t>
  </si>
  <si>
    <t>Hexamethylene diisocyanate</t>
  </si>
  <si>
    <t>822-06-0</t>
  </si>
  <si>
    <t>Catalyst, sodium</t>
  </si>
  <si>
    <t>127-19-5</t>
  </si>
  <si>
    <t>68-12-2</t>
  </si>
  <si>
    <t>7440-36-0</t>
  </si>
  <si>
    <r>
      <t>Agr. land occ. [m</t>
    </r>
    <r>
      <rPr>
        <vertAlign val="superscript"/>
        <sz val="10"/>
        <color theme="1"/>
        <rFont val="Arial"/>
        <family val="2"/>
      </rPr>
      <t>2</t>
    </r>
    <r>
      <rPr>
        <sz val="10"/>
        <color theme="1"/>
        <rFont val="Arial"/>
        <family val="2"/>
      </rPr>
      <t>a]</t>
    </r>
  </si>
  <si>
    <t>Added to show there are different common knitting processes.</t>
  </si>
  <si>
    <t xml:space="preserve">Added to show there are two common PAs </t>
  </si>
  <si>
    <t>USEtox CFs from Roos, S., Holmquist, H., Jönsson, C., Arvidsson, R. (2017) USEtox characterization factors for textile chemicals based on a transparent data source selection strategy. The International Journal of Life Cycle Assessment, In press. DOI: 10.1007/s11367-017-1330-y.</t>
  </si>
  <si>
    <t>120-61-6</t>
  </si>
  <si>
    <t>105-60-2</t>
  </si>
  <si>
    <t>124-09-4</t>
  </si>
  <si>
    <t>124-04-9</t>
  </si>
  <si>
    <t>3323-53-3</t>
  </si>
  <si>
    <t>COMACC Cobalt, Cobalt bis (2-ethylhexanoate)</t>
  </si>
  <si>
    <t>process related</t>
  </si>
  <si>
    <t>+10%</t>
  </si>
  <si>
    <t>Solvent, average (DMAC)</t>
  </si>
  <si>
    <t>Solvent, worst case (DMF)</t>
  </si>
  <si>
    <t>Air emissions of Solvent, average (DMAC)</t>
  </si>
  <si>
    <t>ecotox</t>
  </si>
  <si>
    <t>Model emissions, average chemicals and process performance</t>
  </si>
  <si>
    <t>Acrylamide/sodium acrylate copolymer (approximation)</t>
  </si>
  <si>
    <t>Model emissions, average process performance with worst case chemicals regarding human tox, carc.</t>
  </si>
  <si>
    <t>Model emissions, average process performance with BAT chemicals regarding human tox, carc.</t>
  </si>
  <si>
    <t>For chemicals that have no worst case example, the double toxicity contribution is assumed:</t>
  </si>
  <si>
    <t>Fatty methylester sulfonate (R16) sodium salt</t>
  </si>
  <si>
    <t>n/a</t>
  </si>
  <si>
    <t>Guide to the sheets</t>
  </si>
  <si>
    <t>DWR agent, fluoro, average (Oleophobol S + C6)</t>
  </si>
  <si>
    <t>DWR agent, silicon, BAT (Phobotone BC New)</t>
  </si>
  <si>
    <t>Accelerator, cobalt, average</t>
  </si>
  <si>
    <t>Accelerator, isocyanate, average</t>
  </si>
  <si>
    <t>Bleach, hydrogen peroxide, BAT</t>
  </si>
  <si>
    <t>Wetting agent/Penetration agent, worst case (Cottoclarin ok 88 ECO)</t>
  </si>
  <si>
    <t>Sodium hypochlorite</t>
  </si>
  <si>
    <t>salt</t>
  </si>
  <si>
    <t>7681-52-9</t>
  </si>
  <si>
    <t>7647-01-0</t>
  </si>
  <si>
    <t>Hydrogen chloride gas</t>
  </si>
  <si>
    <t>7758-19-2</t>
  </si>
  <si>
    <t>10049-04-4</t>
  </si>
  <si>
    <t>Chlorine dioxide</t>
  </si>
  <si>
    <t>Sodium chlorite</t>
  </si>
  <si>
    <t>Bleach, sodium chlorite, average</t>
  </si>
  <si>
    <t>Bleach, sodium hypochlorite, worst case</t>
  </si>
  <si>
    <t>Model life cycle inventories for textile production, version 1.0</t>
  </si>
  <si>
    <t>assumption 1% of PDMS</t>
  </si>
  <si>
    <t>Generic chemical products inventory</t>
  </si>
  <si>
    <t>Breakdown product (Caulfield, 2002)</t>
  </si>
  <si>
    <t>Sheet 2-30: Model processes (guide not applicable for sheet 1. Cotton fibre production as this differs)</t>
  </si>
  <si>
    <t>Sheet 31-35: Model products</t>
  </si>
  <si>
    <t>European Commission. (2007). Reference Document on Best Available Techniques in the Production of Polymers. Seville, Spain.</t>
  </si>
  <si>
    <t>European Commission. (2003). Integrated Pollution Prevention and Control (IPPC) Reference Document on Best Available Techniques for the Textiles Industry. Seville, Spain: European IPPC Bureau.</t>
  </si>
  <si>
    <t>Fimreite, L. A., &amp; Blomstrand, K. (2009). Beräkning av textila produkters CO 2 -avtryck. Högskolan i Borås.</t>
  </si>
  <si>
    <t>Roos, S., Sandin, G., Zamani, B., &amp; Peters, G. M. (2015). Environmental assessment of Swedish fashion consumption. Five garments - sustainable futures. Stockholm, Sweden: Mistra Future Fashion. Retrieved from http://mistrafuturefashion.com/en/PublishingImages/Single-use pictures/Environmental assessment of Swedish fashion consumption - LCA.pdf</t>
  </si>
  <si>
    <t>Swerea IVF. (2018). Swerea IVF’s LCA database. Mölndal, Sweden: Swerea IVF AB. (includes data obtained from chemicals/textile producers that cannot be disclosed due to confidentiality reasons)</t>
  </si>
  <si>
    <t>van der Velden, N. M., Patel, M. K., &amp; Vogtländer, J. G. (2013). LCA benchmarking study on textiles made of cotton, polyester, nylon, acryl, or elastane. The International Journal of Life Cycle Assessment. https://doi.org/10.1007/s11367-013-0626-9</t>
  </si>
  <si>
    <t>Wendin, M. (2007). Underlag för miljöstrategi för Dem Collective – Livscykelanalys av t-shirt 2006. Gothenburg, Sweden.</t>
  </si>
  <si>
    <t>Fimreite</t>
  </si>
  <si>
    <t>Minimum application</t>
  </si>
  <si>
    <t>Idemat</t>
  </si>
  <si>
    <t>High toxicity</t>
  </si>
  <si>
    <t>High emission level</t>
  </si>
  <si>
    <t>Steam, in chemical industry {RoW}| production | Alloc Def, S</t>
  </si>
  <si>
    <t>van der Velden</t>
  </si>
  <si>
    <t>Diesel {GLO}| market for | Alloc Def, S</t>
  </si>
  <si>
    <t>Heavy fuel oil {RoW}| market for | Alloc Def, S</t>
  </si>
  <si>
    <t>Idemat. (2012). Database Idemat version 2.2. The Swiss Centre for Life Cycle Inventories.</t>
  </si>
  <si>
    <t>Koç, E., &amp; Kaplan, E. (2007). An Investigation on Energy Consumption in Yarn Production with Special Reference to Ring Spinning. Fibres &amp; Textiles in Eastern Europe, 15(4), 63.</t>
  </si>
  <si>
    <t>Koç</t>
  </si>
  <si>
    <t>Laursen</t>
  </si>
  <si>
    <t>Laursen, S. E., Hansen, J., Knudsen, H. H., Wenzel, H., Larsen, H. F., &amp; Kristensen, F. M. (2007). EDIPTEX – Environmental assessment of textiles, (24).</t>
  </si>
  <si>
    <t>No lower value is found</t>
  </si>
  <si>
    <t>Supplier data</t>
  </si>
  <si>
    <t>Sizing and de-sizing not included</t>
  </si>
  <si>
    <t>Roos, S. (2012). Livscykelanalys av Tencelfiber. Mölndal, Sweden: Swerea IVF Report 23497, Swerea IVF AB.</t>
  </si>
  <si>
    <t>Koç, E., &amp; Çinçik, E. (2010). Analysis of Energy Consumption in Woven Fabric Production. Fibres &amp; Textiles in Eastern Europe, 18(2), 14–20.</t>
  </si>
  <si>
    <t>Roos 2012</t>
  </si>
  <si>
    <t>IES. (2015). EPD Dinamica. Recycled PET microfibre for the internal coverings for the automotive sector. Retrieved from http://www.dinamicamiko.com/static/media/uploads/files/NEW_EPD_for_automotive_rev_2_ENG.pdf</t>
  </si>
  <si>
    <t>IES</t>
  </si>
  <si>
    <t>Swerea IVF. (2018). Swerea IVF’s LCA database. Mölndal, Sweden: Swerea IVF AB.</t>
  </si>
  <si>
    <t>Posner, S., Olsson, E., Roos, S., Jönsson, C., &amp; Fransson, K. (2018). Chemicals Guidance. Information on authorization and restrictions of substances used in textile and leather processes and products. Edition: January 2018. Gothenburg, Sweden.</t>
  </si>
  <si>
    <t>Roos, S. (2016). Advancing life cycle assessment of textile products to include textile chemicals. Inventory data and toxicity impact assessment. Chalmers University of Technology. Retrieved from http://publications.lib.chalmers.se/publication/246361</t>
  </si>
  <si>
    <t>Roos, S., Posner, S., Jönsson, C., Peters, G. M. G. M., J?nsson, C., &amp; Peters, G. M. G. M. (2015). Is unbleached cotton better than bleached? Exploring the limits of life cycle assessment in the textile sector. Clothing and Textiles Research Journal, 33(4). https://doi.org/10.1177/0887302X15576404</t>
  </si>
  <si>
    <t>Personal communication with Kaj Otterqvist, Swerea IVF</t>
  </si>
  <si>
    <t>Personal communication with Kerstin Berg, Huntsman</t>
  </si>
  <si>
    <t>Ash, M., Ash, I., 2004. Handbook of Green Chemicals, 2nd ed. Endicott, NY : Synapse Information Resources, New York.</t>
  </si>
  <si>
    <t>Beck, A., Scheringer, M., Hungerbühler, K., 2000. Fate modelling within LCA: The case of textile chemicals. Int. J. Life Cycle Assess. 5, 335–344.</t>
  </si>
  <si>
    <t>Lacasse, K., Baumann, W., 2004. Textile Chemicals- Environmental Data and Facts. Springer-Verlag, Dortmund, Germany.</t>
  </si>
  <si>
    <t>LeBlanc, R.J., Matthews, P., Richard, R.P., 2008. Global atlas of excreta, wastewater sludge, and biosolids management: moving forward the sustainable and welcome use of a global resource. Nairobi, Kenya.</t>
  </si>
  <si>
    <t>Olsson, E., Posner, S., Roos, S., Wilson, K., 2009. Kartläggning av kemikalieanvändning i kläder. Mölndal, Sweden.</t>
  </si>
  <si>
    <t>Roos, S., 2013. Livscykelanalys av kläder av Life Wear® bamboo (publik version). Mölndal, Sweden.</t>
  </si>
  <si>
    <t>TEGEWA, 2016. THK-online [WWW Document]. URL http://www.thk-online.net/ (accessed 5.25.16).</t>
  </si>
  <si>
    <t>Terinte, N., Manda, B.M.K., Taylor, J., Schuster, K.C., Patel, M.K., 2014. Environmental assessment of coloured fabrics and opportunities for value creation: spin-dyeing versus conventional dyeing of modal fabrics. J. Clean. Prod. 72, 127–138. doi:10.1016/j.jclepro.2014.02.002</t>
  </si>
  <si>
    <t>Lubricant, BAT</t>
  </si>
  <si>
    <t>Acid (formic acid), BAT</t>
  </si>
  <si>
    <t>Peroxide stabilizer, BAT</t>
  </si>
  <si>
    <t>Base (alkali) (NaOH), BAT</t>
  </si>
  <si>
    <t>Bleach (H2O2), BAT</t>
  </si>
  <si>
    <t>Optical brightener, BAT</t>
  </si>
  <si>
    <t>Acid (sulphuric acid), BAT</t>
  </si>
  <si>
    <t>Softener, BAT</t>
  </si>
  <si>
    <t>Air emissions from 1 kg Lubricant, BAT</t>
  </si>
  <si>
    <t>Air emissions from 1 kg Acid (formic acid), BAT</t>
  </si>
  <si>
    <t>Air emissions from 1 kg Peroxide stabilizer, BAT</t>
  </si>
  <si>
    <t>Air emissions from 1 kg Base (alkali) (NaOH), BAT</t>
  </si>
  <si>
    <t>Air emissions from 1 kg Bleach (H2O2), BAT</t>
  </si>
  <si>
    <t>Air emissions from 1 kg Optical brightener, BAT</t>
  </si>
  <si>
    <t>Air emissions from 1 kg Acid (sulfuric acid), BAT</t>
  </si>
  <si>
    <t>Air emissions from 1 kg Softener, BAT</t>
  </si>
  <si>
    <t>Water emissions from 1 kg Lubricant, BAT</t>
  </si>
  <si>
    <t>Water emissions from 1 kg Detergent, BAT</t>
  </si>
  <si>
    <t>Water emissions from 1 kg Acid (formic acid), BAT</t>
  </si>
  <si>
    <t>Water emissions from 1 kg Peroxide stabilizer, BAT</t>
  </si>
  <si>
    <t>Water emissions from 1 kg Base (NaOH), BAT</t>
  </si>
  <si>
    <t>Water emissions from 1 kg Bleach (H2O2), BAT</t>
  </si>
  <si>
    <t>Water emissions from 1 kg Optical brightener, BAT</t>
  </si>
  <si>
    <t>Water emissions from 1 kg Acid (sulfuric acid), BAT</t>
  </si>
  <si>
    <t>Water emissions from 1 kg Softener, BAT</t>
  </si>
  <si>
    <t>Lubricant, worst case</t>
  </si>
  <si>
    <t>Detergent/Wetting agent, worst case</t>
  </si>
  <si>
    <t>Acid (formic acid), worst case</t>
  </si>
  <si>
    <t>Peroxide stabilizer, worst case</t>
  </si>
  <si>
    <t>Base (alkali) (NaOH), worst case</t>
  </si>
  <si>
    <t>Bleach (H2O2), worst case</t>
  </si>
  <si>
    <t>Optical brightener, worst case</t>
  </si>
  <si>
    <t>Acid (sulphuric acid), worst case</t>
  </si>
  <si>
    <t>Softener, worst case</t>
  </si>
  <si>
    <t>Air emissions from 1 kg Lubricant, worst case</t>
  </si>
  <si>
    <t>Air emissions from 1 kg Detergent/Wetting agent, worst case</t>
  </si>
  <si>
    <t>Air emissions from 1 kg Acid (formic acid), worst case</t>
  </si>
  <si>
    <t>Air emissions from 1 kg Peroxide stabilizer, worst case</t>
  </si>
  <si>
    <t>Air emissions from 1 kg Base (alkali) (NaOH), worst case</t>
  </si>
  <si>
    <t>Air emissions from 1 kg Bleach (H2O2), worst case</t>
  </si>
  <si>
    <t>Air emissions from 1 kg Optical brightener, worst case</t>
  </si>
  <si>
    <t>Air emissions from 1 kg Acid (sulfuric acid), worst case</t>
  </si>
  <si>
    <t>Air emissions from 1 kg Softener, worst case</t>
  </si>
  <si>
    <t>Water emissions from 1 kg Lubricant, worst case</t>
  </si>
  <si>
    <t>Water emissions from 1 kg Detergent, worst case</t>
  </si>
  <si>
    <t>Water emissions from 1 kg Acid (formic acid), worst case</t>
  </si>
  <si>
    <t>Water emissions from 1 kg Peroxide stabilizer, worst case</t>
  </si>
  <si>
    <t>Water emissions from 1 kg Base (NaOH), worst case</t>
  </si>
  <si>
    <t>Water emissions from 1 kg Bleach (H2O2), worst case</t>
  </si>
  <si>
    <t>Water emissions from 1 kg Optical brightener, worst case</t>
  </si>
  <si>
    <t>Water emissions from 1 kg Acid (sulfuric acid), worst case</t>
  </si>
  <si>
    <t>Water emissions from 1 kg Softener, worst case</t>
  </si>
  <si>
    <t>Roos, S., &amp; Posner, S. (2011). Rekommendationer för hållbar upphandling av textilier (Swerea IVF). Mölndal, Sweden: Stockholms Läns Landsting (SLL).</t>
  </si>
  <si>
    <t>Roos and Posner 2011</t>
  </si>
  <si>
    <t>EU ecolabel criteria NOT assumed to be passed.</t>
  </si>
  <si>
    <t>4 baths, 1:3, no recirculation is made</t>
  </si>
  <si>
    <t>4 baths, 1:20, no recirculation is made</t>
  </si>
  <si>
    <t>Wetting/Penetration agent (synthetic), BAT</t>
  </si>
  <si>
    <t>Acid, sulfuric acid, BAT</t>
  </si>
  <si>
    <t>Air emissions from 1 kg Sequestering agent, BAT</t>
  </si>
  <si>
    <t>Air emissions from 1 kg Wetting/Penetration agent (synthetic), BAT</t>
  </si>
  <si>
    <t>Water emissions from 1 kg Sequestering agent, BAT</t>
  </si>
  <si>
    <t>Water emissions from 1 kg Wetting/Penetration agent (synthetic), BAT</t>
  </si>
  <si>
    <t>Water emissions from 1 kg Base (alkali) (NaOH), BAT</t>
  </si>
  <si>
    <t>Sequestering agent, worst case</t>
  </si>
  <si>
    <t>Wetting/Penetration agent (synthetic), worst case</t>
  </si>
  <si>
    <t>Acid, sulfuric acid, worst case</t>
  </si>
  <si>
    <t>Air emissions from 1 kg Sequestering agent, worst case</t>
  </si>
  <si>
    <t>Air emissions from 1 kg Wetting/Penetration agent (synthetic), worst case</t>
  </si>
  <si>
    <t>Water emissions from 1 kg Sequestering agent, worst case</t>
  </si>
  <si>
    <t>Water emissions from 1 kg Detergent/Wetting agent, worst case</t>
  </si>
  <si>
    <t>Water emissions from 1 kg Wetting/Penetration agent (synthetic), worst case</t>
  </si>
  <si>
    <t>Water emissions from 1 kg Base (alkali) (NaOH), worst case</t>
  </si>
  <si>
    <t>1:3 ratio</t>
  </si>
  <si>
    <t>1:10 ratio</t>
  </si>
  <si>
    <t>Antifoaming agent, BAT</t>
  </si>
  <si>
    <t>Blue VAT dyestuff (indigo), BAT</t>
  </si>
  <si>
    <t>Reducing agent, BAT</t>
  </si>
  <si>
    <t>Wetting/Penetrating agent, cellulosic, BAT</t>
  </si>
  <si>
    <t>Conducting salt (NaSO4), BAT</t>
  </si>
  <si>
    <t>Base/Soda ash (Na2CO3), BAT</t>
  </si>
  <si>
    <t>Sizing agent, BAT</t>
  </si>
  <si>
    <t>Oxidizing agent (H2O2), BAT</t>
  </si>
  <si>
    <t>Air emissions from 1 kg Antifoaming agent, BAT</t>
  </si>
  <si>
    <t>Air emissions from 1 kg Blue VAT dyestuff (indigo), BAT</t>
  </si>
  <si>
    <t>Air emissions from 1 kg Reducing agent, BAT</t>
  </si>
  <si>
    <t>Air emissions from 1 kg Wetting/Penetrating agent, cellulosic, BAT</t>
  </si>
  <si>
    <t>Air emissions from 1 kg Conducting salt (NaSO4), BAT</t>
  </si>
  <si>
    <t>Air emissions from 1 kg Acid (sulphuric acid), BAT</t>
  </si>
  <si>
    <t>Air emissions from 1 kg Base/Soda ash (Na2CO3), BAT</t>
  </si>
  <si>
    <t>Air emissions from 1 kg Sizing agent, BAT</t>
  </si>
  <si>
    <t>Air emissions from 1 kg Oxidizing agent (H2O2), BAT</t>
  </si>
  <si>
    <t>Water emissions from 1 kg Antifoaming agent, BAT</t>
  </si>
  <si>
    <t>Water emissions from 1 kg Blue VAT dyestuff (indigo), BAT</t>
  </si>
  <si>
    <t>Water emissions from 1 kg Reducing agent, BAT</t>
  </si>
  <si>
    <t>Water emissions from 1 kg Wetting/Penetrating agent, cellulosic, BAT</t>
  </si>
  <si>
    <t>Water emissions from 1 kg Conducting salt (NaSO4), BAT</t>
  </si>
  <si>
    <t>Water emissions from 1 kg Acid (sulphuric acid), BAT</t>
  </si>
  <si>
    <t>Water emissions from 1 kg Base/Soda ash (Na2CO3), BAT</t>
  </si>
  <si>
    <t>Water emissions from 1 kg Sizing agent, BAT</t>
  </si>
  <si>
    <t>Water emissions from 1 kg Oxidizing agent (H2O2), BAT</t>
  </si>
  <si>
    <t>Antifoaming agent, worst case</t>
  </si>
  <si>
    <t>Blue VAT dyestuff (indigo), worst case</t>
  </si>
  <si>
    <t>Reducing agent, worst case</t>
  </si>
  <si>
    <t>Wetting/Penetrating agent, cellulosic, worst case</t>
  </si>
  <si>
    <t>Conducting salt (NaSO4), worst case</t>
  </si>
  <si>
    <t>Base/Soda ash (Na2CO3), worst case</t>
  </si>
  <si>
    <t>Sizing agent, worst case</t>
  </si>
  <si>
    <t>Oxidizing agent (H2O2), worst case</t>
  </si>
  <si>
    <t>Air emissions from 1 kg Antifoaming agent, worst case</t>
  </si>
  <si>
    <t>Air emissions from 1 kg Blue VAT dyestuff (indigo), worst case</t>
  </si>
  <si>
    <t>Air emissions from 1 kg Reducing agent, worst case</t>
  </si>
  <si>
    <t>Air emissions from 1 kg Wetting/Penetrating agent, cellulosic, worst case</t>
  </si>
  <si>
    <t>Air emissions from 1 kg Conducting salt (NaSO4), worst case</t>
  </si>
  <si>
    <t>Air emissions from 1 kg Acid (sulphuric acid), worst case</t>
  </si>
  <si>
    <t>Air emissions from 1 kg Base/Soda ash (Na2CO3), worst case</t>
  </si>
  <si>
    <t>Air emissions from 1 kg Sizing agent, worst case</t>
  </si>
  <si>
    <t>Air emissions from 1 kg Oxidizing agent (H2O2), worst case</t>
  </si>
  <si>
    <t>Water emissions from 1 kg Antifoaming agent, worst case</t>
  </si>
  <si>
    <t>Water emissions from 1 kg Blue VAT dyestuff (indigo), worst case</t>
  </si>
  <si>
    <t>Water emissions from 1 kg Reducing agent, worst case</t>
  </si>
  <si>
    <t>Water emissions from 1 kg Wetting/Penetrating agent, cellulosic, worst case</t>
  </si>
  <si>
    <t>Water emissions from 1 kg Conducting salt (NaSO4), worst case</t>
  </si>
  <si>
    <t>Water emissions from 1 kg Acid (sulphuric acid), worst case</t>
  </si>
  <si>
    <t>Water emissions from 1 kg Base/Soda ash (Na2CO3), worst case</t>
  </si>
  <si>
    <t>Water emissions from 1 kg Sizing agent, worst case</t>
  </si>
  <si>
    <t>Water emissions from 1 kg Oxidizing agent (H2O2), worst case</t>
  </si>
  <si>
    <t>Worst case emission control</t>
  </si>
  <si>
    <t>Base (alkali) (Na2CO3), worst case</t>
  </si>
  <si>
    <t>Dispergent, worst case</t>
  </si>
  <si>
    <t>Decalcifier ((NH4)2SO4), worst case</t>
  </si>
  <si>
    <t>Antireduction agent (H2O2), worst case</t>
  </si>
  <si>
    <t>Black disperse dyestuff PES, worst case</t>
  </si>
  <si>
    <t>Soda (CaCO3), worst case</t>
  </si>
  <si>
    <t>Air emissions from 1 kg Base (alkali) (Na2CO3), worst case</t>
  </si>
  <si>
    <t>Air emissions from 1 kg Dispergent, worst case</t>
  </si>
  <si>
    <t>Air emissions from 1 kg Decalcifier ((NH4)2SO4), worst case</t>
  </si>
  <si>
    <t>Air emissions from 1 kg Antireduction agent (H2O2), worst case</t>
  </si>
  <si>
    <t>Air emissions from 1 kg Black disperse dyestuff PES, worst case</t>
  </si>
  <si>
    <t>Air emissions from 1 kg Soda (CaCO3), worst case</t>
  </si>
  <si>
    <t>Water emissions from 1 kg Base (alkali) (Na2CO3), worst case</t>
  </si>
  <si>
    <t>Water emissions from 1 kg Dispergent, worst case</t>
  </si>
  <si>
    <t>Water emissions from 1 kg Decalcifier ((NH4)2SO4), worst case</t>
  </si>
  <si>
    <t>Water emissions from 1 kg Antireduction agent (H2O2), worst case</t>
  </si>
  <si>
    <t>Water emissions from 1 kg Black disperse dyestuff PES, worst case</t>
  </si>
  <si>
    <t>Water emissions from 1 kg Soda (CaCO3), worst case</t>
  </si>
  <si>
    <t>Sequestering agent, BAT</t>
  </si>
  <si>
    <t>Base (alkali) (Na2CO3), BAT</t>
  </si>
  <si>
    <t>Dispergent, BAT</t>
  </si>
  <si>
    <t>Decalcifier ((NH4)2SO4), BAT</t>
  </si>
  <si>
    <t>Antireduction agent (H2O2), BAT</t>
  </si>
  <si>
    <t>Black disperse dyestuff PES, BAT</t>
  </si>
  <si>
    <t>Soda (CaCO3), BAT</t>
  </si>
  <si>
    <t>Air emissions from 1 kg Base (alkali) (Na2CO3), BAT</t>
  </si>
  <si>
    <t>Air emissions from 1 kg Dispergent, BAT</t>
  </si>
  <si>
    <t>Air emissions from 1 kg Decalcifier ((NH4)2SO4), BAT</t>
  </si>
  <si>
    <t>Air emissions from 1 kg Antireduction agent (H2O2), BAT</t>
  </si>
  <si>
    <t>Air emissions from 1 kg Black disperse dyestuff PES, BAT</t>
  </si>
  <si>
    <t>Air emissions from 1 kg Soda (CaCO3), BAT</t>
  </si>
  <si>
    <t>Water emissions from 1 kg Base (alkali) (Na2CO3), BAT</t>
  </si>
  <si>
    <t>Water emissions from 1 kg Dispergent, BAT</t>
  </si>
  <si>
    <t>Water emissions from 1 kg Decalcifier ((NH4)2SO4), BAT</t>
  </si>
  <si>
    <t>Water emissions from 1 kg Antireduction agent (H2O2), BAT</t>
  </si>
  <si>
    <t>Water emissions from 1 kg Black disperse dyestuff PES, BAT</t>
  </si>
  <si>
    <t>Water emissions from 1 kg Soda (CaCO3), BAT</t>
  </si>
  <si>
    <t>7 baths, 1:10 ratio</t>
  </si>
  <si>
    <t>7 baths, 1:5 ratio</t>
  </si>
  <si>
    <t>7 baths, 1:3 ratio</t>
  </si>
  <si>
    <t>7 baths, 1:20 ratio</t>
  </si>
  <si>
    <t>Lubricant, BAT (Albafluid CD)</t>
  </si>
  <si>
    <t>Air emissions from 1 kg Lubricant, BAT (Albafluid CD)</t>
  </si>
  <si>
    <t>Water emissions from 1 kg Lubricant, BAT (Albafluid CD)</t>
  </si>
  <si>
    <t>Lubricant, worst case (Albafluid CD)</t>
  </si>
  <si>
    <t>Air emissions from 1 kg Lubricant, worst case (Albafluid CD)</t>
  </si>
  <si>
    <t>Water emissions from 1 kg Lubricant, worst case (Albafluid CD)</t>
  </si>
  <si>
    <t>Thickener, BAT</t>
  </si>
  <si>
    <t>Reduction agent printing, BAT</t>
  </si>
  <si>
    <t>Black pigment, BAT</t>
  </si>
  <si>
    <t>Acid, formic acid, BAT</t>
  </si>
  <si>
    <t>Air emissions from 1 kg Thickener, BAT</t>
  </si>
  <si>
    <t>Air emissions from 1 kg Reduction agent printing, BAT</t>
  </si>
  <si>
    <t>Air emissions from 1 kg Black pigment, BAT</t>
  </si>
  <si>
    <t>Water emissions from 1 kg Thickener, BAT</t>
  </si>
  <si>
    <t>Water emissions from 1 kg Reduction agent printing, BAT</t>
  </si>
  <si>
    <t>Water emissions from 1 kg Black pigment, BAT</t>
  </si>
  <si>
    <t>Thickener, worst case</t>
  </si>
  <si>
    <t>Reduction agent printing, worst case</t>
  </si>
  <si>
    <t>Black pigment, worst case</t>
  </si>
  <si>
    <t>Acid, formic acid, worst case</t>
  </si>
  <si>
    <t>Air emissions from 1 kg Thickener, worst case</t>
  </si>
  <si>
    <t>Air emissions from 1 kg Reduction agent printing, worst case</t>
  </si>
  <si>
    <t>Air emissions from 1 kg Black pigment, worst case</t>
  </si>
  <si>
    <t>Water emissions from 1 kg Thickener, worst case</t>
  </si>
  <si>
    <t>Water emissions from 1 kg Reduction agent printing, worst case</t>
  </si>
  <si>
    <t>Water emissions from 1 kg Black pigment, worst case</t>
  </si>
  <si>
    <t>1:3 ratio for jet machine assumed</t>
  </si>
  <si>
    <t>1:20 ratio for jet machine assumed</t>
  </si>
  <si>
    <r>
      <t xml:space="preserve">Notes:
</t>
    </r>
    <r>
      <rPr>
        <b/>
        <i/>
        <sz val="10"/>
        <color indexed="8"/>
        <rFont val="Arial"/>
        <family val="2"/>
      </rPr>
      <t xml:space="preserve">Please note that the inventories are created with the primary purpose of including textile chemicals in the LCA of textile products. The textile-related substances and their toxicity impacts can then be included alongside other relevant environmental impacts related for textiles, like climate change, energy use, land use and water use. </t>
    </r>
    <r>
      <rPr>
        <b/>
        <sz val="10"/>
        <color indexed="8"/>
        <rFont val="Arial"/>
        <family val="2"/>
      </rPr>
      <t xml:space="preserve">
</t>
    </r>
    <r>
      <rPr>
        <sz val="10"/>
        <color indexed="8"/>
        <rFont val="Arial"/>
        <family val="2"/>
      </rPr>
      <t>All inventories marked with (mix) are created with MiFuFa electricity mix: China (65%), Bangladesh (23%) and Turkey (12%), see Roos et al. (2015) for more info.
The parameters (Process performance, Chemicals performance) are either average, BAT or worst case, from which the user can create modified data sets. For example, users can create a data set where all parameters are average except for a specific chemical, and the impact of substituting this particular average chemical with a BAT chemical can be examined.
The 30 first sheets describe model processes and the last 5 sheets describe how the model processes can be combined into inventories of model products, together with these product's direct toxic footprints.
* The choices of impact categories and characterisation methods are based on the recommendations in the ILCD handbook (European Commission 2010), as this at the time of the study by Roos et al. (2015) represented the most current consensus in the European LCA community. Some impact categories recommended by ILCD were omitted as they were deemed to be of low relevance for the textile industry (e.g. ozone layer depletion and ionising radiation), and some missing in the ILCD recommendations were added as they were deemed relevant for the textile industry (agricultural land occupation).</t>
    </r>
  </si>
  <si>
    <t>DWR agent, worst case</t>
  </si>
  <si>
    <t>Air emissions from 1 kg DWR agent, worst case</t>
  </si>
  <si>
    <t>Water emissions from 1 kg DWR agent, worst case</t>
  </si>
  <si>
    <t>DWR agent, BAT</t>
  </si>
  <si>
    <t>Air emissions from 1 kg DWR agent, BAT</t>
  </si>
  <si>
    <t>Water emissions from 1 kg DWR agent, BAT</t>
  </si>
  <si>
    <t>Yellow disperse dyestuff PES, BAT</t>
  </si>
  <si>
    <t>Red disperse dyestuff PES, BAT</t>
  </si>
  <si>
    <t>Air emissions from 1 kg Yellow disperse dyestuff PES, BAT</t>
  </si>
  <si>
    <t>Air emissions from 1 kg Red disperse dyestuff PES, BAT</t>
  </si>
  <si>
    <t>Water emissions from 1 kg Yellow disperse dyestuff PES, BAT</t>
  </si>
  <si>
    <t>Water emissions from 1 kg Red disperse dyestuff PES, BAT</t>
  </si>
  <si>
    <t>Yellow disperse dyestuff PES, worst case</t>
  </si>
  <si>
    <t>Red disperse dyestuff PES, worst case</t>
  </si>
  <si>
    <t>Air emissions from 1 kg Yellow disperse dyestuff PES, worst case</t>
  </si>
  <si>
    <t>Air emissions from 1 kg Red disperse dyestuff PES, worst case</t>
  </si>
  <si>
    <t>Water emissions from 1 kg Yellow disperse dyestuff PES, worst case</t>
  </si>
  <si>
    <t>Water emissions from 1 kg Red disperse dyestuff PES, worst case</t>
  </si>
  <si>
    <t xml:space="preserve">Wetting agent/Penetration agent, worst case </t>
  </si>
  <si>
    <t>Reactive dyestuff, worst case</t>
  </si>
  <si>
    <t>Detergent, worst case</t>
  </si>
  <si>
    <t xml:space="preserve">Air emissions from 1 kg Wetting agent/Penetration agent, worst case </t>
  </si>
  <si>
    <t>Air emissions from 1 kg Reactive dyestuff, worst case</t>
  </si>
  <si>
    <t>Air emissions from 1 kg Detergent, worst case</t>
  </si>
  <si>
    <t xml:space="preserve">Water emissions from 1 kg Wetting agent/Penetration agent, worst case </t>
  </si>
  <si>
    <t>Water emissions from 1 kg Reactive dyestuff, worst case</t>
  </si>
  <si>
    <t xml:space="preserve">Wetting agent/Penetration agent, BAT </t>
  </si>
  <si>
    <t>Reactive dyestuff, BAT</t>
  </si>
  <si>
    <t>Detergent, BAT</t>
  </si>
  <si>
    <t xml:space="preserve">Air emissions from 1 kg Wetting agent/Penetration agent, BAT </t>
  </si>
  <si>
    <t>Air emissions from 1 kg Reactive dyestuff, BAT</t>
  </si>
  <si>
    <t>Air emissions from 1 kg Detergent, BAT</t>
  </si>
  <si>
    <t xml:space="preserve">Water emissions from 1 kg Wetting agent/Penetration agent, BAT </t>
  </si>
  <si>
    <t>Water emissions from 1 kg Reactive dyestuff, BAT</t>
  </si>
  <si>
    <t>Wetting agent/Penetration agent, BAT</t>
  </si>
  <si>
    <t>Sequestering agent/complex binder, BAT</t>
  </si>
  <si>
    <t>Blue reactive dyestuff CO, BAT</t>
  </si>
  <si>
    <t>Air emissions from 1 kg Wetting agent/Penetration agent, BAT</t>
  </si>
  <si>
    <t>Air emissions from 1 kg Sequestering agent/complex binder, BAT</t>
  </si>
  <si>
    <t>Air emissions from 1 kg Blue reactive dyestuff CO, BAT</t>
  </si>
  <si>
    <t>Water emissions from 1 kg Wetting agent/Penetration agent, BAT</t>
  </si>
  <si>
    <t>Water emissions from 1 kg Sequestering agent/complex binder, BAT</t>
  </si>
  <si>
    <t>Water emissions from 1 kg Blue reactive dyestuff CO, BAT</t>
  </si>
  <si>
    <t>Wetting agent/Penetration agent, worst case</t>
  </si>
  <si>
    <t>Sequestering agent/complex binder, worst case</t>
  </si>
  <si>
    <t>Blue reactive dyestuff CO, worst case</t>
  </si>
  <si>
    <t>Air emissions from 1 kg Wetting agent/Penetration agent, worst case</t>
  </si>
  <si>
    <t>Air emissions from 1 kg Sequestering agent/complex binder, worst case</t>
  </si>
  <si>
    <t>Air emissions from 1 kg Blue reactive dyestuff CO, worst case</t>
  </si>
  <si>
    <t>Water emissions from 1 kg Wetting agent/Penetration agent, worst case</t>
  </si>
  <si>
    <t>Water emissions from 1 kg Sequestering agent/complex binder, worst case</t>
  </si>
  <si>
    <t>Water emissions from 1 kg Blue reactive dyestuff CO, worst case</t>
  </si>
  <si>
    <t>15 baths. no recirculation is made, 1:5 ratio</t>
  </si>
  <si>
    <t>15 baths. no recirculation is made, 1:3 ratio</t>
  </si>
  <si>
    <t>15 baths. no recirculation is made, 1:20 ratio</t>
  </si>
  <si>
    <t>15% waste</t>
  </si>
  <si>
    <t>30% waste</t>
  </si>
  <si>
    <t>90% of reactive chemicals are degraded during operations.</t>
  </si>
  <si>
    <t>0.1 % of the content is degraded to common breakdown products.</t>
  </si>
  <si>
    <t>1% of polymer content remains as monomers from the production process.</t>
  </si>
  <si>
    <t xml:space="preserve">90% of reactive chemicals are degraded during operations. </t>
  </si>
  <si>
    <t>&lt;= 0.1% in alcohol ethoxylates</t>
  </si>
  <si>
    <t>Common breakdown product of of acrylics, 0.001 % assumed</t>
  </si>
  <si>
    <t xml:space="preserve">0.1 % of the content is degraded to common breakdown products. 90% of reactive chemicals are degraded during operations. </t>
  </si>
  <si>
    <t>TMS is a possible breakdown product from PDMS, assumption 0.01% of PDMS</t>
  </si>
  <si>
    <t>assumption 0.01% of PDMS</t>
  </si>
  <si>
    <t>50-100 μg /kg (100 μg /kg assumed)</t>
  </si>
  <si>
    <t>assumption 1% of 4:2 FTAC</t>
  </si>
  <si>
    <t>assumption 1% of 6:2 FTAC</t>
  </si>
  <si>
    <t>Data gap</t>
  </si>
  <si>
    <t>Below is found data for average, BAT and worst case</t>
  </si>
  <si>
    <t>BAT chemicals are found in Sheet 36</t>
  </si>
  <si>
    <t>Thickener, average (Lyoprint DT-CS)</t>
  </si>
  <si>
    <t>Detergent/wetting agent, average (Eriopon OS)</t>
  </si>
  <si>
    <t>Non woven (needle punch) production</t>
  </si>
  <si>
    <t>worst case - emissions high. pop.</t>
  </si>
  <si>
    <t>Emissions to air*</t>
  </si>
  <si>
    <t>* Monomers are not input chemicals, air emissions are treated as in Table 1: 1% of polymer content remains
as monomers. % of all volatile compounds are emitted to urban air
after emission treatment: BAT: 0.01%, average 0.1%,
worst case 1%.</t>
  </si>
  <si>
    <t>Non woven (needle punch) production, average (mix)</t>
  </si>
  <si>
    <t>Non woven (needle punch) production, BAT process (mix)</t>
  </si>
  <si>
    <t>Non woven (needle punch) production, worst case process (mix)</t>
  </si>
  <si>
    <t>Non woven (needle punch) production, BAT chemicals (mix)</t>
  </si>
  <si>
    <t>Non woven (needle punch) production, worst case chemicals (mix)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</si>
</sst>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00E+00"/>
    <numFmt numFmtId="166" formatCode="0.0E+00"/>
    <numFmt numFmtId="167" formatCode="0.0"/>
    <numFmt numFmtId="168" formatCode="General_)"/>
    <numFmt numFmtId="169" formatCode="0.0000"/>
    <numFmt numFmtId="170" formatCode="0E+00"/>
    <numFmt numFmtId="171" formatCode="0.00000E+00"/>
  </numFmts>
  <fonts count="43" x14ac:knownFonts="1">
    <font>
      <sz val="10"/>
      <color indexed="8"/>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indexed="8"/>
      <name val="Arial"/>
      <family val="2"/>
    </font>
    <font>
      <sz val="10"/>
      <color rgb="FF333333"/>
      <name val="Arial"/>
      <family val="2"/>
    </font>
    <font>
      <b/>
      <sz val="12"/>
      <color indexed="8"/>
      <name val="BrownStd"/>
      <family val="3"/>
    </font>
    <font>
      <sz val="10"/>
      <color indexed="8"/>
      <name val="BrownStd"/>
      <family val="3"/>
    </font>
    <font>
      <b/>
      <sz val="10"/>
      <color indexed="8"/>
      <name val="BrownStd"/>
      <family val="3"/>
    </font>
    <font>
      <sz val="10"/>
      <color indexed="8"/>
      <name val="Arial"/>
      <family val="2"/>
    </font>
    <font>
      <b/>
      <sz val="10"/>
      <color theme="1"/>
      <name val="Calibri"/>
      <family val="2"/>
      <scheme val="minor"/>
    </font>
    <font>
      <b/>
      <vertAlign val="superscript"/>
      <sz val="10"/>
      <color theme="1"/>
      <name val="Calibri"/>
      <family val="2"/>
      <scheme val="minor"/>
    </font>
    <font>
      <sz val="10"/>
      <color rgb="FFFF0000"/>
      <name val="BrownStd"/>
      <family val="3"/>
    </font>
    <font>
      <sz val="10"/>
      <name val="Arial"/>
      <family val="2"/>
    </font>
    <font>
      <b/>
      <sz val="10"/>
      <color rgb="FF000000"/>
      <name val="Arial"/>
      <family val="2"/>
    </font>
    <font>
      <b/>
      <sz val="11"/>
      <color rgb="FF000000"/>
      <name val="Calibri"/>
      <family val="2"/>
    </font>
    <font>
      <sz val="9"/>
      <color rgb="FF000000"/>
      <name val="Tahoma"/>
      <family val="2"/>
    </font>
    <font>
      <b/>
      <sz val="11"/>
      <color theme="1"/>
      <name val="Calibri"/>
      <family val="2"/>
      <scheme val="minor"/>
    </font>
    <font>
      <u/>
      <sz val="10"/>
      <color indexed="12"/>
      <name val="Arial"/>
      <family val="2"/>
    </font>
    <font>
      <vertAlign val="superscript"/>
      <sz val="10"/>
      <color theme="1"/>
      <name val="Calibri"/>
      <family val="2"/>
      <scheme val="minor"/>
    </font>
    <font>
      <sz val="10"/>
      <color theme="1"/>
      <name val="Calibri"/>
      <family val="2"/>
      <scheme val="minor"/>
    </font>
    <font>
      <sz val="11"/>
      <color rgb="FF000000"/>
      <name val="Calibri"/>
      <family val="2"/>
    </font>
    <font>
      <sz val="10"/>
      <name val="BrownStd"/>
      <family val="3"/>
    </font>
    <font>
      <b/>
      <sz val="10"/>
      <name val="BrownStd"/>
      <family val="3"/>
    </font>
    <font>
      <vertAlign val="superscript"/>
      <sz val="10"/>
      <name val="Calibri"/>
      <family val="2"/>
      <scheme val="minor"/>
    </font>
    <font>
      <sz val="10"/>
      <name val="Calibri"/>
      <family val="2"/>
      <scheme val="minor"/>
    </font>
    <font>
      <i/>
      <sz val="10"/>
      <color indexed="8"/>
      <name val="Arial"/>
      <family val="2"/>
    </font>
    <font>
      <b/>
      <sz val="12"/>
      <color indexed="8"/>
      <name val="Arial"/>
      <family val="2"/>
    </font>
    <font>
      <sz val="10"/>
      <color rgb="FFFF0000"/>
      <name val="Arial"/>
      <family val="2"/>
    </font>
    <font>
      <sz val="10"/>
      <color theme="1"/>
      <name val="Arial"/>
      <family val="2"/>
    </font>
    <font>
      <b/>
      <sz val="11"/>
      <color rgb="FF000000"/>
      <name val="Arial"/>
      <family val="2"/>
    </font>
    <font>
      <b/>
      <sz val="10"/>
      <color theme="1"/>
      <name val="Arial"/>
      <family val="2"/>
    </font>
    <font>
      <b/>
      <vertAlign val="superscript"/>
      <sz val="10"/>
      <color theme="1"/>
      <name val="Arial"/>
      <family val="2"/>
    </font>
    <font>
      <sz val="11"/>
      <color theme="1"/>
      <name val="Arial"/>
      <family val="2"/>
    </font>
    <font>
      <b/>
      <sz val="10"/>
      <name val="Arial"/>
      <family val="2"/>
    </font>
    <font>
      <vertAlign val="superscript"/>
      <sz val="10"/>
      <color theme="1"/>
      <name val="Arial"/>
      <family val="2"/>
    </font>
    <font>
      <b/>
      <sz val="11"/>
      <color indexed="8"/>
      <name val="Arial"/>
      <family val="2"/>
    </font>
    <font>
      <sz val="11"/>
      <name val="Calibri"/>
      <family val="2"/>
      <scheme val="minor"/>
    </font>
    <font>
      <b/>
      <sz val="14"/>
      <color indexed="8"/>
      <name val="Arial"/>
      <family val="2"/>
    </font>
    <font>
      <b/>
      <i/>
      <sz val="10"/>
      <color indexed="8"/>
      <name val="Arial"/>
      <family val="2"/>
    </font>
    <font>
      <b/>
      <sz val="11"/>
      <name val="Arial"/>
      <family val="2"/>
    </font>
    <font>
      <b/>
      <sz val="12"/>
      <name val="BrownStd"/>
      <family val="3"/>
    </font>
  </fonts>
  <fills count="1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FF000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CD5B4"/>
        <bgColor rgb="FF000000"/>
      </patternFill>
    </fill>
    <fill>
      <patternFill patternType="solid">
        <fgColor rgb="FFEAF1DD"/>
        <bgColor rgb="FF000000"/>
      </patternFill>
    </fill>
    <fill>
      <patternFill patternType="solid">
        <fgColor theme="8" tint="0.79998168889431442"/>
        <bgColor indexed="64"/>
      </patternFill>
    </fill>
    <fill>
      <patternFill patternType="solid">
        <fgColor theme="0"/>
        <bgColor rgb="FF000000"/>
      </patternFill>
    </fill>
    <fill>
      <patternFill patternType="solid">
        <fgColor theme="6" tint="0.59999389629810485"/>
        <bgColor indexed="64"/>
      </patternFill>
    </fill>
  </fills>
  <borders count="31">
    <border>
      <left/>
      <right/>
      <top/>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6">
    <xf numFmtId="0" fontId="0" fillId="0" borderId="0"/>
    <xf numFmtId="0" fontId="4" fillId="0" borderId="0"/>
    <xf numFmtId="9" fontId="10" fillId="0" borderId="0" applyFont="0" applyFill="0" applyBorder="0" applyAlignment="0" applyProtection="0"/>
    <xf numFmtId="0" fontId="3" fillId="0" borderId="0"/>
    <xf numFmtId="0" fontId="19" fillId="0" borderId="0" applyNumberFormat="0" applyFill="0" applyBorder="0" applyAlignment="0" applyProtection="0">
      <alignment vertical="top"/>
      <protection locked="0"/>
    </xf>
    <xf numFmtId="168" fontId="14" fillId="0" borderId="0"/>
  </cellStyleXfs>
  <cellXfs count="482">
    <xf numFmtId="0" fontId="0" fillId="0" borderId="0" xfId="0"/>
    <xf numFmtId="0" fontId="5" fillId="0" borderId="0" xfId="0" applyFont="1"/>
    <xf numFmtId="0" fontId="0" fillId="0" borderId="0" xfId="0" applyFill="1" applyBorder="1" applyAlignment="1">
      <alignment vertical="top" wrapText="1"/>
    </xf>
    <xf numFmtId="0" fontId="0" fillId="0" borderId="0" xfId="0" applyBorder="1"/>
    <xf numFmtId="11" fontId="0" fillId="0" borderId="0" xfId="0" applyNumberFormat="1"/>
    <xf numFmtId="166" fontId="0" fillId="0" borderId="0" xfId="0" applyNumberFormat="1"/>
    <xf numFmtId="0" fontId="0" fillId="0" borderId="2" xfId="0" applyBorder="1"/>
    <xf numFmtId="0" fontId="0" fillId="0" borderId="4" xfId="0" applyBorder="1"/>
    <xf numFmtId="0" fontId="0" fillId="0" borderId="0" xfId="0" applyBorder="1" applyAlignment="1">
      <alignment vertical="top"/>
    </xf>
    <xf numFmtId="0" fontId="0" fillId="0" borderId="1" xfId="0" applyBorder="1"/>
    <xf numFmtId="0" fontId="0" fillId="0" borderId="8" xfId="0" applyBorder="1"/>
    <xf numFmtId="0" fontId="0" fillId="0" borderId="9" xfId="0" applyBorder="1"/>
    <xf numFmtId="0" fontId="0" fillId="0" borderId="10" xfId="0" applyBorder="1"/>
    <xf numFmtId="0" fontId="5" fillId="4" borderId="2" xfId="0" applyFont="1" applyFill="1" applyBorder="1"/>
    <xf numFmtId="0" fontId="5" fillId="4" borderId="7" xfId="0" applyFont="1" applyFill="1" applyBorder="1"/>
    <xf numFmtId="0" fontId="0" fillId="0" borderId="6" xfId="0" applyBorder="1"/>
    <xf numFmtId="167" fontId="0" fillId="0" borderId="0" xfId="0" applyNumberFormat="1" applyBorder="1"/>
    <xf numFmtId="0" fontId="5" fillId="0" borderId="4" xfId="0" applyFont="1" applyBorder="1"/>
    <xf numFmtId="0" fontId="5" fillId="0" borderId="0" xfId="0" applyFont="1" applyBorder="1"/>
    <xf numFmtId="0" fontId="5" fillId="0" borderId="3" xfId="0" applyFont="1" applyBorder="1"/>
    <xf numFmtId="0" fontId="5" fillId="0" borderId="11" xfId="0" applyFont="1" applyBorder="1"/>
    <xf numFmtId="0" fontId="5" fillId="0" borderId="12" xfId="0" applyFont="1" applyBorder="1"/>
    <xf numFmtId="0" fontId="5" fillId="7" borderId="5" xfId="0" applyFont="1" applyFill="1" applyBorder="1"/>
    <xf numFmtId="0" fontId="5" fillId="8" borderId="5" xfId="0" applyFont="1" applyFill="1" applyBorder="1"/>
    <xf numFmtId="166" fontId="0" fillId="0" borderId="1" xfId="0" applyNumberFormat="1" applyBorder="1"/>
    <xf numFmtId="166" fontId="0" fillId="0" borderId="9" xfId="0" applyNumberFormat="1" applyBorder="1"/>
    <xf numFmtId="0" fontId="0" fillId="0" borderId="7" xfId="0" applyBorder="1"/>
    <xf numFmtId="166" fontId="0" fillId="0" borderId="13" xfId="0" applyNumberFormat="1" applyBorder="1"/>
    <xf numFmtId="166" fontId="0" fillId="0" borderId="14" xfId="0" applyNumberFormat="1" applyBorder="1"/>
    <xf numFmtId="166" fontId="0" fillId="0" borderId="13" xfId="0" applyNumberFormat="1" applyBorder="1" applyAlignment="1">
      <alignment vertical="top" wrapText="1"/>
    </xf>
    <xf numFmtId="9" fontId="0" fillId="0" borderId="0" xfId="0" applyNumberFormat="1"/>
    <xf numFmtId="0" fontId="0" fillId="0" borderId="0" xfId="0" applyAlignment="1">
      <alignment horizontal="right"/>
    </xf>
    <xf numFmtId="0" fontId="5" fillId="4" borderId="11" xfId="0" applyFont="1" applyFill="1" applyBorder="1"/>
    <xf numFmtId="0" fontId="5" fillId="4" borderId="3" xfId="0" applyFont="1" applyFill="1" applyBorder="1"/>
    <xf numFmtId="0" fontId="8" fillId="0" borderId="0" xfId="0" applyFont="1"/>
    <xf numFmtId="0" fontId="9" fillId="0" borderId="0" xfId="0" applyFont="1"/>
    <xf numFmtId="0" fontId="5" fillId="0" borderId="1" xfId="0" applyFont="1" applyBorder="1"/>
    <xf numFmtId="0" fontId="5" fillId="9" borderId="24" xfId="0" applyFont="1" applyFill="1" applyBorder="1"/>
    <xf numFmtId="0" fontId="5" fillId="9" borderId="25" xfId="0" applyFont="1" applyFill="1" applyBorder="1"/>
    <xf numFmtId="0" fontId="5" fillId="9" borderId="26" xfId="0" applyFont="1" applyFill="1" applyBorder="1"/>
    <xf numFmtId="0" fontId="8" fillId="0" borderId="0" xfId="0" applyFont="1" applyBorder="1"/>
    <xf numFmtId="0" fontId="9" fillId="11" borderId="27" xfId="0" applyFont="1" applyFill="1" applyBorder="1"/>
    <xf numFmtId="0" fontId="9" fillId="11" borderId="28" xfId="0" applyFont="1" applyFill="1" applyBorder="1"/>
    <xf numFmtId="0" fontId="9" fillId="11" borderId="29" xfId="0" applyFont="1" applyFill="1" applyBorder="1"/>
    <xf numFmtId="0" fontId="9" fillId="10" borderId="27" xfId="0" applyFont="1" applyFill="1" applyBorder="1"/>
    <xf numFmtId="0" fontId="9" fillId="10" borderId="28" xfId="0" applyFont="1" applyFill="1" applyBorder="1"/>
    <xf numFmtId="0" fontId="9" fillId="10" borderId="29" xfId="0" applyFont="1" applyFill="1" applyBorder="1"/>
    <xf numFmtId="0" fontId="13" fillId="0" borderId="0" xfId="0" applyFont="1"/>
    <xf numFmtId="0" fontId="9" fillId="0" borderId="23" xfId="0" applyFont="1" applyFill="1" applyBorder="1"/>
    <xf numFmtId="0" fontId="0" fillId="0" borderId="4" xfId="0" applyBorder="1" applyAlignment="1">
      <alignment vertical="top"/>
    </xf>
    <xf numFmtId="0" fontId="0" fillId="0" borderId="0" xfId="0" applyFill="1" applyBorder="1" applyAlignment="1">
      <alignment vertical="top"/>
    </xf>
    <xf numFmtId="0" fontId="0" fillId="0" borderId="0" xfId="0" applyFont="1" applyBorder="1" applyAlignment="1">
      <alignment vertical="top"/>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Font="1" applyFill="1" applyBorder="1" applyAlignment="1">
      <alignment vertical="top"/>
    </xf>
    <xf numFmtId="0" fontId="15" fillId="0" borderId="4" xfId="0" applyFont="1" applyFill="1" applyBorder="1" applyAlignment="1">
      <alignment vertical="top" wrapText="1"/>
    </xf>
    <xf numFmtId="0" fontId="15" fillId="0" borderId="4" xfId="0" applyFont="1" applyBorder="1" applyAlignment="1">
      <alignment vertical="top" wrapText="1"/>
    </xf>
    <xf numFmtId="0" fontId="15" fillId="0" borderId="4" xfId="0" applyFont="1" applyFill="1" applyBorder="1" applyAlignment="1">
      <alignment vertical="top"/>
    </xf>
    <xf numFmtId="0" fontId="9" fillId="0" borderId="4" xfId="0" applyFont="1" applyBorder="1"/>
    <xf numFmtId="0" fontId="8" fillId="0" borderId="4" xfId="0" applyFont="1" applyBorder="1"/>
    <xf numFmtId="11" fontId="8" fillId="0" borderId="0" xfId="0" applyNumberFormat="1" applyFont="1"/>
    <xf numFmtId="11" fontId="8" fillId="0" borderId="4" xfId="0" applyNumberFormat="1" applyFont="1" applyBorder="1"/>
    <xf numFmtId="0" fontId="0" fillId="0" borderId="0" xfId="0" applyFont="1" applyFill="1" applyBorder="1" applyAlignment="1">
      <alignment horizontal="left" vertical="top"/>
    </xf>
    <xf numFmtId="0" fontId="15" fillId="0" borderId="4" xfId="0" applyFont="1" applyFill="1" applyBorder="1" applyAlignment="1">
      <alignment horizontal="left" vertical="top" wrapText="1"/>
    </xf>
    <xf numFmtId="9" fontId="0" fillId="0" borderId="0" xfId="0" applyNumberFormat="1" applyFont="1" applyFill="1" applyBorder="1" applyAlignment="1">
      <alignment horizontal="left" vertical="top"/>
    </xf>
    <xf numFmtId="0" fontId="0" fillId="0" borderId="0" xfId="0" applyFont="1" applyFill="1" applyBorder="1" applyAlignment="1">
      <alignment horizontal="left" vertical="top" wrapText="1"/>
    </xf>
    <xf numFmtId="0" fontId="15" fillId="13" borderId="4" xfId="0" applyFont="1" applyFill="1" applyBorder="1" applyAlignment="1">
      <alignment vertical="top"/>
    </xf>
    <xf numFmtId="0" fontId="15" fillId="14" borderId="4" xfId="0" applyFont="1" applyFill="1" applyBorder="1" applyAlignment="1">
      <alignment vertical="top"/>
    </xf>
    <xf numFmtId="0" fontId="0" fillId="15" borderId="0" xfId="0" applyFont="1" applyFill="1" applyBorder="1" applyAlignment="1">
      <alignment vertical="top"/>
    </xf>
    <xf numFmtId="166" fontId="0" fillId="0" borderId="0" xfId="0" applyNumberFormat="1" applyFont="1" applyBorder="1" applyAlignment="1">
      <alignment vertical="top"/>
    </xf>
    <xf numFmtId="0" fontId="0" fillId="9" borderId="0" xfId="0" applyFont="1" applyFill="1" applyBorder="1" applyAlignment="1">
      <alignment vertical="top"/>
    </xf>
    <xf numFmtId="2" fontId="0" fillId="0" borderId="0" xfId="0" applyNumberFormat="1" applyFont="1" applyBorder="1" applyAlignment="1">
      <alignment vertical="top"/>
    </xf>
    <xf numFmtId="164" fontId="0" fillId="0" borderId="0" xfId="0" applyNumberFormat="1" applyFont="1" applyBorder="1" applyAlignment="1">
      <alignment vertical="top"/>
    </xf>
    <xf numFmtId="0" fontId="0" fillId="15" borderId="0" xfId="0" applyFill="1" applyBorder="1" applyAlignment="1">
      <alignment vertical="top"/>
    </xf>
    <xf numFmtId="167" fontId="0" fillId="0" borderId="0" xfId="0" applyNumberFormat="1" applyFont="1" applyBorder="1" applyAlignment="1">
      <alignment vertical="top"/>
    </xf>
    <xf numFmtId="2" fontId="0" fillId="0" borderId="0" xfId="0" applyNumberFormat="1" applyFont="1" applyFill="1" applyBorder="1" applyAlignment="1">
      <alignment vertical="top"/>
    </xf>
    <xf numFmtId="167" fontId="0" fillId="0" borderId="0" xfId="0" applyNumberFormat="1" applyFont="1" applyFill="1" applyBorder="1" applyAlignment="1">
      <alignment vertical="top"/>
    </xf>
    <xf numFmtId="164" fontId="0" fillId="0" borderId="0" xfId="0" applyNumberFormat="1" applyFont="1" applyFill="1" applyBorder="1" applyAlignment="1">
      <alignment vertical="top"/>
    </xf>
    <xf numFmtId="169" fontId="0" fillId="0" borderId="0" xfId="0" applyNumberFormat="1" applyFont="1" applyFill="1" applyBorder="1" applyAlignment="1">
      <alignment vertical="top"/>
    </xf>
    <xf numFmtId="0" fontId="16" fillId="0" borderId="4" xfId="0" applyFont="1" applyFill="1" applyBorder="1" applyAlignment="1">
      <alignment horizontal="left" vertical="top" wrapText="1"/>
    </xf>
    <xf numFmtId="49" fontId="0" fillId="0" borderId="0" xfId="0" applyNumberFormat="1" applyFont="1" applyFill="1" applyBorder="1" applyAlignment="1">
      <alignment horizontal="left" vertical="top"/>
    </xf>
    <xf numFmtId="49" fontId="0" fillId="0" borderId="0" xfId="0" applyNumberFormat="1" applyFont="1" applyFill="1" applyBorder="1" applyAlignment="1">
      <alignment vertical="top"/>
    </xf>
    <xf numFmtId="0" fontId="9" fillId="9" borderId="24" xfId="0" applyFont="1" applyFill="1" applyBorder="1"/>
    <xf numFmtId="0" fontId="9" fillId="9" borderId="25" xfId="0" applyFont="1" applyFill="1" applyBorder="1"/>
    <xf numFmtId="0" fontId="9" fillId="9" borderId="26" xfId="0" applyFont="1" applyFill="1" applyBorder="1"/>
    <xf numFmtId="0" fontId="9" fillId="9" borderId="18" xfId="0" applyFont="1" applyFill="1" applyBorder="1"/>
    <xf numFmtId="0" fontId="9" fillId="9" borderId="0" xfId="0" applyFont="1" applyFill="1" applyBorder="1"/>
    <xf numFmtId="0" fontId="9" fillId="9" borderId="19" xfId="0" applyFont="1" applyFill="1" applyBorder="1"/>
    <xf numFmtId="0" fontId="8" fillId="9" borderId="18" xfId="0" applyFont="1" applyFill="1" applyBorder="1"/>
    <xf numFmtId="0" fontId="8" fillId="9" borderId="0" xfId="0" applyFont="1" applyFill="1" applyBorder="1"/>
    <xf numFmtId="0" fontId="8" fillId="9" borderId="19" xfId="0" applyFont="1" applyFill="1" applyBorder="1"/>
    <xf numFmtId="0" fontId="13" fillId="9" borderId="19" xfId="0" applyFont="1" applyFill="1" applyBorder="1"/>
    <xf numFmtId="0" fontId="9" fillId="3" borderId="24" xfId="0" applyFont="1" applyFill="1" applyBorder="1"/>
    <xf numFmtId="0" fontId="9" fillId="3" borderId="25" xfId="0" applyFont="1" applyFill="1" applyBorder="1"/>
    <xf numFmtId="0" fontId="9" fillId="3" borderId="26" xfId="0" applyFont="1" applyFill="1" applyBorder="1"/>
    <xf numFmtId="0" fontId="9" fillId="5" borderId="15" xfId="0" applyFont="1" applyFill="1" applyBorder="1"/>
    <xf numFmtId="0" fontId="7" fillId="5" borderId="16" xfId="0" applyFont="1" applyFill="1" applyBorder="1"/>
    <xf numFmtId="0" fontId="9" fillId="5" borderId="16" xfId="0" applyFont="1" applyFill="1" applyBorder="1"/>
    <xf numFmtId="0" fontId="9" fillId="5" borderId="17" xfId="0" applyFont="1" applyFill="1" applyBorder="1"/>
    <xf numFmtId="0" fontId="9" fillId="0" borderId="0" xfId="0" applyFont="1" applyBorder="1"/>
    <xf numFmtId="0" fontId="8" fillId="9" borderId="20" xfId="0" applyFont="1" applyFill="1" applyBorder="1"/>
    <xf numFmtId="0" fontId="8" fillId="9" borderId="21" xfId="0" applyFont="1" applyFill="1" applyBorder="1"/>
    <xf numFmtId="0" fontId="8" fillId="9" borderId="22" xfId="0" applyFont="1" applyFill="1" applyBorder="1"/>
    <xf numFmtId="0" fontId="8" fillId="3" borderId="11" xfId="0" applyFont="1" applyFill="1" applyBorder="1" applyAlignment="1">
      <alignment vertical="top"/>
    </xf>
    <xf numFmtId="0" fontId="8" fillId="3" borderId="3" xfId="0" applyFont="1" applyFill="1" applyBorder="1" applyAlignment="1">
      <alignment vertical="top"/>
    </xf>
    <xf numFmtId="0" fontId="8" fillId="3" borderId="12" xfId="0" applyFont="1" applyFill="1" applyBorder="1" applyAlignment="1">
      <alignment vertical="top"/>
    </xf>
    <xf numFmtId="165" fontId="8" fillId="2" borderId="11" xfId="0" applyNumberFormat="1" applyFont="1" applyFill="1" applyBorder="1" applyAlignment="1">
      <alignment vertical="top"/>
    </xf>
    <xf numFmtId="165" fontId="8" fillId="2" borderId="3" xfId="0" applyNumberFormat="1" applyFont="1" applyFill="1" applyBorder="1" applyAlignment="1">
      <alignment vertical="top"/>
    </xf>
    <xf numFmtId="165" fontId="8" fillId="2" borderId="12" xfId="0" applyNumberFormat="1" applyFont="1" applyFill="1" applyBorder="1" applyAlignment="1">
      <alignment vertical="top"/>
    </xf>
    <xf numFmtId="165" fontId="8" fillId="6" borderId="11" xfId="0" applyNumberFormat="1" applyFont="1" applyFill="1" applyBorder="1" applyAlignment="1">
      <alignment vertical="top"/>
    </xf>
    <xf numFmtId="165" fontId="8" fillId="6" borderId="3" xfId="0" applyNumberFormat="1" applyFont="1" applyFill="1" applyBorder="1" applyAlignment="1">
      <alignment vertical="top"/>
    </xf>
    <xf numFmtId="165" fontId="8" fillId="6" borderId="12" xfId="0" applyNumberFormat="1" applyFont="1" applyFill="1" applyBorder="1" applyAlignment="1">
      <alignment vertical="top"/>
    </xf>
    <xf numFmtId="9" fontId="8" fillId="9" borderId="22" xfId="0" applyNumberFormat="1" applyFont="1" applyFill="1" applyBorder="1"/>
    <xf numFmtId="9" fontId="8" fillId="9" borderId="22" xfId="0" applyNumberFormat="1" applyFont="1" applyFill="1" applyBorder="1" applyAlignment="1"/>
    <xf numFmtId="0" fontId="15" fillId="16" borderId="4" xfId="0" applyFont="1" applyFill="1" applyBorder="1" applyAlignment="1">
      <alignment vertical="top" wrapText="1"/>
    </xf>
    <xf numFmtId="11" fontId="0" fillId="16" borderId="0" xfId="0" applyNumberFormat="1" applyFont="1" applyFill="1" applyBorder="1" applyAlignment="1">
      <alignment vertical="top"/>
    </xf>
    <xf numFmtId="11" fontId="6" fillId="16" borderId="0" xfId="0" applyNumberFormat="1" applyFont="1" applyFill="1" applyBorder="1" applyAlignment="1">
      <alignment vertical="top"/>
    </xf>
    <xf numFmtId="11" fontId="0" fillId="9" borderId="0" xfId="0" applyNumberFormat="1" applyFont="1" applyFill="1" applyBorder="1" applyAlignment="1">
      <alignment vertical="top"/>
    </xf>
    <xf numFmtId="0" fontId="0" fillId="9" borderId="0" xfId="0" applyFill="1" applyBorder="1" applyAlignment="1">
      <alignment vertical="top"/>
    </xf>
    <xf numFmtId="0" fontId="18" fillId="0" borderId="0" xfId="3" applyFont="1"/>
    <xf numFmtId="0" fontId="3" fillId="0" borderId="0" xfId="3"/>
    <xf numFmtId="11" fontId="3" fillId="0" borderId="0" xfId="3" applyNumberFormat="1"/>
    <xf numFmtId="0" fontId="18" fillId="0" borderId="5" xfId="3" applyFont="1" applyBorder="1"/>
    <xf numFmtId="11" fontId="18" fillId="0" borderId="5" xfId="3" applyNumberFormat="1" applyFont="1" applyBorder="1"/>
    <xf numFmtId="11" fontId="3" fillId="0" borderId="5" xfId="3" applyNumberFormat="1" applyBorder="1"/>
    <xf numFmtId="11" fontId="0" fillId="16" borderId="0" xfId="0" applyNumberFormat="1" applyFill="1" applyBorder="1" applyAlignment="1">
      <alignment vertical="top"/>
    </xf>
    <xf numFmtId="0" fontId="15" fillId="16" borderId="9" xfId="0" applyFont="1" applyFill="1" applyBorder="1" applyAlignment="1">
      <alignment vertical="top" wrapText="1"/>
    </xf>
    <xf numFmtId="11" fontId="0" fillId="16" borderId="1" xfId="0" applyNumberFormat="1" applyFont="1" applyFill="1" applyBorder="1" applyAlignment="1">
      <alignment vertical="top"/>
    </xf>
    <xf numFmtId="11" fontId="0" fillId="16" borderId="1" xfId="0" applyNumberFormat="1" applyFill="1" applyBorder="1" applyAlignment="1">
      <alignment vertical="top"/>
    </xf>
    <xf numFmtId="11" fontId="0" fillId="9" borderId="0" xfId="0" applyNumberFormat="1" applyFill="1" applyBorder="1" applyAlignment="1">
      <alignment vertical="top"/>
    </xf>
    <xf numFmtId="0" fontId="0" fillId="0" borderId="0" xfId="0" applyBorder="1" applyAlignment="1">
      <alignment vertical="top" wrapText="1"/>
    </xf>
    <xf numFmtId="0" fontId="15" fillId="16" borderId="10" xfId="0" applyFont="1" applyFill="1" applyBorder="1" applyAlignment="1">
      <alignment vertical="top" wrapText="1"/>
    </xf>
    <xf numFmtId="11" fontId="0" fillId="16" borderId="8" xfId="0" applyNumberFormat="1" applyFill="1" applyBorder="1" applyAlignment="1">
      <alignment vertical="top"/>
    </xf>
    <xf numFmtId="0" fontId="0" fillId="9" borderId="8" xfId="0" applyFill="1" applyBorder="1" applyAlignment="1">
      <alignment vertical="top"/>
    </xf>
    <xf numFmtId="0" fontId="5" fillId="0" borderId="0" xfId="0" applyFont="1" applyFill="1" applyBorder="1"/>
    <xf numFmtId="0" fontId="0" fillId="0" borderId="1" xfId="0" applyNumberFormat="1" applyBorder="1"/>
    <xf numFmtId="0" fontId="0" fillId="9" borderId="4" xfId="0" applyFont="1" applyFill="1" applyBorder="1" applyAlignment="1">
      <alignment vertical="top"/>
    </xf>
    <xf numFmtId="0" fontId="0" fillId="0" borderId="4" xfId="0" applyFont="1" applyFill="1" applyBorder="1" applyAlignment="1">
      <alignment vertical="top" wrapText="1"/>
    </xf>
    <xf numFmtId="2" fontId="0" fillId="0" borderId="4" xfId="0" applyNumberFormat="1" applyFont="1" applyBorder="1" applyAlignment="1">
      <alignment vertical="top"/>
    </xf>
    <xf numFmtId="0" fontId="0" fillId="0" borderId="4" xfId="0" applyFont="1" applyBorder="1" applyAlignment="1">
      <alignment vertical="top"/>
    </xf>
    <xf numFmtId="0" fontId="0" fillId="0" borderId="4" xfId="0" applyFont="1" applyFill="1" applyBorder="1" applyAlignment="1">
      <alignment horizontal="left" vertical="top"/>
    </xf>
    <xf numFmtId="0" fontId="0" fillId="0" borderId="4" xfId="0" applyFont="1" applyFill="1" applyBorder="1" applyAlignment="1">
      <alignment vertical="top"/>
    </xf>
    <xf numFmtId="166" fontId="0" fillId="0" borderId="4" xfId="0" applyNumberFormat="1" applyFont="1" applyBorder="1" applyAlignment="1">
      <alignment vertical="top"/>
    </xf>
    <xf numFmtId="11" fontId="0" fillId="16" borderId="9" xfId="0" applyNumberFormat="1" applyFont="1" applyFill="1" applyBorder="1" applyAlignment="1">
      <alignment vertical="top"/>
    </xf>
    <xf numFmtId="11" fontId="0" fillId="16" borderId="4" xfId="0" applyNumberFormat="1" applyFont="1" applyFill="1" applyBorder="1" applyAlignment="1">
      <alignment vertical="top"/>
    </xf>
    <xf numFmtId="11" fontId="0" fillId="16" borderId="10" xfId="0" applyNumberFormat="1" applyFill="1" applyBorder="1" applyAlignment="1">
      <alignment vertical="top"/>
    </xf>
    <xf numFmtId="166" fontId="0" fillId="0" borderId="14" xfId="0" applyNumberFormat="1" applyBorder="1" applyAlignment="1">
      <alignment vertical="top" wrapText="1"/>
    </xf>
    <xf numFmtId="0" fontId="0" fillId="0" borderId="9" xfId="0" applyNumberFormat="1" applyBorder="1"/>
    <xf numFmtId="0" fontId="5" fillId="4" borderId="9" xfId="0" applyFont="1" applyFill="1" applyBorder="1"/>
    <xf numFmtId="0" fontId="5" fillId="4" borderId="4" xfId="0" applyFont="1" applyFill="1" applyBorder="1"/>
    <xf numFmtId="0" fontId="5" fillId="4" borderId="10" xfId="0" applyFont="1" applyFill="1" applyBorder="1"/>
    <xf numFmtId="0" fontId="5" fillId="9" borderId="11" xfId="0" applyFont="1" applyFill="1" applyBorder="1"/>
    <xf numFmtId="0" fontId="5" fillId="9" borderId="3" xfId="0" applyFont="1" applyFill="1" applyBorder="1"/>
    <xf numFmtId="9" fontId="5" fillId="9" borderId="3" xfId="0" applyNumberFormat="1" applyFont="1" applyFill="1" applyBorder="1"/>
    <xf numFmtId="0" fontId="0" fillId="9" borderId="3" xfId="0" applyFill="1" applyBorder="1"/>
    <xf numFmtId="0" fontId="0" fillId="9" borderId="12" xfId="0" applyFill="1" applyBorder="1"/>
    <xf numFmtId="0" fontId="0" fillId="9" borderId="4" xfId="0" applyFill="1" applyBorder="1" applyAlignment="1">
      <alignment vertical="top"/>
    </xf>
    <xf numFmtId="166" fontId="0" fillId="9" borderId="0" xfId="0" applyNumberFormat="1" applyFill="1" applyBorder="1" applyAlignment="1">
      <alignment vertical="top"/>
    </xf>
    <xf numFmtId="0" fontId="0" fillId="9" borderId="11" xfId="0" applyFill="1" applyBorder="1"/>
    <xf numFmtId="0" fontId="0" fillId="9" borderId="9" xfId="0" applyFill="1" applyBorder="1" applyAlignment="1">
      <alignment vertical="top"/>
    </xf>
    <xf numFmtId="0" fontId="0" fillId="9" borderId="10" xfId="0" applyFill="1" applyBorder="1" applyAlignment="1">
      <alignment vertical="top"/>
    </xf>
    <xf numFmtId="166" fontId="0" fillId="9" borderId="1" xfId="0" applyNumberFormat="1" applyFill="1" applyBorder="1" applyAlignment="1">
      <alignment vertical="top"/>
    </xf>
    <xf numFmtId="166" fontId="0" fillId="9" borderId="8" xfId="0" applyNumberFormat="1" applyFill="1" applyBorder="1" applyAlignment="1">
      <alignment vertical="top"/>
    </xf>
    <xf numFmtId="166" fontId="0" fillId="9" borderId="9" xfId="0" applyNumberFormat="1" applyFill="1" applyBorder="1" applyAlignment="1">
      <alignment vertical="top"/>
    </xf>
    <xf numFmtId="166" fontId="0" fillId="9" borderId="4" xfId="0" applyNumberFormat="1" applyFill="1" applyBorder="1" applyAlignment="1">
      <alignment vertical="top"/>
    </xf>
    <xf numFmtId="166" fontId="0" fillId="9" borderId="10" xfId="0" applyNumberFormat="1" applyFill="1" applyBorder="1" applyAlignment="1">
      <alignment vertical="top"/>
    </xf>
    <xf numFmtId="0" fontId="5" fillId="0" borderId="0" xfId="0" applyFont="1" applyAlignment="1">
      <alignment horizontal="left"/>
    </xf>
    <xf numFmtId="11" fontId="5" fillId="4" borderId="11" xfId="0" applyNumberFormat="1" applyFont="1" applyFill="1" applyBorder="1"/>
    <xf numFmtId="0" fontId="0" fillId="15" borderId="4" xfId="0" applyFill="1" applyBorder="1" applyAlignment="1">
      <alignment vertical="top"/>
    </xf>
    <xf numFmtId="167" fontId="0" fillId="0" borderId="4" xfId="0" applyNumberFormat="1" applyFont="1" applyBorder="1" applyAlignment="1">
      <alignment vertical="top"/>
    </xf>
    <xf numFmtId="9" fontId="0" fillId="0" borderId="4" xfId="0" applyNumberFormat="1" applyFont="1" applyFill="1" applyBorder="1" applyAlignment="1">
      <alignment horizontal="left" vertical="top"/>
    </xf>
    <xf numFmtId="0" fontId="0" fillId="0" borderId="1" xfId="0" applyFill="1" applyBorder="1"/>
    <xf numFmtId="0" fontId="0" fillId="0" borderId="9" xfId="0" applyFill="1" applyBorder="1"/>
    <xf numFmtId="169" fontId="0" fillId="0" borderId="4" xfId="0" applyNumberFormat="1" applyFont="1" applyFill="1" applyBorder="1" applyAlignment="1">
      <alignment vertical="top"/>
    </xf>
    <xf numFmtId="0" fontId="0" fillId="0" borderId="4" xfId="0" applyFont="1" applyFill="1" applyBorder="1" applyAlignment="1">
      <alignment horizontal="left" vertical="top" wrapText="1"/>
    </xf>
    <xf numFmtId="11" fontId="0" fillId="16" borderId="9" xfId="0" applyNumberFormat="1" applyFill="1" applyBorder="1" applyAlignment="1">
      <alignment vertical="top"/>
    </xf>
    <xf numFmtId="11" fontId="0" fillId="16" borderId="4" xfId="0" applyNumberFormat="1" applyFill="1" applyBorder="1" applyAlignment="1">
      <alignment vertical="top"/>
    </xf>
    <xf numFmtId="11" fontId="5" fillId="4" borderId="9" xfId="0" applyNumberFormat="1" applyFont="1" applyFill="1" applyBorder="1"/>
    <xf numFmtId="49" fontId="0" fillId="0" borderId="4" xfId="0" applyNumberFormat="1" applyFont="1" applyFill="1" applyBorder="1" applyAlignment="1">
      <alignment vertical="top"/>
    </xf>
    <xf numFmtId="0" fontId="5" fillId="0" borderId="0" xfId="0" applyFont="1" applyAlignment="1">
      <alignment horizontal="right"/>
    </xf>
    <xf numFmtId="0" fontId="0" fillId="0" borderId="1" xfId="0" applyFont="1" applyFill="1" applyBorder="1" applyAlignment="1">
      <alignment vertical="top"/>
    </xf>
    <xf numFmtId="0" fontId="0" fillId="0" borderId="1" xfId="0" applyFill="1" applyBorder="1" applyAlignment="1">
      <alignment vertical="top"/>
    </xf>
    <xf numFmtId="11" fontId="5" fillId="4" borderId="5" xfId="0" applyNumberFormat="1" applyFont="1" applyFill="1" applyBorder="1"/>
    <xf numFmtId="0" fontId="5" fillId="0" borderId="6" xfId="0" applyFont="1" applyBorder="1"/>
    <xf numFmtId="0" fontId="5" fillId="0" borderId="2" xfId="0" applyFont="1" applyBorder="1"/>
    <xf numFmtId="0" fontId="5" fillId="0" borderId="7" xfId="0" applyFont="1" applyBorder="1"/>
    <xf numFmtId="0" fontId="5" fillId="0" borderId="9" xfId="0" applyFont="1" applyBorder="1"/>
    <xf numFmtId="11" fontId="0" fillId="0" borderId="0" xfId="0" applyNumberFormat="1" applyBorder="1"/>
    <xf numFmtId="11" fontId="5" fillId="0" borderId="0" xfId="0" applyNumberFormat="1" applyFont="1"/>
    <xf numFmtId="11" fontId="22" fillId="0" borderId="0" xfId="1" applyNumberFormat="1" applyFont="1" applyFill="1" applyProtection="1"/>
    <xf numFmtId="0" fontId="22" fillId="0" borderId="0" xfId="2" applyNumberFormat="1" applyFont="1" applyFill="1" applyProtection="1"/>
    <xf numFmtId="11" fontId="8" fillId="0" borderId="0" xfId="0" applyNumberFormat="1" applyFont="1" applyBorder="1"/>
    <xf numFmtId="169" fontId="8" fillId="9" borderId="21" xfId="0" applyNumberFormat="1" applyFont="1" applyFill="1" applyBorder="1"/>
    <xf numFmtId="0" fontId="0" fillId="15" borderId="4" xfId="0" applyFont="1" applyFill="1" applyBorder="1" applyAlignment="1">
      <alignment vertical="top"/>
    </xf>
    <xf numFmtId="0" fontId="0" fillId="0" borderId="3" xfId="0" applyFont="1" applyFill="1" applyBorder="1" applyAlignment="1">
      <alignment vertical="top"/>
    </xf>
    <xf numFmtId="0" fontId="0" fillId="0" borderId="3" xfId="0" applyFont="1" applyBorder="1" applyAlignment="1">
      <alignment vertical="top"/>
    </xf>
    <xf numFmtId="0" fontId="0" fillId="15" borderId="3" xfId="0" applyFont="1" applyFill="1" applyBorder="1" applyAlignment="1">
      <alignment vertical="top"/>
    </xf>
    <xf numFmtId="0" fontId="5" fillId="9" borderId="9" xfId="0" applyFont="1" applyFill="1" applyBorder="1"/>
    <xf numFmtId="0" fontId="5" fillId="9" borderId="4" xfId="0" applyFont="1" applyFill="1" applyBorder="1"/>
    <xf numFmtId="9" fontId="5" fillId="9" borderId="4" xfId="0" applyNumberFormat="1" applyFont="1" applyFill="1" applyBorder="1"/>
    <xf numFmtId="0" fontId="0" fillId="9" borderId="4" xfId="0" applyFill="1" applyBorder="1"/>
    <xf numFmtId="0" fontId="0" fillId="9" borderId="10" xfId="0" applyFill="1" applyBorder="1"/>
    <xf numFmtId="0" fontId="0" fillId="9" borderId="9" xfId="0" applyFill="1" applyBorder="1"/>
    <xf numFmtId="166" fontId="0" fillId="0" borderId="0" xfId="0" applyNumberFormat="1" applyBorder="1"/>
    <xf numFmtId="166" fontId="0" fillId="0" borderId="0" xfId="0" applyNumberFormat="1" applyBorder="1" applyAlignment="1">
      <alignment vertical="top" wrapText="1"/>
    </xf>
    <xf numFmtId="0" fontId="0" fillId="0" borderId="0" xfId="0" applyNumberFormat="1" applyBorder="1"/>
    <xf numFmtId="167" fontId="8" fillId="9" borderId="21" xfId="0" applyNumberFormat="1" applyFont="1" applyFill="1" applyBorder="1"/>
    <xf numFmtId="0" fontId="5" fillId="7" borderId="14" xfId="0" applyFont="1" applyFill="1" applyBorder="1"/>
    <xf numFmtId="0" fontId="5" fillId="8" borderId="14" xfId="0" applyFont="1" applyFill="1" applyBorder="1"/>
    <xf numFmtId="9" fontId="0" fillId="0" borderId="4" xfId="0" applyNumberFormat="1" applyBorder="1"/>
    <xf numFmtId="166" fontId="0" fillId="0" borderId="4" xfId="0" applyNumberFormat="1" applyBorder="1"/>
    <xf numFmtId="11" fontId="0" fillId="0" borderId="4" xfId="0" applyNumberFormat="1" applyBorder="1"/>
    <xf numFmtId="166" fontId="0" fillId="0" borderId="0" xfId="0" applyNumberFormat="1" applyFont="1" applyFill="1" applyBorder="1" applyAlignment="1">
      <alignment vertical="top"/>
    </xf>
    <xf numFmtId="0" fontId="23" fillId="9" borderId="19" xfId="0" applyFont="1" applyFill="1" applyBorder="1"/>
    <xf numFmtId="0" fontId="23" fillId="9" borderId="18" xfId="0" applyFont="1" applyFill="1" applyBorder="1"/>
    <xf numFmtId="0" fontId="23" fillId="9" borderId="0" xfId="0" applyFont="1" applyFill="1" applyBorder="1"/>
    <xf numFmtId="0" fontId="23" fillId="0" borderId="0" xfId="0" applyFont="1"/>
    <xf numFmtId="0" fontId="23" fillId="0" borderId="0" xfId="0" applyFont="1" applyBorder="1"/>
    <xf numFmtId="0" fontId="14" fillId="0" borderId="0" xfId="0" applyFont="1"/>
    <xf numFmtId="0" fontId="24" fillId="9" borderId="18" xfId="0" applyFont="1" applyFill="1" applyBorder="1"/>
    <xf numFmtId="0" fontId="24" fillId="0" borderId="0" xfId="0" applyFont="1"/>
    <xf numFmtId="0" fontId="24" fillId="0" borderId="0" xfId="0" applyFont="1" applyBorder="1"/>
    <xf numFmtId="0" fontId="23" fillId="9" borderId="20" xfId="0" applyFont="1" applyFill="1" applyBorder="1"/>
    <xf numFmtId="0" fontId="23" fillId="9" borderId="21" xfId="0" applyFont="1" applyFill="1" applyBorder="1"/>
    <xf numFmtId="9" fontId="23" fillId="9" borderId="22" xfId="0" applyNumberFormat="1" applyFont="1" applyFill="1" applyBorder="1"/>
    <xf numFmtId="0" fontId="13" fillId="9" borderId="22" xfId="0" applyFont="1" applyFill="1" applyBorder="1"/>
    <xf numFmtId="166" fontId="8" fillId="0" borderId="0" xfId="0" applyNumberFormat="1" applyFont="1"/>
    <xf numFmtId="166" fontId="8" fillId="0" borderId="0" xfId="0" applyNumberFormat="1" applyFont="1" applyBorder="1"/>
    <xf numFmtId="11" fontId="14" fillId="0" borderId="0" xfId="0" applyNumberFormat="1" applyFont="1"/>
    <xf numFmtId="166" fontId="23" fillId="0" borderId="0" xfId="0" applyNumberFormat="1" applyFont="1"/>
    <xf numFmtId="166" fontId="14" fillId="0" borderId="0" xfId="0" applyNumberFormat="1" applyFont="1"/>
    <xf numFmtId="170" fontId="8" fillId="0" borderId="0" xfId="0" applyNumberFormat="1" applyFont="1" applyBorder="1"/>
    <xf numFmtId="170" fontId="8" fillId="0" borderId="0" xfId="0" applyNumberFormat="1" applyFont="1"/>
    <xf numFmtId="0" fontId="2" fillId="0" borderId="0" xfId="3" applyFont="1"/>
    <xf numFmtId="0" fontId="15" fillId="0" borderId="9" xfId="0" applyFont="1" applyFill="1" applyBorder="1" applyAlignment="1">
      <alignment vertical="top" wrapText="1"/>
    </xf>
    <xf numFmtId="0" fontId="15" fillId="0" borderId="10" xfId="0" applyFont="1" applyFill="1" applyBorder="1" applyAlignment="1">
      <alignment vertical="top" wrapText="1"/>
    </xf>
    <xf numFmtId="0" fontId="0" fillId="0" borderId="8" xfId="0" applyFill="1" applyBorder="1" applyAlignment="1">
      <alignment vertical="top"/>
    </xf>
    <xf numFmtId="11" fontId="0" fillId="0" borderId="8" xfId="0" applyNumberFormat="1" applyFont="1" applyFill="1" applyBorder="1" applyAlignment="1">
      <alignment vertical="top"/>
    </xf>
    <xf numFmtId="0" fontId="0" fillId="0" borderId="4" xfId="0" applyFill="1" applyBorder="1"/>
    <xf numFmtId="0" fontId="5" fillId="0" borderId="9" xfId="0" applyFont="1" applyFill="1" applyBorder="1"/>
    <xf numFmtId="0" fontId="5" fillId="0" borderId="4" xfId="0" applyFont="1" applyFill="1" applyBorder="1"/>
    <xf numFmtId="9" fontId="5" fillId="0" borderId="4" xfId="0" applyNumberFormat="1" applyFont="1" applyFill="1" applyBorder="1"/>
    <xf numFmtId="0" fontId="0" fillId="0" borderId="8" xfId="0" applyFont="1" applyFill="1" applyBorder="1" applyAlignment="1">
      <alignment vertical="top"/>
    </xf>
    <xf numFmtId="0" fontId="1" fillId="0" borderId="0" xfId="3" applyFont="1"/>
    <xf numFmtId="0" fontId="0" fillId="0" borderId="0" xfId="0" applyFont="1"/>
    <xf numFmtId="0" fontId="0" fillId="12" borderId="5" xfId="0" applyFont="1" applyFill="1" applyBorder="1"/>
    <xf numFmtId="0" fontId="0" fillId="12" borderId="12" xfId="0" applyFont="1" applyFill="1" applyBorder="1"/>
    <xf numFmtId="0" fontId="5" fillId="12" borderId="12" xfId="0" applyFont="1" applyFill="1" applyBorder="1"/>
    <xf numFmtId="0" fontId="5" fillId="12" borderId="11" xfId="0" applyFont="1" applyFill="1" applyBorder="1" applyAlignment="1"/>
    <xf numFmtId="0" fontId="5" fillId="12" borderId="5" xfId="0" applyFont="1" applyFill="1" applyBorder="1"/>
    <xf numFmtId="0" fontId="0" fillId="0" borderId="0" xfId="0" applyFont="1" applyFill="1"/>
    <xf numFmtId="0" fontId="5" fillId="0" borderId="5" xfId="0" applyFont="1" applyBorder="1" applyAlignment="1">
      <alignment wrapText="1"/>
    </xf>
    <xf numFmtId="0" fontId="5" fillId="0" borderId="3" xfId="0" applyFont="1" applyBorder="1" applyAlignment="1">
      <alignment wrapText="1"/>
    </xf>
    <xf numFmtId="0" fontId="5" fillId="3" borderId="5" xfId="0" applyFont="1" applyFill="1" applyBorder="1" applyAlignment="1">
      <alignment wrapText="1"/>
    </xf>
    <xf numFmtId="0" fontId="5" fillId="5" borderId="5" xfId="0" applyFont="1" applyFill="1" applyBorder="1" applyAlignment="1">
      <alignment wrapText="1"/>
    </xf>
    <xf numFmtId="0" fontId="5" fillId="10" borderId="5" xfId="0" applyFont="1" applyFill="1" applyBorder="1" applyAlignment="1">
      <alignment wrapText="1"/>
    </xf>
    <xf numFmtId="0" fontId="5" fillId="11" borderId="5" xfId="0" applyFont="1" applyFill="1" applyBorder="1" applyAlignment="1">
      <alignment wrapText="1"/>
    </xf>
    <xf numFmtId="0" fontId="5" fillId="0" borderId="12" xfId="0" applyFont="1" applyBorder="1" applyAlignment="1">
      <alignment wrapText="1"/>
    </xf>
    <xf numFmtId="0" fontId="0" fillId="0" borderId="0" xfId="0" applyFont="1" applyAlignment="1">
      <alignment horizontal="center"/>
    </xf>
    <xf numFmtId="0" fontId="29" fillId="0" borderId="0" xfId="0" applyFont="1"/>
    <xf numFmtId="0" fontId="0" fillId="0" borderId="0" xfId="0" applyFont="1" applyBorder="1"/>
    <xf numFmtId="0" fontId="5" fillId="12" borderId="11" xfId="0" applyFont="1" applyFill="1" applyBorder="1"/>
    <xf numFmtId="0" fontId="5" fillId="12" borderId="3" xfId="0" applyFont="1" applyFill="1" applyBorder="1"/>
    <xf numFmtId="0" fontId="5" fillId="3" borderId="24" xfId="0" applyFont="1" applyFill="1" applyBorder="1"/>
    <xf numFmtId="0" fontId="5" fillId="3" borderId="25" xfId="0" applyFont="1" applyFill="1" applyBorder="1"/>
    <xf numFmtId="0" fontId="5" fillId="3" borderId="26" xfId="0" applyFont="1" applyFill="1" applyBorder="1"/>
    <xf numFmtId="0" fontId="5" fillId="5" borderId="15" xfId="0" applyFont="1" applyFill="1" applyBorder="1"/>
    <xf numFmtId="0" fontId="28" fillId="5" borderId="16" xfId="0" applyFont="1" applyFill="1" applyBorder="1"/>
    <xf numFmtId="0" fontId="5" fillId="5" borderId="16" xfId="0" applyFont="1" applyFill="1" applyBorder="1"/>
    <xf numFmtId="0" fontId="5" fillId="5" borderId="17" xfId="0" applyFont="1" applyFill="1" applyBorder="1"/>
    <xf numFmtId="0" fontId="5" fillId="10" borderId="27" xfId="0" applyFont="1" applyFill="1" applyBorder="1"/>
    <xf numFmtId="0" fontId="5" fillId="10" borderId="28" xfId="0" applyFont="1" applyFill="1" applyBorder="1"/>
    <xf numFmtId="0" fontId="5" fillId="10" borderId="29" xfId="0" applyFont="1" applyFill="1" applyBorder="1"/>
    <xf numFmtId="0" fontId="5" fillId="11" borderId="27" xfId="0" applyFont="1" applyFill="1" applyBorder="1"/>
    <xf numFmtId="0" fontId="5" fillId="11" borderId="28" xfId="0" applyFont="1" applyFill="1" applyBorder="1"/>
    <xf numFmtId="0" fontId="5" fillId="11" borderId="29" xfId="0" applyFont="1" applyFill="1" applyBorder="1"/>
    <xf numFmtId="0" fontId="5" fillId="0" borderId="23" xfId="0" applyFont="1" applyFill="1" applyBorder="1"/>
    <xf numFmtId="0" fontId="5" fillId="9" borderId="18" xfId="0" applyFont="1" applyFill="1" applyBorder="1"/>
    <xf numFmtId="0" fontId="5" fillId="9" borderId="0" xfId="0" applyFont="1" applyFill="1" applyBorder="1"/>
    <xf numFmtId="0" fontId="5" fillId="9" borderId="19" xfId="0" applyFont="1" applyFill="1" applyBorder="1"/>
    <xf numFmtId="0" fontId="0" fillId="9" borderId="18" xfId="0" applyFont="1" applyFill="1" applyBorder="1"/>
    <xf numFmtId="0" fontId="0" fillId="9" borderId="0" xfId="0" applyFont="1" applyFill="1" applyBorder="1"/>
    <xf numFmtId="0" fontId="0" fillId="9" borderId="19" xfId="0" applyFont="1" applyFill="1" applyBorder="1"/>
    <xf numFmtId="166" fontId="0" fillId="0" borderId="0" xfId="0" applyNumberFormat="1" applyFont="1" applyBorder="1"/>
    <xf numFmtId="166" fontId="0" fillId="0" borderId="0" xfId="0" applyNumberFormat="1" applyFont="1"/>
    <xf numFmtId="11" fontId="0" fillId="0" borderId="0" xfId="0" applyNumberFormat="1" applyFont="1" applyBorder="1"/>
    <xf numFmtId="0" fontId="29" fillId="9" borderId="19" xfId="0" applyFont="1" applyFill="1" applyBorder="1"/>
    <xf numFmtId="0" fontId="30" fillId="9" borderId="19" xfId="0" applyFont="1" applyFill="1" applyBorder="1"/>
    <xf numFmtId="164" fontId="0" fillId="9" borderId="0" xfId="0" applyNumberFormat="1" applyFont="1" applyFill="1" applyBorder="1"/>
    <xf numFmtId="0" fontId="0" fillId="9" borderId="20" xfId="0" applyFont="1" applyFill="1" applyBorder="1"/>
    <xf numFmtId="0" fontId="0" fillId="9" borderId="21" xfId="0" applyFont="1" applyFill="1" applyBorder="1"/>
    <xf numFmtId="169" fontId="0" fillId="9" borderId="21" xfId="0" applyNumberFormat="1" applyFont="1" applyFill="1" applyBorder="1"/>
    <xf numFmtId="0" fontId="0" fillId="9" borderId="22" xfId="0" applyFont="1" applyFill="1" applyBorder="1"/>
    <xf numFmtId="0" fontId="0" fillId="0" borderId="4" xfId="0" applyFont="1" applyBorder="1"/>
    <xf numFmtId="0" fontId="0" fillId="9" borderId="4" xfId="0" applyFont="1" applyFill="1" applyBorder="1"/>
    <xf numFmtId="0" fontId="0" fillId="9" borderId="10" xfId="0" applyFont="1" applyFill="1" applyBorder="1"/>
    <xf numFmtId="0" fontId="0" fillId="9" borderId="9" xfId="0" applyFont="1" applyFill="1" applyBorder="1"/>
    <xf numFmtId="0" fontId="31" fillId="0" borderId="4" xfId="0" applyFont="1" applyFill="1" applyBorder="1" applyAlignment="1">
      <alignment horizontal="left" vertical="top" wrapText="1"/>
    </xf>
    <xf numFmtId="0" fontId="0" fillId="9" borderId="9" xfId="0" applyFont="1" applyFill="1" applyBorder="1" applyAlignment="1">
      <alignment vertical="top"/>
    </xf>
    <xf numFmtId="0" fontId="0" fillId="9" borderId="10" xfId="0" applyFont="1" applyFill="1" applyBorder="1" applyAlignment="1">
      <alignment vertical="top"/>
    </xf>
    <xf numFmtId="166" fontId="0" fillId="0" borderId="13" xfId="0" applyNumberFormat="1" applyFont="1" applyBorder="1"/>
    <xf numFmtId="166" fontId="0" fillId="0" borderId="13" xfId="0" applyNumberFormat="1" applyFont="1" applyBorder="1" applyAlignment="1">
      <alignment vertical="top" wrapText="1"/>
    </xf>
    <xf numFmtId="0" fontId="0" fillId="0" borderId="1" xfId="0" applyNumberFormat="1" applyFont="1" applyBorder="1"/>
    <xf numFmtId="166" fontId="0" fillId="0" borderId="1" xfId="0" applyNumberFormat="1" applyFont="1" applyBorder="1"/>
    <xf numFmtId="166" fontId="0" fillId="9" borderId="1" xfId="0" applyNumberFormat="1" applyFont="1" applyFill="1" applyBorder="1" applyAlignment="1">
      <alignment vertical="top"/>
    </xf>
    <xf numFmtId="166" fontId="0" fillId="9" borderId="0" xfId="0" applyNumberFormat="1" applyFont="1" applyFill="1" applyBorder="1" applyAlignment="1">
      <alignment vertical="top"/>
    </xf>
    <xf numFmtId="166" fontId="0" fillId="9" borderId="8" xfId="0" applyNumberFormat="1" applyFont="1" applyFill="1" applyBorder="1" applyAlignment="1">
      <alignment vertical="top"/>
    </xf>
    <xf numFmtId="166" fontId="0" fillId="0" borderId="14" xfId="0" applyNumberFormat="1" applyFont="1" applyBorder="1"/>
    <xf numFmtId="166" fontId="0" fillId="0" borderId="14" xfId="0" applyNumberFormat="1" applyFont="1" applyBorder="1" applyAlignment="1">
      <alignment vertical="top" wrapText="1"/>
    </xf>
    <xf numFmtId="0" fontId="0" fillId="0" borderId="9" xfId="0" applyNumberFormat="1" applyFont="1" applyBorder="1"/>
    <xf numFmtId="166" fontId="0" fillId="0" borderId="9" xfId="0" applyNumberFormat="1" applyFont="1" applyBorder="1"/>
    <xf numFmtId="166" fontId="0" fillId="9" borderId="9" xfId="0" applyNumberFormat="1" applyFont="1" applyFill="1" applyBorder="1" applyAlignment="1">
      <alignment vertical="top"/>
    </xf>
    <xf numFmtId="166" fontId="0" fillId="9" borderId="4" xfId="0" applyNumberFormat="1" applyFont="1" applyFill="1" applyBorder="1" applyAlignment="1">
      <alignment vertical="top"/>
    </xf>
    <xf numFmtId="166" fontId="0" fillId="9" borderId="10" xfId="0" applyNumberFormat="1" applyFont="1" applyFill="1" applyBorder="1" applyAlignment="1">
      <alignment vertical="top"/>
    </xf>
    <xf numFmtId="166" fontId="0" fillId="0" borderId="0" xfId="0" applyNumberFormat="1" applyFont="1" applyBorder="1" applyAlignment="1">
      <alignment vertical="top" wrapText="1"/>
    </xf>
    <xf numFmtId="0" fontId="0" fillId="0" borderId="0" xfId="0" applyNumberFormat="1" applyFont="1" applyBorder="1"/>
    <xf numFmtId="11" fontId="0" fillId="0" borderId="0" xfId="0" applyNumberFormat="1" applyFont="1"/>
    <xf numFmtId="11" fontId="0" fillId="0" borderId="4" xfId="0" applyNumberFormat="1" applyFont="1" applyBorder="1"/>
    <xf numFmtId="2" fontId="0" fillId="9" borderId="21" xfId="0" applyNumberFormat="1" applyFont="1" applyFill="1" applyBorder="1"/>
    <xf numFmtId="0" fontId="5" fillId="9" borderId="15" xfId="0" applyFont="1" applyFill="1" applyBorder="1"/>
    <xf numFmtId="0" fontId="5" fillId="9" borderId="16" xfId="0" applyFont="1" applyFill="1" applyBorder="1"/>
    <xf numFmtId="0" fontId="5" fillId="9" borderId="17" xfId="0" applyFont="1" applyFill="1" applyBorder="1"/>
    <xf numFmtId="166" fontId="5" fillId="0" borderId="0" xfId="0" applyNumberFormat="1" applyFont="1"/>
    <xf numFmtId="166" fontId="5" fillId="0" borderId="0" xfId="0" applyNumberFormat="1" applyFont="1" applyBorder="1"/>
    <xf numFmtId="0" fontId="27" fillId="9" borderId="19" xfId="0" applyFont="1" applyFill="1" applyBorder="1"/>
    <xf numFmtId="0" fontId="0" fillId="0" borderId="4" xfId="0" applyFont="1" applyFill="1" applyBorder="1"/>
    <xf numFmtId="166" fontId="0" fillId="0" borderId="1" xfId="0" applyNumberFormat="1" applyFont="1" applyFill="1" applyBorder="1" applyAlignment="1">
      <alignment vertical="top"/>
    </xf>
    <xf numFmtId="166" fontId="0" fillId="0" borderId="5" xfId="0" applyNumberFormat="1" applyFont="1" applyBorder="1"/>
    <xf numFmtId="166" fontId="0" fillId="0" borderId="5" xfId="0" applyNumberFormat="1" applyFont="1" applyBorder="1" applyAlignment="1">
      <alignment vertical="top" wrapText="1"/>
    </xf>
    <xf numFmtId="0" fontId="0" fillId="0" borderId="11" xfId="0" applyNumberFormat="1" applyFont="1" applyBorder="1"/>
    <xf numFmtId="166" fontId="0" fillId="0" borderId="11" xfId="0" applyNumberFormat="1" applyFont="1" applyBorder="1"/>
    <xf numFmtId="166" fontId="0" fillId="9" borderId="11" xfId="0" applyNumberFormat="1" applyFont="1" applyFill="1" applyBorder="1" applyAlignment="1">
      <alignment vertical="top"/>
    </xf>
    <xf numFmtId="166" fontId="0" fillId="9" borderId="3" xfId="0" applyNumberFormat="1" applyFont="1" applyFill="1" applyBorder="1" applyAlignment="1">
      <alignment vertical="top"/>
    </xf>
    <xf numFmtId="166" fontId="0" fillId="9" borderId="12" xfId="0" applyNumberFormat="1" applyFont="1" applyFill="1" applyBorder="1" applyAlignment="1">
      <alignment vertical="top"/>
    </xf>
    <xf numFmtId="0" fontId="34" fillId="0" borderId="0" xfId="3" applyFont="1" applyFill="1"/>
    <xf numFmtId="0" fontId="0" fillId="9" borderId="20" xfId="0" applyFill="1" applyBorder="1"/>
    <xf numFmtId="0" fontId="0" fillId="9" borderId="18" xfId="0" applyFill="1" applyBorder="1"/>
    <xf numFmtId="0" fontId="14" fillId="9" borderId="19" xfId="0" applyFont="1" applyFill="1" applyBorder="1"/>
    <xf numFmtId="0" fontId="35" fillId="9" borderId="18" xfId="0" applyFont="1" applyFill="1" applyBorder="1"/>
    <xf numFmtId="0" fontId="14" fillId="9" borderId="0" xfId="0" applyFont="1" applyFill="1" applyBorder="1"/>
    <xf numFmtId="9" fontId="14" fillId="9" borderId="19" xfId="0" applyNumberFormat="1" applyFont="1" applyFill="1" applyBorder="1"/>
    <xf numFmtId="0" fontId="14" fillId="9" borderId="18" xfId="0" applyFont="1" applyFill="1" applyBorder="1"/>
    <xf numFmtId="0" fontId="35" fillId="0" borderId="0" xfId="0" applyFont="1"/>
    <xf numFmtId="9" fontId="0" fillId="9" borderId="22" xfId="0" applyNumberFormat="1" applyFont="1" applyFill="1" applyBorder="1"/>
    <xf numFmtId="0" fontId="0" fillId="3" borderId="11" xfId="0" applyFont="1" applyFill="1" applyBorder="1" applyAlignment="1">
      <alignment vertical="top"/>
    </xf>
    <xf numFmtId="0" fontId="0" fillId="3" borderId="3" xfId="0" applyFont="1" applyFill="1" applyBorder="1" applyAlignment="1">
      <alignment vertical="top"/>
    </xf>
    <xf numFmtId="0" fontId="0" fillId="3" borderId="12" xfId="0" applyFont="1" applyFill="1" applyBorder="1" applyAlignment="1">
      <alignment vertical="top"/>
    </xf>
    <xf numFmtId="165" fontId="0" fillId="2" borderId="11" xfId="0" applyNumberFormat="1" applyFont="1" applyFill="1" applyBorder="1" applyAlignment="1">
      <alignment vertical="top"/>
    </xf>
    <xf numFmtId="165" fontId="0" fillId="2" borderId="3" xfId="0" applyNumberFormat="1" applyFont="1" applyFill="1" applyBorder="1" applyAlignment="1">
      <alignment vertical="top"/>
    </xf>
    <xf numFmtId="165" fontId="0" fillId="2" borderId="12" xfId="0" applyNumberFormat="1" applyFont="1" applyFill="1" applyBorder="1" applyAlignment="1">
      <alignment vertical="top"/>
    </xf>
    <xf numFmtId="165" fontId="0" fillId="6" borderId="11" xfId="0" applyNumberFormat="1" applyFont="1" applyFill="1" applyBorder="1" applyAlignment="1">
      <alignment vertical="top"/>
    </xf>
    <xf numFmtId="165" fontId="0" fillId="6" borderId="3" xfId="0" applyNumberFormat="1" applyFont="1" applyFill="1" applyBorder="1" applyAlignment="1">
      <alignment vertical="top"/>
    </xf>
    <xf numFmtId="165" fontId="0" fillId="6" borderId="12" xfId="0" applyNumberFormat="1" applyFont="1" applyFill="1" applyBorder="1" applyAlignment="1">
      <alignment vertical="top"/>
    </xf>
    <xf numFmtId="9" fontId="0" fillId="9" borderId="19" xfId="0" applyNumberFormat="1" applyFont="1" applyFill="1" applyBorder="1"/>
    <xf numFmtId="166" fontId="0" fillId="0" borderId="5" xfId="0" applyNumberFormat="1" applyFont="1" applyFill="1" applyBorder="1"/>
    <xf numFmtId="166" fontId="0" fillId="0" borderId="5" xfId="0" applyNumberFormat="1" applyFont="1" applyFill="1" applyBorder="1" applyAlignment="1">
      <alignment vertical="top" wrapText="1"/>
    </xf>
    <xf numFmtId="0" fontId="0" fillId="0" borderId="11" xfId="0" applyNumberFormat="1" applyFont="1" applyFill="1" applyBorder="1"/>
    <xf numFmtId="0" fontId="37" fillId="0" borderId="0" xfId="0" applyFont="1"/>
    <xf numFmtId="0" fontId="0" fillId="9" borderId="0" xfId="0" applyFill="1" applyBorder="1"/>
    <xf numFmtId="9" fontId="0" fillId="9" borderId="19" xfId="0" quotePrefix="1" applyNumberFormat="1" applyFill="1" applyBorder="1"/>
    <xf numFmtId="9" fontId="14" fillId="9" borderId="22" xfId="0" applyNumberFormat="1" applyFont="1" applyFill="1" applyBorder="1"/>
    <xf numFmtId="0" fontId="0" fillId="0" borderId="3" xfId="0" applyBorder="1" applyAlignment="1">
      <alignment vertical="top"/>
    </xf>
    <xf numFmtId="166" fontId="0" fillId="0" borderId="5" xfId="0" applyNumberFormat="1" applyBorder="1" applyAlignment="1">
      <alignment vertical="top" wrapText="1"/>
    </xf>
    <xf numFmtId="0" fontId="0" fillId="15" borderId="3" xfId="0" applyFill="1" applyBorder="1" applyAlignment="1">
      <alignment vertical="top"/>
    </xf>
    <xf numFmtId="0" fontId="0" fillId="0" borderId="4" xfId="0" applyFill="1" applyBorder="1" applyAlignment="1">
      <alignment vertical="top"/>
    </xf>
    <xf numFmtId="0" fontId="0" fillId="17" borderId="0" xfId="0" applyFont="1" applyFill="1" applyBorder="1" applyAlignment="1">
      <alignment vertical="top"/>
    </xf>
    <xf numFmtId="0" fontId="5" fillId="0" borderId="4" xfId="0" applyFont="1" applyBorder="1" applyAlignment="1">
      <alignment horizontal="right"/>
    </xf>
    <xf numFmtId="171" fontId="0" fillId="0" borderId="0" xfId="0" applyNumberFormat="1" applyFont="1" applyBorder="1"/>
    <xf numFmtId="0" fontId="38" fillId="0" borderId="5" xfId="0" applyFont="1" applyBorder="1"/>
    <xf numFmtId="0" fontId="0" fillId="0" borderId="5" xfId="0" applyFont="1" applyBorder="1"/>
    <xf numFmtId="0" fontId="0" fillId="9" borderId="12" xfId="0" applyFont="1" applyFill="1" applyBorder="1" applyAlignment="1">
      <alignment vertical="top"/>
    </xf>
    <xf numFmtId="166" fontId="6" fillId="0" borderId="0" xfId="0" applyNumberFormat="1" applyFont="1" applyFill="1" applyBorder="1" applyAlignment="1">
      <alignment vertical="top"/>
    </xf>
    <xf numFmtId="0" fontId="39" fillId="0" borderId="0" xfId="0" applyFont="1"/>
    <xf numFmtId="0" fontId="0" fillId="9" borderId="19" xfId="0" applyFill="1" applyBorder="1"/>
    <xf numFmtId="0" fontId="0" fillId="9" borderId="22" xfId="0" applyFill="1" applyBorder="1"/>
    <xf numFmtId="0" fontId="14" fillId="9" borderId="22" xfId="0" applyFont="1" applyFill="1" applyBorder="1"/>
    <xf numFmtId="167" fontId="8" fillId="9" borderId="0" xfId="0" applyNumberFormat="1" applyFont="1" applyFill="1" applyBorder="1"/>
    <xf numFmtId="0" fontId="23" fillId="9" borderId="22" xfId="0" applyFont="1" applyFill="1" applyBorder="1"/>
    <xf numFmtId="0" fontId="0" fillId="0" borderId="0" xfId="0" applyFill="1"/>
    <xf numFmtId="0" fontId="5" fillId="0" borderId="0" xfId="0" applyFont="1" applyFill="1"/>
    <xf numFmtId="0" fontId="0" fillId="0" borderId="0" xfId="0" applyFill="1" applyBorder="1"/>
    <xf numFmtId="0" fontId="5" fillId="0" borderId="1" xfId="0" applyFont="1" applyFill="1" applyBorder="1"/>
    <xf numFmtId="0" fontId="0" fillId="0" borderId="8" xfId="0" applyFill="1" applyBorder="1"/>
    <xf numFmtId="0" fontId="0" fillId="0" borderId="10" xfId="0" applyFill="1" applyBorder="1"/>
    <xf numFmtId="166" fontId="0" fillId="0" borderId="0" xfId="0" applyNumberFormat="1" applyFill="1" applyBorder="1" applyAlignment="1">
      <alignment vertical="top"/>
    </xf>
    <xf numFmtId="0" fontId="0" fillId="3" borderId="0" xfId="0" applyFont="1" applyFill="1" applyBorder="1" applyAlignment="1">
      <alignment vertical="top"/>
    </xf>
    <xf numFmtId="0" fontId="0" fillId="6" borderId="0" xfId="0" applyFont="1" applyFill="1" applyBorder="1" applyAlignment="1">
      <alignment vertical="top"/>
    </xf>
    <xf numFmtId="0" fontId="0" fillId="0" borderId="3" xfId="0" applyFill="1" applyBorder="1" applyAlignment="1">
      <alignment vertical="top"/>
    </xf>
    <xf numFmtId="0" fontId="0" fillId="3" borderId="4" xfId="0" applyFont="1" applyFill="1" applyBorder="1" applyAlignment="1">
      <alignment vertical="top"/>
    </xf>
    <xf numFmtId="0" fontId="15" fillId="0" borderId="3" xfId="0" applyFont="1" applyFill="1" applyBorder="1" applyAlignment="1">
      <alignment vertical="top"/>
    </xf>
    <xf numFmtId="0" fontId="15" fillId="0" borderId="3" xfId="0" applyFont="1" applyFill="1" applyBorder="1" applyAlignment="1">
      <alignment vertical="top" wrapText="1"/>
    </xf>
    <xf numFmtId="0" fontId="15" fillId="0" borderId="3" xfId="0" applyFont="1" applyBorder="1" applyAlignment="1">
      <alignment vertical="top" wrapText="1"/>
    </xf>
    <xf numFmtId="0" fontId="15" fillId="0" borderId="3" xfId="0" applyFont="1" applyFill="1" applyBorder="1" applyAlignment="1">
      <alignment horizontal="left" vertical="top" wrapText="1"/>
    </xf>
    <xf numFmtId="0" fontId="15" fillId="13" borderId="3" xfId="0" applyFont="1" applyFill="1" applyBorder="1" applyAlignment="1">
      <alignment vertical="top"/>
    </xf>
    <xf numFmtId="0" fontId="15" fillId="14" borderId="3" xfId="0" applyFont="1" applyFill="1" applyBorder="1" applyAlignment="1">
      <alignment vertical="top"/>
    </xf>
    <xf numFmtId="0" fontId="31" fillId="0" borderId="3" xfId="0" applyFont="1" applyFill="1" applyBorder="1" applyAlignment="1">
      <alignment horizontal="left" vertical="top" wrapText="1"/>
    </xf>
    <xf numFmtId="0" fontId="15" fillId="0" borderId="11" xfId="0" applyFont="1" applyFill="1" applyBorder="1" applyAlignment="1">
      <alignment vertical="top" wrapText="1"/>
    </xf>
    <xf numFmtId="0" fontId="15" fillId="16" borderId="12" xfId="0" applyFont="1" applyFill="1" applyBorder="1" applyAlignment="1">
      <alignment vertical="top" wrapText="1"/>
    </xf>
    <xf numFmtId="0" fontId="5" fillId="4" borderId="12" xfId="0" applyFont="1" applyFill="1" applyBorder="1"/>
    <xf numFmtId="0" fontId="0" fillId="9" borderId="11" xfId="0" applyFont="1" applyFill="1" applyBorder="1" applyAlignment="1">
      <alignment vertical="top"/>
    </xf>
    <xf numFmtId="0" fontId="0" fillId="9" borderId="3" xfId="0" applyFont="1" applyFill="1" applyBorder="1" applyAlignment="1">
      <alignment vertical="top"/>
    </xf>
    <xf numFmtId="166" fontId="0" fillId="0" borderId="5" xfId="0" applyNumberFormat="1" applyBorder="1"/>
    <xf numFmtId="0" fontId="0" fillId="0" borderId="11" xfId="0" applyNumberFormat="1" applyBorder="1"/>
    <xf numFmtId="166" fontId="0" fillId="0" borderId="11" xfId="0" applyNumberFormat="1" applyBorder="1"/>
    <xf numFmtId="166" fontId="0" fillId="9" borderId="11" xfId="0" applyNumberFormat="1" applyFill="1" applyBorder="1" applyAlignment="1">
      <alignment vertical="top"/>
    </xf>
    <xf numFmtId="166" fontId="0" fillId="9" borderId="3" xfId="0" applyNumberFormat="1" applyFill="1" applyBorder="1" applyAlignment="1">
      <alignment vertical="top"/>
    </xf>
    <xf numFmtId="166" fontId="0" fillId="9" borderId="12" xfId="0" applyNumberFormat="1" applyFill="1" applyBorder="1" applyAlignment="1">
      <alignment vertical="top"/>
    </xf>
    <xf numFmtId="0" fontId="0" fillId="17" borderId="4" xfId="0" applyFont="1" applyFill="1" applyBorder="1" applyAlignment="1">
      <alignment vertical="top"/>
    </xf>
    <xf numFmtId="0" fontId="0" fillId="9" borderId="2" xfId="0" applyFont="1" applyFill="1" applyBorder="1" applyAlignment="1">
      <alignment vertical="top"/>
    </xf>
    <xf numFmtId="0" fontId="0" fillId="0" borderId="2" xfId="0" applyFont="1" applyBorder="1" applyAlignment="1">
      <alignment vertical="top"/>
    </xf>
    <xf numFmtId="166" fontId="0" fillId="0" borderId="30" xfId="0" applyNumberFormat="1" applyFont="1" applyBorder="1"/>
    <xf numFmtId="166" fontId="0" fillId="0" borderId="30" xfId="0" applyNumberFormat="1" applyFont="1" applyBorder="1" applyAlignment="1">
      <alignment vertical="top" wrapText="1"/>
    </xf>
    <xf numFmtId="0" fontId="0" fillId="0" borderId="6" xfId="0" applyNumberFormat="1" applyFont="1" applyBorder="1"/>
    <xf numFmtId="166" fontId="0" fillId="0" borderId="6" xfId="0" applyNumberFormat="1" applyFont="1" applyBorder="1"/>
    <xf numFmtId="166" fontId="0" fillId="9" borderId="6" xfId="0" applyNumberFormat="1" applyFont="1" applyFill="1" applyBorder="1" applyAlignment="1">
      <alignment vertical="top"/>
    </xf>
    <xf numFmtId="166" fontId="0" fillId="9" borderId="2" xfId="0" applyNumberFormat="1" applyFont="1" applyFill="1" applyBorder="1" applyAlignment="1">
      <alignment vertical="top"/>
    </xf>
    <xf numFmtId="166" fontId="0" fillId="9" borderId="7" xfId="0" applyNumberFormat="1" applyFont="1" applyFill="1" applyBorder="1" applyAlignment="1">
      <alignment vertical="top"/>
    </xf>
    <xf numFmtId="171" fontId="5" fillId="4" borderId="9" xfId="0" applyNumberFormat="1" applyFont="1" applyFill="1" applyBorder="1"/>
    <xf numFmtId="0" fontId="0" fillId="5" borderId="3" xfId="0" applyFont="1" applyFill="1" applyBorder="1" applyAlignment="1">
      <alignment vertical="top"/>
    </xf>
    <xf numFmtId="11" fontId="0" fillId="9" borderId="4" xfId="0" applyNumberFormat="1" applyFont="1" applyFill="1" applyBorder="1" applyAlignment="1">
      <alignment vertical="top"/>
    </xf>
    <xf numFmtId="0" fontId="0" fillId="17" borderId="3" xfId="0" applyFont="1" applyFill="1" applyBorder="1" applyAlignment="1">
      <alignment vertical="top"/>
    </xf>
    <xf numFmtId="166" fontId="0" fillId="0" borderId="13" xfId="0" applyNumberFormat="1" applyFill="1" applyBorder="1"/>
    <xf numFmtId="166" fontId="0" fillId="0" borderId="13" xfId="0" applyNumberFormat="1" applyFill="1" applyBorder="1" applyAlignment="1">
      <alignment vertical="top" wrapText="1"/>
    </xf>
    <xf numFmtId="0" fontId="0" fillId="0" borderId="1" xfId="0" applyNumberFormat="1" applyFill="1" applyBorder="1"/>
    <xf numFmtId="166" fontId="0" fillId="0" borderId="1" xfId="0" applyNumberFormat="1" applyFill="1" applyBorder="1"/>
    <xf numFmtId="166" fontId="0" fillId="0" borderId="1" xfId="0" applyNumberFormat="1" applyFill="1" applyBorder="1" applyAlignment="1">
      <alignment vertical="top"/>
    </xf>
    <xf numFmtId="166" fontId="0" fillId="0" borderId="8" xfId="0" applyNumberFormat="1" applyFill="1" applyBorder="1" applyAlignment="1">
      <alignment vertical="top"/>
    </xf>
    <xf numFmtId="166" fontId="0" fillId="0" borderId="14" xfId="0" applyNumberFormat="1" applyFill="1" applyBorder="1"/>
    <xf numFmtId="166" fontId="0" fillId="0" borderId="14" xfId="0" applyNumberFormat="1" applyFill="1" applyBorder="1" applyAlignment="1">
      <alignment vertical="top" wrapText="1"/>
    </xf>
    <xf numFmtId="0" fontId="0" fillId="0" borderId="9" xfId="0" applyNumberFormat="1" applyFill="1" applyBorder="1"/>
    <xf numFmtId="166" fontId="0" fillId="0" borderId="9" xfId="0" applyNumberFormat="1" applyFill="1" applyBorder="1"/>
    <xf numFmtId="166" fontId="0" fillId="0" borderId="9" xfId="0" applyNumberFormat="1" applyFill="1" applyBorder="1" applyAlignment="1">
      <alignment vertical="top"/>
    </xf>
    <xf numFmtId="166" fontId="0" fillId="0" borderId="4" xfId="0" applyNumberFormat="1" applyFill="1" applyBorder="1" applyAlignment="1">
      <alignment vertical="top"/>
    </xf>
    <xf numFmtId="166" fontId="0" fillId="0" borderId="10" xfId="0" applyNumberFormat="1" applyFill="1" applyBorder="1" applyAlignment="1">
      <alignment vertical="top"/>
    </xf>
    <xf numFmtId="166" fontId="0" fillId="0" borderId="3" xfId="0" applyNumberFormat="1" applyFill="1" applyBorder="1" applyAlignment="1">
      <alignment vertical="top"/>
    </xf>
    <xf numFmtId="166" fontId="0" fillId="0" borderId="5" xfId="0" applyNumberFormat="1" applyFill="1" applyBorder="1"/>
    <xf numFmtId="166" fontId="0" fillId="0" borderId="5" xfId="0" applyNumberFormat="1" applyFill="1" applyBorder="1" applyAlignment="1">
      <alignment vertical="top" wrapText="1"/>
    </xf>
    <xf numFmtId="0" fontId="0" fillId="0" borderId="11" xfId="0" applyNumberFormat="1" applyFill="1" applyBorder="1"/>
    <xf numFmtId="166" fontId="0" fillId="0" borderId="11" xfId="0" applyNumberFormat="1" applyFill="1" applyBorder="1"/>
    <xf numFmtId="166" fontId="0" fillId="0" borderId="11" xfId="0" applyNumberFormat="1" applyFill="1" applyBorder="1" applyAlignment="1">
      <alignment vertical="top"/>
    </xf>
    <xf numFmtId="166" fontId="0" fillId="0" borderId="12" xfId="0" applyNumberFormat="1" applyFill="1" applyBorder="1" applyAlignment="1">
      <alignment vertical="top"/>
    </xf>
    <xf numFmtId="0" fontId="5" fillId="12" borderId="11" xfId="0" applyFont="1" applyFill="1" applyBorder="1" applyAlignment="1">
      <alignment horizontal="center"/>
    </xf>
    <xf numFmtId="0" fontId="0" fillId="0" borderId="12" xfId="0" applyFont="1" applyBorder="1" applyAlignment="1">
      <alignment horizontal="center"/>
    </xf>
    <xf numFmtId="0" fontId="5" fillId="0" borderId="4" xfId="0" applyFont="1" applyBorder="1" applyAlignment="1">
      <alignment horizontal="left" vertical="top" wrapText="1"/>
    </xf>
    <xf numFmtId="0" fontId="0" fillId="0" borderId="4" xfId="0" applyBorder="1" applyAlignment="1">
      <alignment wrapText="1"/>
    </xf>
    <xf numFmtId="1" fontId="0" fillId="0" borderId="5" xfId="0" applyNumberFormat="1" applyBorder="1" applyAlignment="1">
      <alignment wrapText="1"/>
    </xf>
    <xf numFmtId="0" fontId="0" fillId="9" borderId="22" xfId="0" applyFont="1" applyFill="1" applyBorder="1" applyAlignment="1"/>
    <xf numFmtId="0" fontId="0" fillId="9" borderId="0" xfId="0" applyFont="1" applyFill="1" applyBorder="1" applyAlignment="1"/>
    <xf numFmtId="0" fontId="35" fillId="0" borderId="4" xfId="0" applyFont="1" applyFill="1" applyBorder="1" applyAlignment="1">
      <alignment vertical="top" wrapText="1"/>
    </xf>
    <xf numFmtId="0" fontId="35" fillId="0" borderId="4" xfId="0" applyFont="1" applyFill="1" applyBorder="1" applyAlignment="1">
      <alignment horizontal="left" vertical="top" wrapText="1"/>
    </xf>
    <xf numFmtId="0" fontId="35" fillId="0" borderId="4" xfId="0" applyFont="1" applyFill="1" applyBorder="1" applyAlignment="1">
      <alignment vertical="top"/>
    </xf>
    <xf numFmtId="0" fontId="41" fillId="0" borderId="4" xfId="0" applyFont="1" applyFill="1" applyBorder="1" applyAlignment="1">
      <alignment horizontal="left" vertical="top" wrapText="1"/>
    </xf>
    <xf numFmtId="0" fontId="14" fillId="0" borderId="0" xfId="0" applyFont="1" applyFill="1" applyBorder="1" applyAlignment="1">
      <alignment vertical="top" wrapText="1"/>
    </xf>
    <xf numFmtId="167" fontId="14" fillId="0" borderId="0" xfId="0" applyNumberFormat="1" applyFont="1" applyFill="1" applyBorder="1" applyAlignment="1">
      <alignment vertical="top"/>
    </xf>
    <xf numFmtId="0" fontId="14" fillId="0" borderId="0" xfId="0" applyFont="1" applyFill="1" applyBorder="1" applyAlignment="1">
      <alignment vertical="top"/>
    </xf>
    <xf numFmtId="0" fontId="14" fillId="0" borderId="0" xfId="0" applyFont="1" applyFill="1" applyBorder="1" applyAlignment="1">
      <alignment horizontal="left" vertical="top"/>
    </xf>
    <xf numFmtId="49" fontId="14" fillId="0" borderId="0" xfId="0" applyNumberFormat="1" applyFont="1" applyFill="1" applyBorder="1" applyAlignment="1">
      <alignment vertical="top"/>
    </xf>
    <xf numFmtId="2" fontId="14" fillId="0" borderId="0" xfId="0" applyNumberFormat="1" applyFont="1" applyFill="1" applyBorder="1" applyAlignment="1">
      <alignment vertical="top"/>
    </xf>
    <xf numFmtId="49" fontId="14" fillId="0" borderId="0" xfId="0" applyNumberFormat="1" applyFont="1" applyFill="1" applyBorder="1" applyAlignment="1">
      <alignment horizontal="left" vertical="top"/>
    </xf>
    <xf numFmtId="166" fontId="14" fillId="0" borderId="0" xfId="0" applyNumberFormat="1" applyFont="1" applyFill="1" applyBorder="1" applyAlignment="1">
      <alignment vertical="top"/>
    </xf>
    <xf numFmtId="9" fontId="14" fillId="0" borderId="0" xfId="0" applyNumberFormat="1" applyFont="1" applyFill="1" applyBorder="1" applyAlignment="1">
      <alignment horizontal="left" vertical="top"/>
    </xf>
    <xf numFmtId="164" fontId="14" fillId="0" borderId="0" xfId="0" applyNumberFormat="1" applyFont="1" applyFill="1" applyBorder="1" applyAlignment="1">
      <alignment vertical="top"/>
    </xf>
    <xf numFmtId="0" fontId="14" fillId="0" borderId="0" xfId="0" applyFont="1" applyFill="1" applyBorder="1" applyAlignment="1">
      <alignment horizontal="left" vertical="top" wrapText="1"/>
    </xf>
    <xf numFmtId="14" fontId="14" fillId="0" borderId="0" xfId="0" quotePrefix="1" applyNumberFormat="1" applyFont="1" applyFill="1" applyBorder="1" applyAlignment="1">
      <alignment vertical="top"/>
    </xf>
    <xf numFmtId="0" fontId="0" fillId="0" borderId="0" xfId="0" applyFont="1" applyAlignment="1"/>
    <xf numFmtId="0" fontId="0" fillId="0" borderId="4" xfId="0" applyNumberFormat="1" applyFont="1" applyBorder="1"/>
    <xf numFmtId="0" fontId="5" fillId="8" borderId="30" xfId="0" applyFont="1" applyFill="1" applyBorder="1"/>
    <xf numFmtId="1" fontId="0" fillId="0" borderId="30" xfId="0" applyNumberFormat="1" applyBorder="1" applyAlignment="1">
      <alignment wrapText="1"/>
    </xf>
    <xf numFmtId="1" fontId="0" fillId="0" borderId="13" xfId="0" applyNumberFormat="1" applyBorder="1" applyAlignment="1">
      <alignment wrapText="1"/>
    </xf>
    <xf numFmtId="1" fontId="0" fillId="0" borderId="14" xfId="0" applyNumberFormat="1" applyBorder="1" applyAlignment="1">
      <alignment wrapText="1"/>
    </xf>
    <xf numFmtId="0" fontId="24" fillId="9" borderId="25" xfId="0" applyFont="1" applyFill="1" applyBorder="1"/>
    <xf numFmtId="0" fontId="24" fillId="9" borderId="26" xfId="0" applyFont="1" applyFill="1" applyBorder="1"/>
    <xf numFmtId="0" fontId="24" fillId="3" borderId="25" xfId="0" applyFont="1" applyFill="1" applyBorder="1"/>
    <xf numFmtId="0" fontId="24" fillId="3" borderId="26" xfId="0" applyFont="1" applyFill="1" applyBorder="1"/>
    <xf numFmtId="0" fontId="42" fillId="5" borderId="16" xfId="0" applyFont="1" applyFill="1" applyBorder="1"/>
    <xf numFmtId="0" fontId="24" fillId="5" borderId="16" xfId="0" applyFont="1" applyFill="1" applyBorder="1"/>
    <xf numFmtId="0" fontId="24" fillId="5" borderId="17" xfId="0" applyFont="1" applyFill="1" applyBorder="1"/>
    <xf numFmtId="0" fontId="24" fillId="10" borderId="28" xfId="0" applyFont="1" applyFill="1" applyBorder="1"/>
    <xf numFmtId="0" fontId="24" fillId="10" borderId="29" xfId="0" applyFont="1" applyFill="1" applyBorder="1"/>
    <xf numFmtId="0" fontId="24" fillId="11" borderId="28" xfId="0" applyFont="1" applyFill="1" applyBorder="1"/>
    <xf numFmtId="0" fontId="24" fillId="11" borderId="29" xfId="0" applyFont="1" applyFill="1" applyBorder="1"/>
    <xf numFmtId="0" fontId="24" fillId="0" borderId="23" xfId="0" applyFont="1" applyFill="1" applyBorder="1"/>
  </cellXfs>
  <cellStyles count="6">
    <cellStyle name="Hyperlink_HUMTOX_NONCARC1a" xfId="4" xr:uid="{00000000-0005-0000-0000-000000000000}"/>
    <cellStyle name="Normal" xfId="0" builtinId="0"/>
    <cellStyle name="Normal 12" xfId="5" xr:uid="{00000000-0005-0000-0000-000002000000}"/>
    <cellStyle name="Normal 2" xfId="1" xr:uid="{00000000-0005-0000-0000-000003000000}"/>
    <cellStyle name="Normal 3" xfId="3" xr:uid="{00000000-0005-0000-0000-000004000000}"/>
    <cellStyle name="Procent" xfId="2" builtinId="5"/>
  </cellStyles>
  <dxfs count="0"/>
  <tableStyles count="0" defaultTableStyle="TableStyleMedium9" defaultPivotStyle="PivotStyleLight16"/>
  <colors>
    <mruColors>
      <color rgb="FF36D6DA"/>
      <color rgb="FF1D9B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22412</xdr:colOff>
      <xdr:row>41</xdr:row>
      <xdr:rowOff>0</xdr:rowOff>
    </xdr:from>
    <xdr:to>
      <xdr:col>17</xdr:col>
      <xdr:colOff>235324</xdr:colOff>
      <xdr:row>83</xdr:row>
      <xdr:rowOff>3827</xdr:rowOff>
    </xdr:to>
    <xdr:pic>
      <xdr:nvPicPr>
        <xdr:cNvPr id="164867" name="Picture 3">
          <a:extLst>
            <a:ext uri="{FF2B5EF4-FFF2-40B4-BE49-F238E27FC236}">
              <a16:creationId xmlns:a16="http://schemas.microsoft.com/office/drawing/2014/main" id="{00000000-0008-0000-0100-0000038402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412" y="6566647"/>
          <a:ext cx="10499912" cy="6592886"/>
        </a:xfrm>
        <a:prstGeom prst="rect">
          <a:avLst/>
        </a:prstGeom>
        <a:solidFill>
          <a:schemeClr val="bg1"/>
        </a:solidFill>
      </xdr:spPr>
    </xdr:pic>
    <xdr:clientData/>
  </xdr:twoCellAnchor>
  <xdr:twoCellAnchor editAs="oneCell">
    <xdr:from>
      <xdr:col>0</xdr:col>
      <xdr:colOff>0</xdr:colOff>
      <xdr:row>4</xdr:row>
      <xdr:rowOff>112059</xdr:rowOff>
    </xdr:from>
    <xdr:to>
      <xdr:col>19</xdr:col>
      <xdr:colOff>231589</xdr:colOff>
      <xdr:row>38</xdr:row>
      <xdr:rowOff>56030</xdr:rowOff>
    </xdr:to>
    <xdr:pic>
      <xdr:nvPicPr>
        <xdr:cNvPr id="3" name="Bildobjekt 2">
          <a:extLst>
            <a:ext uri="{FF2B5EF4-FFF2-40B4-BE49-F238E27FC236}">
              <a16:creationId xmlns:a16="http://schemas.microsoft.com/office/drawing/2014/main" id="{B709AADB-FC26-4113-8662-A5E80A54472F}"/>
            </a:ext>
          </a:extLst>
        </xdr:cNvPr>
        <xdr:cNvPicPr>
          <a:picLocks noChangeAspect="1"/>
        </xdr:cNvPicPr>
      </xdr:nvPicPr>
      <xdr:blipFill>
        <a:blip xmlns:r="http://schemas.openxmlformats.org/officeDocument/2006/relationships" r:embed="rId2"/>
        <a:stretch>
          <a:fillRect/>
        </a:stretch>
      </xdr:blipFill>
      <xdr:spPr>
        <a:xfrm>
          <a:off x="0" y="840441"/>
          <a:ext cx="11728824" cy="52779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3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1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6"/>
  <sheetViews>
    <sheetView tabSelected="1" zoomScale="80" zoomScaleNormal="80" workbookViewId="0">
      <selection activeCell="C5" sqref="C5"/>
    </sheetView>
  </sheetViews>
  <sheetFormatPr defaultRowHeight="12.75" x14ac:dyDescent="0.2"/>
  <cols>
    <col min="1" max="1" width="9.140625" style="244"/>
    <col min="2" max="2" width="11" style="244" customWidth="1"/>
    <col min="3" max="3" width="56.5703125" style="244" customWidth="1"/>
    <col min="4" max="4" width="15.85546875" style="244" customWidth="1"/>
    <col min="5" max="8" width="13" style="244" customWidth="1"/>
    <col min="9" max="9" width="19.5703125" style="244" bestFit="1" customWidth="1"/>
    <col min="10" max="10" width="23" style="244" customWidth="1"/>
    <col min="11" max="11" width="9.42578125" style="244" bestFit="1" customWidth="1"/>
    <col min="12" max="12" width="9.140625" style="244"/>
    <col min="13" max="13" width="35.7109375" style="244" customWidth="1"/>
    <col min="14" max="18" width="9.42578125" style="244" bestFit="1" customWidth="1"/>
    <col min="19" max="19" width="9.28515625" style="244" bestFit="1" customWidth="1"/>
    <col min="20" max="20" width="10.28515625" style="244" bestFit="1" customWidth="1"/>
    <col min="21" max="21" width="9.28515625" style="244" bestFit="1" customWidth="1"/>
    <col min="22" max="16384" width="9.140625" style="244"/>
  </cols>
  <sheetData>
    <row r="1" spans="1:10" ht="18" x14ac:dyDescent="0.25">
      <c r="A1" s="372" t="s">
        <v>1061</v>
      </c>
    </row>
    <row r="2" spans="1:10" x14ac:dyDescent="0.2">
      <c r="C2" s="1"/>
    </row>
    <row r="3" spans="1:10" ht="200.25" customHeight="1" x14ac:dyDescent="0.2">
      <c r="A3" s="443" t="s">
        <v>1307</v>
      </c>
      <c r="B3" s="444"/>
      <c r="C3" s="444"/>
      <c r="D3" s="444"/>
      <c r="E3" s="444"/>
      <c r="F3" s="444"/>
      <c r="G3" s="444"/>
      <c r="H3" s="444"/>
      <c r="I3" s="444"/>
    </row>
    <row r="4" spans="1:10" s="250" customFormat="1" x14ac:dyDescent="0.2">
      <c r="A4" s="245"/>
      <c r="B4" s="246"/>
      <c r="C4" s="247" t="s">
        <v>224</v>
      </c>
      <c r="D4" s="248"/>
      <c r="E4" s="441" t="s">
        <v>256</v>
      </c>
      <c r="F4" s="442"/>
      <c r="G4" s="441" t="s">
        <v>270</v>
      </c>
      <c r="H4" s="442"/>
      <c r="I4" s="249" t="s">
        <v>257</v>
      </c>
      <c r="J4" s="249" t="s">
        <v>991</v>
      </c>
    </row>
    <row r="5" spans="1:10" ht="38.25" x14ac:dyDescent="0.2">
      <c r="A5" s="251" t="s">
        <v>957</v>
      </c>
      <c r="B5" s="252" t="s">
        <v>992</v>
      </c>
      <c r="C5" s="252" t="s">
        <v>220</v>
      </c>
      <c r="D5" s="251" t="s">
        <v>221</v>
      </c>
      <c r="E5" s="253" t="s">
        <v>222</v>
      </c>
      <c r="F5" s="254" t="s">
        <v>223</v>
      </c>
      <c r="G5" s="255" t="s">
        <v>254</v>
      </c>
      <c r="H5" s="256" t="s">
        <v>255</v>
      </c>
      <c r="I5" s="257" t="s">
        <v>426</v>
      </c>
    </row>
    <row r="6" spans="1:10" x14ac:dyDescent="0.2">
      <c r="A6" s="244">
        <v>1</v>
      </c>
      <c r="B6" s="244" t="s">
        <v>140</v>
      </c>
      <c r="C6" s="244" t="s">
        <v>258</v>
      </c>
      <c r="D6" s="244" t="s">
        <v>431</v>
      </c>
      <c r="E6" s="258" t="s">
        <v>12</v>
      </c>
      <c r="F6" s="258" t="s">
        <v>12</v>
      </c>
      <c r="G6" s="258" t="s">
        <v>12</v>
      </c>
      <c r="H6" s="258" t="s">
        <v>12</v>
      </c>
      <c r="I6" s="258" t="s">
        <v>427</v>
      </c>
      <c r="J6" s="244" t="s">
        <v>431</v>
      </c>
    </row>
    <row r="7" spans="1:10" x14ac:dyDescent="0.2">
      <c r="A7" s="244">
        <v>2</v>
      </c>
      <c r="B7" s="244" t="s">
        <v>140</v>
      </c>
      <c r="C7" s="244" t="s">
        <v>177</v>
      </c>
      <c r="D7" s="244" t="s">
        <v>444</v>
      </c>
      <c r="E7" s="244" t="s">
        <v>440</v>
      </c>
      <c r="F7" s="244" t="s">
        <v>441</v>
      </c>
      <c r="G7" s="244" t="s">
        <v>442</v>
      </c>
      <c r="H7" s="244" t="s">
        <v>443</v>
      </c>
      <c r="I7" s="258" t="s">
        <v>427</v>
      </c>
    </row>
    <row r="8" spans="1:10" x14ac:dyDescent="0.2">
      <c r="A8" s="244">
        <v>3</v>
      </c>
      <c r="B8" s="244" t="s">
        <v>140</v>
      </c>
      <c r="C8" s="244" t="s">
        <v>432</v>
      </c>
      <c r="D8" s="244" t="s">
        <v>449</v>
      </c>
      <c r="E8" s="244" t="s">
        <v>450</v>
      </c>
      <c r="F8" s="244" t="s">
        <v>451</v>
      </c>
      <c r="G8" s="244" t="s">
        <v>452</v>
      </c>
      <c r="H8" s="244" t="s">
        <v>453</v>
      </c>
      <c r="I8" s="258" t="s">
        <v>427</v>
      </c>
    </row>
    <row r="9" spans="1:10" x14ac:dyDescent="0.2">
      <c r="A9" s="244">
        <v>4</v>
      </c>
      <c r="B9" s="244" t="s">
        <v>140</v>
      </c>
      <c r="C9" s="244" t="s">
        <v>860</v>
      </c>
      <c r="D9" s="244" t="s">
        <v>445</v>
      </c>
      <c r="E9" s="244" t="s">
        <v>446</v>
      </c>
      <c r="F9" s="244" t="s">
        <v>447</v>
      </c>
      <c r="G9" s="244" t="s">
        <v>454</v>
      </c>
      <c r="H9" s="244" t="s">
        <v>448</v>
      </c>
      <c r="I9" s="258" t="s">
        <v>427</v>
      </c>
      <c r="J9" t="s">
        <v>1022</v>
      </c>
    </row>
    <row r="10" spans="1:10" x14ac:dyDescent="0.2">
      <c r="A10" s="244">
        <v>5</v>
      </c>
      <c r="B10" s="244" t="s">
        <v>140</v>
      </c>
      <c r="C10" s="244" t="s">
        <v>178</v>
      </c>
      <c r="D10" s="244" t="s">
        <v>477</v>
      </c>
      <c r="E10" s="244" t="s">
        <v>478</v>
      </c>
      <c r="F10" s="244" t="s">
        <v>479</v>
      </c>
      <c r="G10" s="244" t="s">
        <v>480</v>
      </c>
      <c r="H10" s="244" t="s">
        <v>481</v>
      </c>
      <c r="I10" s="258" t="s">
        <v>427</v>
      </c>
    </row>
    <row r="11" spans="1:10" x14ac:dyDescent="0.2">
      <c r="A11" s="244">
        <v>6</v>
      </c>
      <c r="B11" s="244" t="s">
        <v>993</v>
      </c>
      <c r="C11" s="244" t="s">
        <v>861</v>
      </c>
      <c r="D11" s="244" t="s">
        <v>486</v>
      </c>
      <c r="E11" s="244" t="s">
        <v>487</v>
      </c>
      <c r="F11" s="244" t="s">
        <v>488</v>
      </c>
      <c r="G11" s="244" t="s">
        <v>489</v>
      </c>
      <c r="H11" s="244" t="s">
        <v>490</v>
      </c>
      <c r="I11" s="258" t="s">
        <v>427</v>
      </c>
    </row>
    <row r="12" spans="1:10" x14ac:dyDescent="0.2">
      <c r="A12" s="244">
        <v>7</v>
      </c>
      <c r="B12" s="244" t="s">
        <v>993</v>
      </c>
      <c r="C12" s="244" t="s">
        <v>862</v>
      </c>
      <c r="D12" s="244" t="s">
        <v>491</v>
      </c>
      <c r="E12" s="244" t="s">
        <v>492</v>
      </c>
      <c r="F12" s="244" t="s">
        <v>493</v>
      </c>
      <c r="G12" s="244" t="s">
        <v>494</v>
      </c>
      <c r="H12" s="244" t="s">
        <v>495</v>
      </c>
      <c r="I12" s="258" t="s">
        <v>427</v>
      </c>
    </row>
    <row r="13" spans="1:10" x14ac:dyDescent="0.2">
      <c r="A13" s="244">
        <v>8</v>
      </c>
      <c r="B13" s="244" t="s">
        <v>993</v>
      </c>
      <c r="C13" s="244" t="s">
        <v>863</v>
      </c>
      <c r="D13" s="244" t="s">
        <v>496</v>
      </c>
      <c r="E13" s="244" t="s">
        <v>497</v>
      </c>
      <c r="F13" s="244" t="s">
        <v>498</v>
      </c>
      <c r="G13" s="244" t="s">
        <v>499</v>
      </c>
      <c r="H13" s="244" t="s">
        <v>500</v>
      </c>
      <c r="I13" s="258" t="s">
        <v>427</v>
      </c>
    </row>
    <row r="14" spans="1:10" x14ac:dyDescent="0.2">
      <c r="A14" s="244">
        <v>9</v>
      </c>
      <c r="B14" s="244" t="s">
        <v>993</v>
      </c>
      <c r="C14" s="244" t="s">
        <v>864</v>
      </c>
      <c r="D14" s="244" t="s">
        <v>502</v>
      </c>
      <c r="E14" s="244" t="s">
        <v>503</v>
      </c>
      <c r="F14" s="244" t="s">
        <v>504</v>
      </c>
      <c r="G14" s="244" t="s">
        <v>505</v>
      </c>
      <c r="H14" s="244" t="s">
        <v>506</v>
      </c>
      <c r="I14" s="258" t="s">
        <v>427</v>
      </c>
    </row>
    <row r="15" spans="1:10" x14ac:dyDescent="0.2">
      <c r="A15" s="244">
        <v>10</v>
      </c>
      <c r="B15" s="244" t="s">
        <v>993</v>
      </c>
      <c r="C15" s="244" t="s">
        <v>865</v>
      </c>
      <c r="D15" s="244" t="s">
        <v>512</v>
      </c>
      <c r="E15" s="244" t="s">
        <v>513</v>
      </c>
      <c r="F15" s="244" t="s">
        <v>514</v>
      </c>
      <c r="G15" s="244" t="s">
        <v>515</v>
      </c>
      <c r="H15" s="244" t="s">
        <v>516</v>
      </c>
      <c r="I15" s="258" t="s">
        <v>427</v>
      </c>
    </row>
    <row r="16" spans="1:10" x14ac:dyDescent="0.2">
      <c r="A16" s="244">
        <v>11</v>
      </c>
      <c r="B16" s="244" t="s">
        <v>927</v>
      </c>
      <c r="C16" s="244" t="s">
        <v>421</v>
      </c>
      <c r="D16" s="244" t="s">
        <v>831</v>
      </c>
      <c r="E16" s="244" t="s">
        <v>832</v>
      </c>
      <c r="F16" s="244" t="s">
        <v>833</v>
      </c>
      <c r="G16" s="244" t="s">
        <v>834</v>
      </c>
      <c r="H16" s="244" t="s">
        <v>835</v>
      </c>
      <c r="I16" s="258" t="s">
        <v>427</v>
      </c>
    </row>
    <row r="17" spans="1:10" x14ac:dyDescent="0.2">
      <c r="A17" s="244">
        <v>12</v>
      </c>
      <c r="B17" s="244" t="s">
        <v>927</v>
      </c>
      <c r="C17" s="244" t="s">
        <v>422</v>
      </c>
      <c r="D17" s="244" t="s">
        <v>836</v>
      </c>
      <c r="E17" s="244" t="s">
        <v>837</v>
      </c>
      <c r="F17" s="244" t="s">
        <v>838</v>
      </c>
      <c r="G17" s="244" t="s">
        <v>839</v>
      </c>
      <c r="H17" s="244" t="s">
        <v>840</v>
      </c>
      <c r="I17" s="258" t="s">
        <v>427</v>
      </c>
      <c r="J17" t="s">
        <v>1021</v>
      </c>
    </row>
    <row r="18" spans="1:10" x14ac:dyDescent="0.2">
      <c r="A18" s="244">
        <v>13</v>
      </c>
      <c r="B18" s="244" t="s">
        <v>927</v>
      </c>
      <c r="C18" s="244" t="s">
        <v>423</v>
      </c>
      <c r="D18" s="244" t="s">
        <v>841</v>
      </c>
      <c r="E18" s="244" t="s">
        <v>842</v>
      </c>
      <c r="F18" s="244" t="s">
        <v>843</v>
      </c>
      <c r="G18" s="244" t="s">
        <v>844</v>
      </c>
      <c r="H18" s="244" t="s">
        <v>845</v>
      </c>
      <c r="I18" s="258" t="s">
        <v>427</v>
      </c>
    </row>
    <row r="19" spans="1:10" x14ac:dyDescent="0.2">
      <c r="A19" s="244">
        <v>14</v>
      </c>
      <c r="B19" s="244" t="s">
        <v>927</v>
      </c>
      <c r="C19" s="244" t="s">
        <v>424</v>
      </c>
      <c r="D19" s="244" t="s">
        <v>846</v>
      </c>
      <c r="E19" s="244" t="s">
        <v>847</v>
      </c>
      <c r="F19" s="244" t="s">
        <v>848</v>
      </c>
      <c r="G19" s="244" t="s">
        <v>849</v>
      </c>
      <c r="H19" s="244" t="s">
        <v>850</v>
      </c>
      <c r="I19" s="258" t="s">
        <v>427</v>
      </c>
    </row>
    <row r="20" spans="1:10" x14ac:dyDescent="0.2">
      <c r="A20" s="244">
        <v>15</v>
      </c>
      <c r="B20" s="244" t="s">
        <v>927</v>
      </c>
      <c r="C20" s="218" t="s">
        <v>1382</v>
      </c>
      <c r="D20" s="244" t="s">
        <v>851</v>
      </c>
      <c r="E20" s="244" t="s">
        <v>852</v>
      </c>
      <c r="F20" s="244" t="s">
        <v>853</v>
      </c>
      <c r="G20" s="244" t="s">
        <v>854</v>
      </c>
      <c r="H20" s="244" t="s">
        <v>855</v>
      </c>
      <c r="I20" s="258" t="s">
        <v>427</v>
      </c>
      <c r="J20"/>
    </row>
    <row r="21" spans="1:10" x14ac:dyDescent="0.2">
      <c r="A21" s="244">
        <v>16</v>
      </c>
      <c r="B21" s="244" t="s">
        <v>559</v>
      </c>
      <c r="C21" s="244" t="s">
        <v>236</v>
      </c>
      <c r="D21" s="244" t="s">
        <v>182</v>
      </c>
      <c r="E21" s="244" t="s">
        <v>279</v>
      </c>
      <c r="F21" s="244" t="s">
        <v>280</v>
      </c>
      <c r="G21" s="244" t="s">
        <v>286</v>
      </c>
      <c r="H21" s="244" t="s">
        <v>281</v>
      </c>
      <c r="I21" s="258" t="s">
        <v>427</v>
      </c>
    </row>
    <row r="22" spans="1:10" x14ac:dyDescent="0.2">
      <c r="A22" s="244">
        <v>17</v>
      </c>
      <c r="B22" s="244" t="s">
        <v>559</v>
      </c>
      <c r="C22" s="244" t="s">
        <v>237</v>
      </c>
      <c r="D22" s="244" t="s">
        <v>696</v>
      </c>
      <c r="E22" s="244" t="s">
        <v>697</v>
      </c>
      <c r="F22" s="244" t="s">
        <v>698</v>
      </c>
      <c r="G22" s="244" t="s">
        <v>700</v>
      </c>
      <c r="H22" s="244" t="s">
        <v>699</v>
      </c>
      <c r="I22" s="258" t="s">
        <v>427</v>
      </c>
    </row>
    <row r="23" spans="1:10" x14ac:dyDescent="0.2">
      <c r="A23" s="244">
        <v>18</v>
      </c>
      <c r="B23" s="244" t="s">
        <v>559</v>
      </c>
      <c r="C23" s="244" t="s">
        <v>686</v>
      </c>
      <c r="D23" s="244" t="s">
        <v>711</v>
      </c>
      <c r="E23" s="244" t="s">
        <v>712</v>
      </c>
      <c r="F23" s="244" t="s">
        <v>713</v>
      </c>
      <c r="G23" s="244" t="s">
        <v>714</v>
      </c>
      <c r="H23" s="244" t="s">
        <v>715</v>
      </c>
      <c r="I23" s="258" t="s">
        <v>427</v>
      </c>
    </row>
    <row r="24" spans="1:10" x14ac:dyDescent="0.2">
      <c r="A24" s="244">
        <v>19</v>
      </c>
      <c r="B24" s="244" t="s">
        <v>559</v>
      </c>
      <c r="C24" s="244" t="s">
        <v>238</v>
      </c>
      <c r="D24" s="244" t="s">
        <v>161</v>
      </c>
      <c r="E24" s="244" t="s">
        <v>737</v>
      </c>
      <c r="F24" s="244" t="s">
        <v>738</v>
      </c>
      <c r="G24" s="244" t="s">
        <v>739</v>
      </c>
      <c r="H24" s="244" t="s">
        <v>740</v>
      </c>
      <c r="I24" s="258" t="s">
        <v>427</v>
      </c>
    </row>
    <row r="25" spans="1:10" x14ac:dyDescent="0.2">
      <c r="A25" s="244">
        <v>20</v>
      </c>
      <c r="B25" s="244" t="s">
        <v>559</v>
      </c>
      <c r="C25" s="244" t="s">
        <v>856</v>
      </c>
      <c r="D25" s="244" t="s">
        <v>566</v>
      </c>
      <c r="E25" s="244" t="s">
        <v>757</v>
      </c>
      <c r="F25" s="244" t="s">
        <v>758</v>
      </c>
      <c r="G25" s="244" t="s">
        <v>759</v>
      </c>
      <c r="H25" s="244" t="s">
        <v>760</v>
      </c>
      <c r="I25" s="258" t="s">
        <v>427</v>
      </c>
    </row>
    <row r="26" spans="1:10" x14ac:dyDescent="0.2">
      <c r="A26" s="244">
        <v>21</v>
      </c>
      <c r="B26" s="244" t="s">
        <v>559</v>
      </c>
      <c r="C26" s="244" t="s">
        <v>857</v>
      </c>
      <c r="D26" s="244" t="s">
        <v>766</v>
      </c>
      <c r="E26" s="244" t="s">
        <v>767</v>
      </c>
      <c r="F26" s="244" t="s">
        <v>768</v>
      </c>
      <c r="G26" s="244" t="s">
        <v>769</v>
      </c>
      <c r="H26" s="244" t="s">
        <v>770</v>
      </c>
      <c r="I26" s="258" t="s">
        <v>427</v>
      </c>
    </row>
    <row r="27" spans="1:10" x14ac:dyDescent="0.2">
      <c r="A27" s="244">
        <v>22</v>
      </c>
      <c r="B27" s="244" t="s">
        <v>559</v>
      </c>
      <c r="C27" s="244" t="s">
        <v>239</v>
      </c>
      <c r="D27" s="244" t="s">
        <v>581</v>
      </c>
      <c r="E27" s="244" t="s">
        <v>772</v>
      </c>
      <c r="F27" s="244" t="s">
        <v>773</v>
      </c>
      <c r="G27" s="244" t="s">
        <v>774</v>
      </c>
      <c r="H27" s="244" t="s">
        <v>775</v>
      </c>
      <c r="I27" s="258" t="s">
        <v>427</v>
      </c>
    </row>
    <row r="28" spans="1:10" x14ac:dyDescent="0.2">
      <c r="A28" s="244">
        <v>23</v>
      </c>
      <c r="B28" s="244" t="s">
        <v>559</v>
      </c>
      <c r="C28" s="244" t="s">
        <v>240</v>
      </c>
      <c r="D28" s="244" t="s">
        <v>583</v>
      </c>
      <c r="E28" s="244" t="s">
        <v>787</v>
      </c>
      <c r="F28" s="244" t="s">
        <v>788</v>
      </c>
      <c r="G28" s="244" t="s">
        <v>789</v>
      </c>
      <c r="H28" s="244" t="s">
        <v>790</v>
      </c>
      <c r="I28" s="258" t="s">
        <v>427</v>
      </c>
    </row>
    <row r="29" spans="1:10" x14ac:dyDescent="0.2">
      <c r="A29" s="244">
        <v>24</v>
      </c>
      <c r="B29" s="244" t="s">
        <v>559</v>
      </c>
      <c r="C29" s="244" t="s">
        <v>241</v>
      </c>
      <c r="D29" s="244" t="s">
        <v>798</v>
      </c>
      <c r="E29" s="244" t="s">
        <v>799</v>
      </c>
      <c r="F29" s="244" t="s">
        <v>800</v>
      </c>
      <c r="G29" s="244" t="s">
        <v>801</v>
      </c>
      <c r="H29" s="244" t="s">
        <v>802</v>
      </c>
      <c r="I29" s="258" t="s">
        <v>427</v>
      </c>
    </row>
    <row r="30" spans="1:10" x14ac:dyDescent="0.2">
      <c r="A30" s="244">
        <v>25</v>
      </c>
      <c r="B30" s="244" t="s">
        <v>559</v>
      </c>
      <c r="C30" s="244" t="s">
        <v>816</v>
      </c>
      <c r="D30" s="244" t="s">
        <v>817</v>
      </c>
      <c r="E30" s="244" t="s">
        <v>818</v>
      </c>
      <c r="F30" s="244" t="s">
        <v>819</v>
      </c>
      <c r="G30" s="244" t="s">
        <v>820</v>
      </c>
      <c r="H30" s="244" t="s">
        <v>821</v>
      </c>
      <c r="I30" s="258" t="s">
        <v>427</v>
      </c>
    </row>
    <row r="31" spans="1:10" x14ac:dyDescent="0.2">
      <c r="A31" s="244">
        <v>26</v>
      </c>
      <c r="B31" s="244" t="s">
        <v>559</v>
      </c>
      <c r="C31" s="244" t="s">
        <v>858</v>
      </c>
      <c r="D31" t="s">
        <v>866</v>
      </c>
      <c r="E31" t="s">
        <v>867</v>
      </c>
      <c r="F31" s="244" t="s">
        <v>868</v>
      </c>
      <c r="G31" s="244" t="s">
        <v>869</v>
      </c>
      <c r="H31" s="244" t="s">
        <v>870</v>
      </c>
      <c r="I31" s="258" t="s">
        <v>427</v>
      </c>
    </row>
    <row r="32" spans="1:10" x14ac:dyDescent="0.2">
      <c r="A32" s="244">
        <v>27</v>
      </c>
      <c r="B32" s="244" t="s">
        <v>559</v>
      </c>
      <c r="C32" s="244" t="s">
        <v>859</v>
      </c>
      <c r="D32" t="s">
        <v>871</v>
      </c>
      <c r="E32" s="244" t="s">
        <v>872</v>
      </c>
      <c r="F32" s="244" t="s">
        <v>873</v>
      </c>
      <c r="G32" s="244" t="s">
        <v>874</v>
      </c>
      <c r="H32" s="244" t="s">
        <v>875</v>
      </c>
      <c r="I32" s="258" t="s">
        <v>427</v>
      </c>
    </row>
    <row r="33" spans="1:16" x14ac:dyDescent="0.2">
      <c r="A33" s="244">
        <v>28</v>
      </c>
      <c r="B33" s="244" t="s">
        <v>994</v>
      </c>
      <c r="C33" s="244" t="s">
        <v>242</v>
      </c>
      <c r="D33" t="s">
        <v>876</v>
      </c>
      <c r="E33" s="244" t="s">
        <v>877</v>
      </c>
      <c r="F33" s="244" t="s">
        <v>878</v>
      </c>
      <c r="G33" s="258" t="s">
        <v>12</v>
      </c>
      <c r="H33" s="258" t="s">
        <v>12</v>
      </c>
      <c r="I33" s="258" t="s">
        <v>427</v>
      </c>
    </row>
    <row r="34" spans="1:16" x14ac:dyDescent="0.2">
      <c r="A34" s="244">
        <v>29</v>
      </c>
      <c r="B34" s="244" t="s">
        <v>994</v>
      </c>
      <c r="C34" s="244" t="s">
        <v>243</v>
      </c>
      <c r="D34" s="244" t="s">
        <v>881</v>
      </c>
      <c r="E34" s="244" t="s">
        <v>882</v>
      </c>
      <c r="F34" s="244" t="s">
        <v>883</v>
      </c>
      <c r="G34" s="258" t="s">
        <v>12</v>
      </c>
      <c r="H34" s="258" t="s">
        <v>12</v>
      </c>
      <c r="I34" s="258" t="s">
        <v>427</v>
      </c>
    </row>
    <row r="35" spans="1:16" s="260" customFormat="1" x14ac:dyDescent="0.2">
      <c r="A35" s="244">
        <v>30</v>
      </c>
      <c r="B35" s="244" t="s">
        <v>994</v>
      </c>
      <c r="C35" s="260" t="s">
        <v>244</v>
      </c>
      <c r="D35" s="3" t="s">
        <v>886</v>
      </c>
      <c r="E35" s="244" t="s">
        <v>887</v>
      </c>
      <c r="F35" s="244" t="s">
        <v>888</v>
      </c>
      <c r="G35" s="258" t="s">
        <v>12</v>
      </c>
      <c r="H35" s="258" t="s">
        <v>12</v>
      </c>
      <c r="I35" s="258" t="s">
        <v>427</v>
      </c>
      <c r="J35" s="244"/>
      <c r="L35" s="244"/>
      <c r="M35" s="244"/>
      <c r="N35" s="244"/>
      <c r="O35" s="244"/>
      <c r="P35" s="244"/>
    </row>
    <row r="36" spans="1:16" s="134" customFormat="1" x14ac:dyDescent="0.2">
      <c r="A36" s="261"/>
      <c r="B36" s="262"/>
      <c r="C36" s="262" t="s">
        <v>245</v>
      </c>
      <c r="D36" s="262"/>
      <c r="E36" s="262"/>
      <c r="F36" s="262"/>
      <c r="G36" s="262"/>
      <c r="H36" s="262"/>
      <c r="I36" s="247"/>
      <c r="J36" s="244"/>
      <c r="L36" s="244"/>
      <c r="M36" s="244"/>
      <c r="N36" s="244"/>
      <c r="O36" s="244"/>
      <c r="P36" s="244"/>
    </row>
    <row r="37" spans="1:16" s="260" customFormat="1" x14ac:dyDescent="0.2">
      <c r="A37" s="260">
        <v>31</v>
      </c>
      <c r="C37" s="260" t="s">
        <v>225</v>
      </c>
      <c r="D37" s="258" t="s">
        <v>12</v>
      </c>
      <c r="E37" s="258" t="s">
        <v>12</v>
      </c>
      <c r="F37" s="258" t="s">
        <v>12</v>
      </c>
      <c r="G37" s="258" t="s">
        <v>12</v>
      </c>
      <c r="H37" s="258" t="s">
        <v>12</v>
      </c>
      <c r="I37" s="258" t="s">
        <v>427</v>
      </c>
      <c r="J37" s="244"/>
      <c r="L37" s="244"/>
      <c r="M37" s="244"/>
      <c r="N37" s="244"/>
      <c r="O37" s="244"/>
      <c r="P37" s="244"/>
    </row>
    <row r="38" spans="1:16" s="260" customFormat="1" x14ac:dyDescent="0.2">
      <c r="A38" s="260">
        <v>32</v>
      </c>
      <c r="C38" s="260" t="s">
        <v>226</v>
      </c>
      <c r="D38" s="258" t="s">
        <v>12</v>
      </c>
      <c r="E38" s="258" t="s">
        <v>12</v>
      </c>
      <c r="F38" s="258" t="s">
        <v>12</v>
      </c>
      <c r="G38" s="258" t="s">
        <v>12</v>
      </c>
      <c r="H38" s="258" t="s">
        <v>12</v>
      </c>
      <c r="I38" s="258" t="s">
        <v>427</v>
      </c>
      <c r="J38" s="244"/>
      <c r="L38" s="244"/>
      <c r="M38" s="244"/>
      <c r="N38" s="244"/>
      <c r="O38" s="244"/>
      <c r="P38" s="244"/>
    </row>
    <row r="39" spans="1:16" s="260" customFormat="1" x14ac:dyDescent="0.2">
      <c r="A39" s="260">
        <v>33</v>
      </c>
      <c r="C39" s="260" t="s">
        <v>227</v>
      </c>
      <c r="D39" s="258" t="s">
        <v>12</v>
      </c>
      <c r="E39" s="258" t="s">
        <v>12</v>
      </c>
      <c r="F39" s="258" t="s">
        <v>12</v>
      </c>
      <c r="G39" s="258" t="s">
        <v>12</v>
      </c>
      <c r="H39" s="258" t="s">
        <v>12</v>
      </c>
      <c r="I39" s="258" t="s">
        <v>427</v>
      </c>
      <c r="J39" s="244"/>
      <c r="L39" s="244"/>
      <c r="M39" s="244"/>
      <c r="N39" s="244"/>
      <c r="O39" s="244"/>
      <c r="P39" s="244"/>
    </row>
    <row r="40" spans="1:16" s="260" customFormat="1" x14ac:dyDescent="0.2">
      <c r="A40" s="260">
        <v>34</v>
      </c>
      <c r="C40" s="260" t="s">
        <v>228</v>
      </c>
      <c r="D40" s="258" t="s">
        <v>12</v>
      </c>
      <c r="E40" s="258" t="s">
        <v>12</v>
      </c>
      <c r="F40" s="258" t="s">
        <v>12</v>
      </c>
      <c r="G40" s="258" t="s">
        <v>12</v>
      </c>
      <c r="H40" s="258" t="s">
        <v>12</v>
      </c>
      <c r="I40" s="258" t="s">
        <v>427</v>
      </c>
      <c r="J40" s="244"/>
      <c r="L40" s="244"/>
      <c r="M40" s="244"/>
      <c r="N40" s="244"/>
      <c r="O40" s="244"/>
      <c r="P40" s="244"/>
    </row>
    <row r="41" spans="1:16" s="260" customFormat="1" x14ac:dyDescent="0.2">
      <c r="A41" s="260">
        <v>35</v>
      </c>
      <c r="C41" s="260" t="s">
        <v>229</v>
      </c>
      <c r="D41" s="258" t="s">
        <v>12</v>
      </c>
      <c r="E41" s="258" t="s">
        <v>12</v>
      </c>
      <c r="F41" s="258" t="s">
        <v>12</v>
      </c>
      <c r="G41" s="258" t="s">
        <v>12</v>
      </c>
      <c r="H41" s="258" t="s">
        <v>12</v>
      </c>
      <c r="I41" s="258" t="s">
        <v>427</v>
      </c>
      <c r="J41" s="244"/>
      <c r="L41" s="244"/>
      <c r="M41" s="244"/>
      <c r="N41" s="244"/>
      <c r="O41" s="244"/>
      <c r="P41" s="244"/>
    </row>
    <row r="42" spans="1:16" s="134" customFormat="1" x14ac:dyDescent="0.2">
      <c r="A42" s="261"/>
      <c r="B42" s="262"/>
      <c r="C42" s="262" t="s">
        <v>277</v>
      </c>
      <c r="D42" s="262"/>
      <c r="E42" s="262"/>
      <c r="F42" s="262"/>
      <c r="G42" s="262"/>
      <c r="H42" s="262"/>
      <c r="I42" s="247"/>
      <c r="J42" s="244"/>
      <c r="L42" s="244"/>
      <c r="M42" s="244"/>
      <c r="N42" s="244"/>
      <c r="O42" s="244"/>
      <c r="P42" s="244"/>
    </row>
    <row r="43" spans="1:16" s="260" customFormat="1" x14ac:dyDescent="0.2">
      <c r="A43" s="260">
        <v>36</v>
      </c>
      <c r="C43" s="3" t="s">
        <v>1063</v>
      </c>
      <c r="D43" s="258" t="s">
        <v>12</v>
      </c>
      <c r="E43" s="258" t="s">
        <v>12</v>
      </c>
      <c r="F43" s="258" t="s">
        <v>12</v>
      </c>
      <c r="G43" s="258" t="s">
        <v>12</v>
      </c>
      <c r="H43" s="258" t="s">
        <v>12</v>
      </c>
      <c r="I43" s="258" t="s">
        <v>12</v>
      </c>
      <c r="J43" s="244"/>
      <c r="L43" s="244"/>
      <c r="M43" s="244"/>
      <c r="N43" s="244"/>
      <c r="O43" s="244"/>
      <c r="P43" s="244"/>
    </row>
    <row r="44" spans="1:16" x14ac:dyDescent="0.2">
      <c r="A44" s="244">
        <v>37</v>
      </c>
      <c r="C44" t="s">
        <v>1023</v>
      </c>
      <c r="D44" s="258" t="s">
        <v>12</v>
      </c>
      <c r="E44" s="258" t="s">
        <v>12</v>
      </c>
      <c r="F44" s="258" t="s">
        <v>12</v>
      </c>
      <c r="G44" s="258" t="s">
        <v>12</v>
      </c>
      <c r="H44" s="258" t="s">
        <v>12</v>
      </c>
      <c r="I44" s="258" t="s">
        <v>12</v>
      </c>
    </row>
    <row r="66" spans="13:13" x14ac:dyDescent="0.2">
      <c r="M66" s="260"/>
    </row>
  </sheetData>
  <mergeCells count="3">
    <mergeCell ref="G4:H4"/>
    <mergeCell ref="E4:F4"/>
    <mergeCell ref="A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44"/>
  <sheetViews>
    <sheetView zoomScale="70" zoomScaleNormal="70" workbookViewId="0">
      <selection activeCell="A5" sqref="A5"/>
    </sheetView>
  </sheetViews>
  <sheetFormatPr defaultRowHeight="12.75" x14ac:dyDescent="0.2"/>
  <cols>
    <col min="1" max="1" width="62.7109375" bestFit="1" customWidth="1"/>
    <col min="5" max="5" width="10.28515625" customWidth="1"/>
    <col min="11" max="11" width="10.85546875" customWidth="1"/>
    <col min="17" max="17" width="11" customWidth="1"/>
    <col min="23" max="23" width="10.85546875" customWidth="1"/>
    <col min="29" max="29" width="13.7109375" bestFit="1" customWidth="1"/>
    <col min="33" max="33" width="10.140625" bestFit="1" customWidth="1"/>
    <col min="34" max="34" width="9.42578125" bestFit="1" customWidth="1"/>
  </cols>
  <sheetData>
    <row r="1" spans="1:34" ht="16.5" thickBot="1" x14ac:dyDescent="0.3">
      <c r="A1" s="82" t="s">
        <v>496</v>
      </c>
      <c r="B1" s="83"/>
      <c r="C1" s="83" t="s">
        <v>217</v>
      </c>
      <c r="D1" s="83" t="s">
        <v>11</v>
      </c>
      <c r="E1" s="84" t="s">
        <v>180</v>
      </c>
      <c r="F1" s="34"/>
      <c r="G1" s="92" t="s">
        <v>497</v>
      </c>
      <c r="H1" s="93"/>
      <c r="I1" s="93" t="s">
        <v>217</v>
      </c>
      <c r="J1" s="93" t="s">
        <v>11</v>
      </c>
      <c r="K1" s="94" t="s">
        <v>180</v>
      </c>
      <c r="L1" s="34"/>
      <c r="M1" s="95" t="s">
        <v>498</v>
      </c>
      <c r="N1" s="96"/>
      <c r="O1" s="97" t="s">
        <v>217</v>
      </c>
      <c r="P1" s="97" t="s">
        <v>11</v>
      </c>
      <c r="Q1" s="98" t="s">
        <v>180</v>
      </c>
      <c r="R1" s="34"/>
      <c r="S1" s="44" t="s">
        <v>499</v>
      </c>
      <c r="T1" s="45"/>
      <c r="U1" s="45" t="s">
        <v>217</v>
      </c>
      <c r="V1" s="45" t="s">
        <v>11</v>
      </c>
      <c r="W1" s="46" t="s">
        <v>180</v>
      </c>
      <c r="X1" s="34"/>
      <c r="Y1" s="41" t="s">
        <v>500</v>
      </c>
      <c r="Z1" s="42"/>
      <c r="AA1" s="42" t="s">
        <v>217</v>
      </c>
      <c r="AB1" s="42" t="s">
        <v>11</v>
      </c>
      <c r="AC1" s="43" t="s">
        <v>180</v>
      </c>
      <c r="AD1" s="40"/>
      <c r="AF1" s="40"/>
      <c r="AG1" s="48" t="s">
        <v>710</v>
      </c>
      <c r="AH1" s="40"/>
    </row>
    <row r="2" spans="1:34"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F2" s="40"/>
      <c r="AG2" s="34" t="s">
        <v>928</v>
      </c>
      <c r="AH2" s="40" t="s">
        <v>916</v>
      </c>
    </row>
    <row r="3" spans="1:34" x14ac:dyDescent="0.2">
      <c r="A3" s="88" t="s">
        <v>501</v>
      </c>
      <c r="B3" s="89"/>
      <c r="C3" s="89">
        <v>1</v>
      </c>
      <c r="D3" s="89" t="s">
        <v>2</v>
      </c>
      <c r="E3" s="90"/>
      <c r="F3" s="34"/>
      <c r="G3" s="88" t="s">
        <v>501</v>
      </c>
      <c r="H3" s="89"/>
      <c r="I3" s="89">
        <v>1</v>
      </c>
      <c r="J3" s="89" t="s">
        <v>2</v>
      </c>
      <c r="K3" s="90"/>
      <c r="L3" s="34"/>
      <c r="M3" s="88" t="s">
        <v>501</v>
      </c>
      <c r="N3" s="89"/>
      <c r="O3" s="89">
        <v>1</v>
      </c>
      <c r="P3" s="89" t="s">
        <v>2</v>
      </c>
      <c r="Q3" s="90"/>
      <c r="R3" s="34"/>
      <c r="S3" s="88" t="s">
        <v>501</v>
      </c>
      <c r="T3" s="89"/>
      <c r="U3" s="89">
        <v>1</v>
      </c>
      <c r="V3" s="89" t="s">
        <v>2</v>
      </c>
      <c r="W3" s="90"/>
      <c r="X3" s="34"/>
      <c r="Y3" s="88" t="s">
        <v>501</v>
      </c>
      <c r="Z3" s="89"/>
      <c r="AA3" s="89">
        <v>1</v>
      </c>
      <c r="AB3" s="89" t="s">
        <v>2</v>
      </c>
      <c r="AC3" s="90"/>
      <c r="AD3" s="40"/>
      <c r="AF3" s="40" t="s">
        <v>260</v>
      </c>
      <c r="AG3" s="226">
        <v>3.7492927260384201</v>
      </c>
      <c r="AH3" s="40"/>
    </row>
    <row r="4" spans="1:34" x14ac:dyDescent="0.2">
      <c r="A4" s="85" t="s">
        <v>187</v>
      </c>
      <c r="B4" s="89"/>
      <c r="C4" s="89"/>
      <c r="D4" s="89"/>
      <c r="E4" s="90"/>
      <c r="F4" s="35"/>
      <c r="G4" s="85" t="s">
        <v>187</v>
      </c>
      <c r="H4" s="89"/>
      <c r="I4" s="89"/>
      <c r="J4" s="89"/>
      <c r="K4" s="90"/>
      <c r="L4" s="35"/>
      <c r="M4" s="85" t="s">
        <v>187</v>
      </c>
      <c r="N4" s="89"/>
      <c r="O4" s="89"/>
      <c r="P4" s="89"/>
      <c r="Q4" s="90"/>
      <c r="R4" s="35"/>
      <c r="S4" s="85" t="s">
        <v>187</v>
      </c>
      <c r="T4" s="89"/>
      <c r="U4" s="89"/>
      <c r="V4" s="89"/>
      <c r="W4" s="90"/>
      <c r="X4" s="35"/>
      <c r="Y4" s="85" t="s">
        <v>187</v>
      </c>
      <c r="Z4" s="89"/>
      <c r="AA4" s="89"/>
      <c r="AB4" s="89"/>
      <c r="AC4" s="90"/>
      <c r="AD4" s="99"/>
      <c r="AF4" s="40" t="s">
        <v>261</v>
      </c>
      <c r="AG4" s="226">
        <v>4.4364974507958202E-4</v>
      </c>
      <c r="AH4" s="99"/>
    </row>
    <row r="5" spans="1:34" x14ac:dyDescent="0.2">
      <c r="A5" s="88" t="s">
        <v>141</v>
      </c>
      <c r="B5" s="89"/>
      <c r="C5" s="89">
        <v>1.6000000000000001E-3</v>
      </c>
      <c r="D5" s="89" t="s">
        <v>2</v>
      </c>
      <c r="E5" s="90" t="s">
        <v>179</v>
      </c>
      <c r="F5" s="34" t="s">
        <v>179</v>
      </c>
      <c r="G5" s="88" t="s">
        <v>141</v>
      </c>
      <c r="H5" s="89"/>
      <c r="I5" s="89">
        <v>1.6000000000000001E-3</v>
      </c>
      <c r="J5" s="89" t="s">
        <v>2</v>
      </c>
      <c r="K5" s="90" t="s">
        <v>179</v>
      </c>
      <c r="L5" s="34"/>
      <c r="M5" s="88" t="s">
        <v>141</v>
      </c>
      <c r="N5" s="89"/>
      <c r="O5" s="89">
        <v>1.6000000000000001E-3</v>
      </c>
      <c r="P5" s="89" t="s">
        <v>2</v>
      </c>
      <c r="Q5" s="90" t="s">
        <v>179</v>
      </c>
      <c r="R5" s="34"/>
      <c r="S5" s="88" t="s">
        <v>141</v>
      </c>
      <c r="T5" s="89"/>
      <c r="U5" s="89">
        <v>1.6000000000000001E-3</v>
      </c>
      <c r="V5" s="89" t="s">
        <v>2</v>
      </c>
      <c r="W5" s="90" t="s">
        <v>179</v>
      </c>
      <c r="X5" s="34"/>
      <c r="Y5" s="88" t="s">
        <v>141</v>
      </c>
      <c r="Z5" s="89"/>
      <c r="AA5" s="89">
        <v>1.6000000000000001E-3</v>
      </c>
      <c r="AB5" s="89" t="s">
        <v>2</v>
      </c>
      <c r="AC5" s="90" t="s">
        <v>179</v>
      </c>
      <c r="AD5" s="40"/>
      <c r="AF5" s="40" t="s">
        <v>262</v>
      </c>
      <c r="AG5" s="226">
        <v>3.4484792313626202E-2</v>
      </c>
      <c r="AH5" s="40"/>
    </row>
    <row r="6" spans="1:34" x14ac:dyDescent="0.2">
      <c r="A6" s="280" t="s">
        <v>190</v>
      </c>
      <c r="B6" s="281"/>
      <c r="C6" s="281">
        <f>C5</f>
        <v>1.6000000000000001E-3</v>
      </c>
      <c r="D6" s="281" t="s">
        <v>2</v>
      </c>
      <c r="E6" s="286" t="s">
        <v>179</v>
      </c>
      <c r="F6" s="244"/>
      <c r="G6" s="280" t="s">
        <v>190</v>
      </c>
      <c r="H6" s="281"/>
      <c r="I6" s="281">
        <f>I5</f>
        <v>1.6000000000000001E-3</v>
      </c>
      <c r="J6" s="281" t="s">
        <v>2</v>
      </c>
      <c r="K6" s="286" t="s">
        <v>179</v>
      </c>
      <c r="L6" s="244"/>
      <c r="M6" s="280" t="s">
        <v>190</v>
      </c>
      <c r="N6" s="281"/>
      <c r="O6" s="281">
        <f>O5</f>
        <v>1.6000000000000001E-3</v>
      </c>
      <c r="P6" s="281" t="s">
        <v>2</v>
      </c>
      <c r="Q6" s="286" t="s">
        <v>179</v>
      </c>
      <c r="R6" s="218"/>
      <c r="S6" s="280" t="s">
        <v>190</v>
      </c>
      <c r="T6" s="281"/>
      <c r="U6" s="281">
        <f>U5</f>
        <v>1.6000000000000001E-3</v>
      </c>
      <c r="V6" s="339" t="s">
        <v>2</v>
      </c>
      <c r="W6" s="337" t="s">
        <v>179</v>
      </c>
      <c r="X6" s="218"/>
      <c r="Y6" s="280" t="s">
        <v>190</v>
      </c>
      <c r="Z6" s="281"/>
      <c r="AA6" s="281">
        <f>AA5</f>
        <v>1.6000000000000001E-3</v>
      </c>
      <c r="AB6" s="281" t="s">
        <v>2</v>
      </c>
      <c r="AC6" s="286" t="s">
        <v>179</v>
      </c>
      <c r="AF6" s="40" t="s">
        <v>263</v>
      </c>
      <c r="AG6" s="226">
        <v>1.2373356119263599E-2</v>
      </c>
    </row>
    <row r="7" spans="1:34" x14ac:dyDescent="0.2">
      <c r="A7" s="85" t="s">
        <v>205</v>
      </c>
      <c r="B7" s="89"/>
      <c r="C7" s="89"/>
      <c r="D7" s="89"/>
      <c r="E7" s="91"/>
      <c r="G7" s="85" t="s">
        <v>205</v>
      </c>
      <c r="H7" s="89"/>
      <c r="I7" s="89"/>
      <c r="J7" s="89"/>
      <c r="K7" s="213"/>
      <c r="L7" s="218"/>
      <c r="M7" s="219" t="s">
        <v>205</v>
      </c>
      <c r="N7" s="215"/>
      <c r="O7" s="215"/>
      <c r="P7" s="215"/>
      <c r="Q7" s="213"/>
      <c r="R7" s="218"/>
      <c r="S7" s="219" t="s">
        <v>205</v>
      </c>
      <c r="T7" s="215"/>
      <c r="U7" s="89"/>
      <c r="V7" s="89"/>
      <c r="W7" s="91"/>
      <c r="Y7" s="85" t="s">
        <v>205</v>
      </c>
      <c r="Z7" s="89"/>
      <c r="AA7" s="89"/>
      <c r="AB7" s="89"/>
      <c r="AC7" s="91"/>
      <c r="AF7" s="40" t="s">
        <v>264</v>
      </c>
      <c r="AG7" s="5">
        <v>1.6327581149469299E-2</v>
      </c>
    </row>
    <row r="8" spans="1:34" ht="15" x14ac:dyDescent="0.2">
      <c r="A8" s="88" t="s">
        <v>206</v>
      </c>
      <c r="B8" s="89"/>
      <c r="C8" s="89">
        <v>4.41</v>
      </c>
      <c r="D8" s="89" t="s">
        <v>207</v>
      </c>
      <c r="E8" s="213" t="s">
        <v>1080</v>
      </c>
      <c r="F8" t="s">
        <v>87</v>
      </c>
      <c r="G8" s="88" t="s">
        <v>206</v>
      </c>
      <c r="H8" s="89"/>
      <c r="I8" s="89">
        <v>4.41</v>
      </c>
      <c r="J8" s="89" t="s">
        <v>207</v>
      </c>
      <c r="K8" s="213" t="s">
        <v>1088</v>
      </c>
      <c r="L8" s="218" t="s">
        <v>87</v>
      </c>
      <c r="M8" s="214" t="s">
        <v>206</v>
      </c>
      <c r="N8" s="215"/>
      <c r="O8" s="215">
        <v>7.46</v>
      </c>
      <c r="P8" s="215" t="s">
        <v>207</v>
      </c>
      <c r="Q8" s="213" t="s">
        <v>1086</v>
      </c>
      <c r="R8" s="218"/>
      <c r="S8" s="214" t="s">
        <v>206</v>
      </c>
      <c r="T8" s="215"/>
      <c r="U8" s="89">
        <v>4.41</v>
      </c>
      <c r="V8" s="89" t="s">
        <v>207</v>
      </c>
      <c r="W8" s="91" t="s">
        <v>179</v>
      </c>
      <c r="Y8" s="88" t="s">
        <v>206</v>
      </c>
      <c r="Z8" s="89"/>
      <c r="AA8" s="89">
        <v>4.41</v>
      </c>
      <c r="AB8" s="89" t="s">
        <v>207</v>
      </c>
      <c r="AC8" s="91" t="s">
        <v>179</v>
      </c>
      <c r="AF8" s="40" t="s">
        <v>675</v>
      </c>
      <c r="AG8" s="5">
        <v>2.2309649132978899</v>
      </c>
    </row>
    <row r="9" spans="1:34" x14ac:dyDescent="0.2">
      <c r="A9" s="85" t="s">
        <v>212</v>
      </c>
      <c r="B9" s="89"/>
      <c r="C9" s="89"/>
      <c r="D9" s="89"/>
      <c r="E9" s="90"/>
      <c r="G9" s="85" t="s">
        <v>212</v>
      </c>
      <c r="H9" s="89"/>
      <c r="I9" s="89"/>
      <c r="J9" s="89"/>
      <c r="K9" s="90"/>
      <c r="M9" s="85" t="s">
        <v>212</v>
      </c>
      <c r="N9" s="89"/>
      <c r="O9" s="89"/>
      <c r="P9" s="89"/>
      <c r="Q9" s="90"/>
      <c r="S9" s="85" t="s">
        <v>212</v>
      </c>
      <c r="T9" s="89"/>
      <c r="U9" s="89"/>
      <c r="V9" s="89"/>
      <c r="W9" s="90"/>
      <c r="Y9" s="85" t="s">
        <v>212</v>
      </c>
      <c r="Z9" s="89"/>
      <c r="AA9" s="89"/>
      <c r="AB9" s="89"/>
      <c r="AC9" s="90"/>
      <c r="AF9" s="40" t="s">
        <v>266</v>
      </c>
      <c r="AG9" s="5">
        <v>4.5814191570130099E-7</v>
      </c>
      <c r="AH9" s="4">
        <f>AE27</f>
        <v>5.9922127789776926E-13</v>
      </c>
    </row>
    <row r="10" spans="1:34" ht="13.5" thickBot="1" x14ac:dyDescent="0.25">
      <c r="A10" s="100" t="s">
        <v>485</v>
      </c>
      <c r="B10" s="101"/>
      <c r="C10" s="101">
        <v>4.2500000000000003E-2</v>
      </c>
      <c r="D10" s="101" t="s">
        <v>2</v>
      </c>
      <c r="E10" s="113" t="s">
        <v>508</v>
      </c>
      <c r="F10" t="s">
        <v>87</v>
      </c>
      <c r="G10" s="100" t="s">
        <v>485</v>
      </c>
      <c r="H10" s="101"/>
      <c r="I10" s="101">
        <v>4.2500000000000003E-2</v>
      </c>
      <c r="J10" s="101" t="s">
        <v>2</v>
      </c>
      <c r="K10" s="113" t="s">
        <v>508</v>
      </c>
      <c r="L10" t="s">
        <v>87</v>
      </c>
      <c r="M10" s="100" t="s">
        <v>485</v>
      </c>
      <c r="N10" s="101"/>
      <c r="O10" s="101">
        <v>4.2500000000000003E-2</v>
      </c>
      <c r="P10" s="101" t="s">
        <v>2</v>
      </c>
      <c r="Q10" s="113" t="s">
        <v>508</v>
      </c>
      <c r="R10" t="s">
        <v>87</v>
      </c>
      <c r="S10" s="100" t="s">
        <v>485</v>
      </c>
      <c r="T10" s="101"/>
      <c r="U10" s="101">
        <v>4.2500000000000003E-2</v>
      </c>
      <c r="V10" s="101" t="s">
        <v>2</v>
      </c>
      <c r="W10" s="113" t="s">
        <v>508</v>
      </c>
      <c r="X10" t="s">
        <v>87</v>
      </c>
      <c r="Y10" s="100" t="s">
        <v>485</v>
      </c>
      <c r="Z10" s="101"/>
      <c r="AA10" s="101">
        <v>4.2500000000000003E-2</v>
      </c>
      <c r="AB10" s="101" t="s">
        <v>2</v>
      </c>
      <c r="AC10" s="113" t="s">
        <v>508</v>
      </c>
      <c r="AD10" t="s">
        <v>87</v>
      </c>
      <c r="AF10" s="40" t="s">
        <v>267</v>
      </c>
      <c r="AG10" s="5">
        <v>9.30712502343736E-8</v>
      </c>
      <c r="AH10" s="4">
        <f>AD27</f>
        <v>1.562122050577087E-13</v>
      </c>
    </row>
    <row r="11" spans="1:34" x14ac:dyDescent="0.2">
      <c r="AF11" s="40" t="s">
        <v>268</v>
      </c>
      <c r="AG11" s="5">
        <v>7.2755941620674403</v>
      </c>
      <c r="AH11" s="4">
        <f>AF27</f>
        <v>5.6814801790646992E-8</v>
      </c>
    </row>
    <row r="18" spans="1:41" s="34" customFormat="1" x14ac:dyDescent="0.2">
      <c r="T18" s="103" t="s">
        <v>274</v>
      </c>
      <c r="U18" s="104"/>
      <c r="V18" s="105"/>
      <c r="AA18" s="40"/>
      <c r="AB18" s="40"/>
      <c r="AC18" s="40"/>
      <c r="AD18" s="40"/>
      <c r="AE18" s="40"/>
      <c r="AF18" s="40"/>
      <c r="AG18"/>
      <c r="AH18"/>
      <c r="AI18" s="40"/>
      <c r="AJ18" s="40"/>
      <c r="AK18" s="40"/>
    </row>
    <row r="19" spans="1:41" s="34" customFormat="1" x14ac:dyDescent="0.2">
      <c r="T19" s="106" t="s">
        <v>278</v>
      </c>
      <c r="U19" s="107"/>
      <c r="V19" s="108"/>
      <c r="AA19" s="40"/>
      <c r="AB19" s="40"/>
      <c r="AC19" s="40"/>
      <c r="AD19" s="40"/>
      <c r="AE19" s="40"/>
      <c r="AF19" s="40"/>
      <c r="AG19" s="40"/>
      <c r="AH19" s="40"/>
      <c r="AI19" s="40"/>
      <c r="AJ19" s="40"/>
      <c r="AK19" s="40"/>
    </row>
    <row r="20" spans="1:41" s="34" customFormat="1" x14ac:dyDescent="0.2">
      <c r="T20" s="109" t="s">
        <v>276</v>
      </c>
      <c r="U20" s="110"/>
      <c r="V20" s="111"/>
      <c r="AA20" s="40"/>
      <c r="AB20" s="40"/>
      <c r="AC20" s="40"/>
      <c r="AD20" s="40"/>
      <c r="AE20" s="40"/>
      <c r="AF20" s="40"/>
      <c r="AG20" s="40"/>
      <c r="AH20" s="40"/>
      <c r="AI20" s="40"/>
      <c r="AJ20" s="40"/>
      <c r="AK20" s="40"/>
    </row>
    <row r="21" spans="1:41" s="59" customFormat="1" x14ac:dyDescent="0.2">
      <c r="A21" s="17"/>
      <c r="B21" s="58"/>
    </row>
    <row r="22" spans="1:41" s="7" customFormat="1" x14ac:dyDescent="0.2">
      <c r="A22" s="17" t="s">
        <v>708</v>
      </c>
      <c r="U22" s="197" t="s">
        <v>550</v>
      </c>
      <c r="V22" s="198" t="s">
        <v>551</v>
      </c>
      <c r="W22" s="198" t="s">
        <v>550</v>
      </c>
      <c r="X22" s="198" t="s">
        <v>551</v>
      </c>
      <c r="Y22" s="199" t="s">
        <v>552</v>
      </c>
      <c r="Z22" s="200"/>
      <c r="AA22" s="201"/>
      <c r="AB22" s="17" t="s">
        <v>105</v>
      </c>
      <c r="AC22" s="17"/>
      <c r="AD22" s="148" t="s">
        <v>549</v>
      </c>
      <c r="AE22" s="149"/>
      <c r="AF22" s="149"/>
      <c r="AG22" s="149" t="s">
        <v>548</v>
      </c>
      <c r="AH22" s="149"/>
      <c r="AI22" s="149"/>
      <c r="AJ22" s="149" t="s">
        <v>547</v>
      </c>
      <c r="AK22" s="149"/>
      <c r="AL22" s="149"/>
      <c r="AM22" s="202" t="s">
        <v>553</v>
      </c>
      <c r="AN22" s="200"/>
      <c r="AO22" s="201"/>
    </row>
    <row r="23" spans="1:41" s="49" customFormat="1" ht="15" customHeight="1" x14ac:dyDescent="0.2">
      <c r="A23" s="57" t="s">
        <v>58</v>
      </c>
      <c r="B23" s="55" t="s">
        <v>289</v>
      </c>
      <c r="C23" s="56" t="s">
        <v>100</v>
      </c>
      <c r="D23" s="56" t="s">
        <v>11</v>
      </c>
      <c r="E23" s="63" t="s">
        <v>291</v>
      </c>
      <c r="F23" s="63"/>
      <c r="G23" s="66" t="s">
        <v>292</v>
      </c>
      <c r="H23" s="66" t="s">
        <v>8</v>
      </c>
      <c r="I23" s="66" t="s">
        <v>217</v>
      </c>
      <c r="J23" s="66" t="s">
        <v>11</v>
      </c>
      <c r="K23" s="66" t="s">
        <v>291</v>
      </c>
      <c r="L23" s="63"/>
      <c r="M23" s="67" t="s">
        <v>293</v>
      </c>
      <c r="N23" s="67" t="s">
        <v>8</v>
      </c>
      <c r="O23" s="67" t="s">
        <v>217</v>
      </c>
      <c r="P23" s="67" t="s">
        <v>11</v>
      </c>
      <c r="Q23" s="67" t="s">
        <v>291</v>
      </c>
      <c r="R23" s="63"/>
      <c r="S23" s="63"/>
      <c r="T23" s="79" t="s">
        <v>275</v>
      </c>
      <c r="U23" s="126" t="s">
        <v>530</v>
      </c>
      <c r="V23" s="114" t="s">
        <v>531</v>
      </c>
      <c r="W23" s="114" t="s">
        <v>532</v>
      </c>
      <c r="X23" s="114" t="s">
        <v>533</v>
      </c>
      <c r="Y23" s="114" t="s">
        <v>534</v>
      </c>
      <c r="Z23" s="114" t="s">
        <v>535</v>
      </c>
      <c r="AA23" s="131" t="s">
        <v>536</v>
      </c>
      <c r="AB23" s="22" t="s">
        <v>545</v>
      </c>
      <c r="AC23" s="23" t="s">
        <v>546</v>
      </c>
      <c r="AD23" s="148" t="s">
        <v>31</v>
      </c>
      <c r="AE23" s="149" t="s">
        <v>32</v>
      </c>
      <c r="AF23" s="150" t="s">
        <v>33</v>
      </c>
      <c r="AG23" s="148" t="s">
        <v>31</v>
      </c>
      <c r="AH23" s="149" t="s">
        <v>32</v>
      </c>
      <c r="AI23" s="150" t="s">
        <v>33</v>
      </c>
      <c r="AJ23" s="148" t="s">
        <v>31</v>
      </c>
      <c r="AK23" s="149" t="s">
        <v>32</v>
      </c>
      <c r="AL23" s="149" t="s">
        <v>33</v>
      </c>
      <c r="AM23" s="159"/>
      <c r="AN23" s="156"/>
      <c r="AO23" s="160"/>
    </row>
    <row r="24" spans="1:41" s="8" customFormat="1" ht="15" customHeight="1" x14ac:dyDescent="0.2">
      <c r="A24" s="54" t="str">
        <f>'36. Generic chemical products'!A2</f>
        <v>Lubricant, average (Albafluid CD)</v>
      </c>
      <c r="B24" s="54" t="str">
        <f>'36. Generic chemical products'!B2</f>
        <v>Acrylamide/sodium acrylate copolymer</v>
      </c>
      <c r="C24" s="54">
        <f>'36. Generic chemical products'!C2</f>
        <v>0.3</v>
      </c>
      <c r="D24" s="54" t="str">
        <f>'36. Generic chemical products'!D2</f>
        <v>kg</v>
      </c>
      <c r="E24" s="54" t="str">
        <f>'36. Generic chemical products'!E2</f>
        <v>MSDS + Expert estimation for concentration</v>
      </c>
      <c r="F24" s="54">
        <f>'36. Generic chemical products'!F2</f>
        <v>0</v>
      </c>
      <c r="G24" s="54" t="str">
        <f>'36. Generic chemical products'!G2</f>
        <v>-</v>
      </c>
      <c r="H24" s="54">
        <f>'36. Generic chemical products'!H2</f>
        <v>0</v>
      </c>
      <c r="I24" s="54">
        <f>'36. Generic chemical products'!I2</f>
        <v>0</v>
      </c>
      <c r="J24" s="54">
        <f>'36. Generic chemical products'!J2</f>
        <v>0</v>
      </c>
      <c r="K24" s="54">
        <f>'36. Generic chemical products'!K2</f>
        <v>0</v>
      </c>
      <c r="L24" s="54">
        <f>'36. Generic chemical products'!L2</f>
        <v>0</v>
      </c>
      <c r="M24" s="54" t="str">
        <f>'36. Generic chemical products'!M2</f>
        <v>Acrylamide/sodium acrylate copolymer</v>
      </c>
      <c r="N24" s="54" t="str">
        <f>'36. Generic chemical products'!N2</f>
        <v>river</v>
      </c>
      <c r="O24" s="54">
        <f>'36. Generic chemical products'!O2</f>
        <v>2.9700000000000001E-2</v>
      </c>
      <c r="P24" s="54" t="str">
        <f>'36. Generic chemical products'!P2</f>
        <v>kg</v>
      </c>
      <c r="Q24" s="54" t="str">
        <f>'36. Generic chemical products'!Q2</f>
        <v>1% of polymer content remains as monomers from the production process.</v>
      </c>
      <c r="R24" s="54">
        <f>'36. Generic chemical products'!R2</f>
        <v>0</v>
      </c>
      <c r="S24" s="54">
        <f>'36. Generic chemical products'!S2</f>
        <v>0</v>
      </c>
      <c r="T24" s="386" t="str">
        <f>'36. Generic chemical products'!T2</f>
        <v>25085-02-3</v>
      </c>
      <c r="U24" s="386">
        <f>'36. Generic chemical products'!U2</f>
        <v>0</v>
      </c>
      <c r="V24" s="386">
        <f>'36. Generic chemical products'!V2</f>
        <v>1.318367210059499E-10</v>
      </c>
      <c r="W24" s="386">
        <f>'36. Generic chemical products'!W2</f>
        <v>0</v>
      </c>
      <c r="X24" s="386">
        <f>'36. Generic chemical products'!X2</f>
        <v>1.3016448977650344E-10</v>
      </c>
      <c r="Y24" s="386">
        <f>'36. Generic chemical products'!Y2</f>
        <v>1.1181204517092254</v>
      </c>
      <c r="Z24" s="386">
        <f>'36. Generic chemical products'!Z2</f>
        <v>78.957506928451508</v>
      </c>
      <c r="AA24" s="386" t="str">
        <f>'36. Generic chemical products'!AA2</f>
        <v>Roos 2017</v>
      </c>
      <c r="AB24" s="27">
        <f>$C$6*I24</f>
        <v>0</v>
      </c>
      <c r="AC24" s="467">
        <v>0</v>
      </c>
      <c r="AD24" s="24">
        <f>AB24*U24+AC24*W24</f>
        <v>0</v>
      </c>
      <c r="AE24" s="135">
        <f>AB24*V24+AC24*X24</f>
        <v>0</v>
      </c>
      <c r="AF24" s="24">
        <f>AB24*Y24+AC24*Z24</f>
        <v>0</v>
      </c>
      <c r="AG24" s="24">
        <f>AB24*U24</f>
        <v>0</v>
      </c>
      <c r="AH24" s="24">
        <f>AB24*V24</f>
        <v>0</v>
      </c>
      <c r="AI24" s="24">
        <f>AB24*Y24</f>
        <v>0</v>
      </c>
      <c r="AJ24" s="24">
        <f>AC24*W24</f>
        <v>0</v>
      </c>
      <c r="AK24" s="24">
        <f>AC24*X24</f>
        <v>0</v>
      </c>
      <c r="AL24" s="24">
        <f>AC24*Z24</f>
        <v>0</v>
      </c>
      <c r="AM24" s="161">
        <f>AG24+AJ24</f>
        <v>0</v>
      </c>
      <c r="AN24" s="157">
        <f t="shared" ref="AN24:AO26" si="0">AH24+AK24</f>
        <v>0</v>
      </c>
      <c r="AO24" s="162">
        <f t="shared" si="0"/>
        <v>0</v>
      </c>
    </row>
    <row r="25" spans="1:41" s="8" customFormat="1" ht="15" customHeight="1" x14ac:dyDescent="0.2">
      <c r="A25" s="54" t="str">
        <f>'36. Generic chemical products'!A3</f>
        <v>Lubricant, average (Albafluid CD)</v>
      </c>
      <c r="B25" s="54" t="str">
        <f>'36. Generic chemical products'!B3</f>
        <v>Acrylamide</v>
      </c>
      <c r="C25" s="54">
        <f>'36. Generic chemical products'!C3</f>
        <v>0</v>
      </c>
      <c r="D25" s="54">
        <f>'36. Generic chemical products'!D3</f>
        <v>0</v>
      </c>
      <c r="E25" s="54" t="str">
        <f>'36. Generic chemical products'!E3</f>
        <v>Breakdown product (Caulfield, 2002)</v>
      </c>
      <c r="F25" s="54">
        <f>'36. Generic chemical products'!F3</f>
        <v>0</v>
      </c>
      <c r="G25" s="54" t="str">
        <f>'36. Generic chemical products'!G3</f>
        <v>Acrylamide</v>
      </c>
      <c r="H25" s="54" t="str">
        <f>'36. Generic chemical products'!H3</f>
        <v>high. pop.</v>
      </c>
      <c r="I25" s="54">
        <f>'36. Generic chemical products'!I3</f>
        <v>3.0000000000000001E-6</v>
      </c>
      <c r="J25" s="54" t="str">
        <f>'36. Generic chemical products'!J3</f>
        <v>kg</v>
      </c>
      <c r="K25" s="54">
        <f>'36. Generic chemical products'!K3</f>
        <v>0</v>
      </c>
      <c r="L25" s="54">
        <f>'36. Generic chemical products'!L3</f>
        <v>0</v>
      </c>
      <c r="M25" s="54" t="str">
        <f>'36. Generic chemical products'!M3</f>
        <v>Acrylamide</v>
      </c>
      <c r="N25" s="54" t="str">
        <f>'36. Generic chemical products'!N3</f>
        <v>river</v>
      </c>
      <c r="O25" s="54">
        <f>'36. Generic chemical products'!O3</f>
        <v>3.0000000000000004E-5</v>
      </c>
      <c r="P25" s="54" t="str">
        <f>'36. Generic chemical products'!P3</f>
        <v>kg</v>
      </c>
      <c r="Q25" s="54" t="str">
        <f>'36. Generic chemical products'!Q3</f>
        <v xml:space="preserve">90% of reactive chemicals are degraded during operations. </v>
      </c>
      <c r="R25" s="54">
        <f>'36. Generic chemical products'!R3</f>
        <v>0</v>
      </c>
      <c r="S25" s="54">
        <f>'36. Generic chemical products'!S3</f>
        <v>0</v>
      </c>
      <c r="T25" s="385" t="str">
        <f>'36. Generic chemical products'!T3</f>
        <v>79-06-1</v>
      </c>
      <c r="U25" s="385">
        <f>'36. Generic chemical products'!U3</f>
        <v>3.0023364753950555E-5</v>
      </c>
      <c r="V25" s="385">
        <f>'36. Generic chemical products'!V3</f>
        <v>1.2481126126868064E-4</v>
      </c>
      <c r="W25" s="385">
        <f>'36. Generic chemical products'!W3</f>
        <v>1.1959264101490567E-5</v>
      </c>
      <c r="X25" s="385">
        <f>'36. Generic chemical products'!X3</f>
        <v>4.9716307568620708E-5</v>
      </c>
      <c r="Y25" s="385">
        <f>'36. Generic chemical products'!Y3</f>
        <v>10.037499181426883</v>
      </c>
      <c r="Z25" s="385">
        <f>'36. Generic chemical products'!Z3</f>
        <v>119.14199796898779</v>
      </c>
      <c r="AA25" s="385" t="str">
        <f>'36. Generic chemical products'!AA3</f>
        <v>USEtox</v>
      </c>
      <c r="AB25" s="27">
        <f>$C$6*I25</f>
        <v>4.8E-9</v>
      </c>
      <c r="AC25" s="468">
        <v>0</v>
      </c>
      <c r="AD25" s="135">
        <f t="shared" ref="AD25:AD26" si="1">AB25*U25+AC25*W25</f>
        <v>1.4411215081896266E-13</v>
      </c>
      <c r="AE25" s="135">
        <f t="shared" ref="AE25:AE26" si="2">AB25*V25+AC25*X25</f>
        <v>5.9909405408966702E-13</v>
      </c>
      <c r="AF25" s="24">
        <f t="shared" ref="AF25:AF26" si="3">AB25*Y25+AC25*Z25</f>
        <v>4.8179996070849036E-8</v>
      </c>
      <c r="AG25" s="24">
        <f t="shared" ref="AG25:AG26" si="4">AB25*U25</f>
        <v>1.4411215081896266E-13</v>
      </c>
      <c r="AH25" s="24">
        <f t="shared" ref="AH25:AH26" si="5">AB25*V25</f>
        <v>5.9909405408966702E-13</v>
      </c>
      <c r="AI25" s="24">
        <f t="shared" ref="AI25:AI26" si="6">AB25*Y25</f>
        <v>4.8179996070849036E-8</v>
      </c>
      <c r="AJ25" s="24">
        <f t="shared" ref="AJ25:AJ26" si="7">AC25*W25</f>
        <v>0</v>
      </c>
      <c r="AK25" s="24">
        <f t="shared" ref="AK25:AK26" si="8">AC25*X25</f>
        <v>0</v>
      </c>
      <c r="AL25" s="24">
        <f t="shared" ref="AL25:AL26" si="9">AC25*Z25</f>
        <v>0</v>
      </c>
      <c r="AM25" s="161">
        <f t="shared" ref="AM25:AM26" si="10">AG25+AJ25</f>
        <v>1.4411215081896266E-13</v>
      </c>
      <c r="AN25" s="157">
        <f t="shared" si="0"/>
        <v>5.9909405408966702E-13</v>
      </c>
      <c r="AO25" s="162">
        <f t="shared" si="0"/>
        <v>4.8179996070849036E-8</v>
      </c>
    </row>
    <row r="26" spans="1:41" s="49" customFormat="1" ht="15" customHeight="1" x14ac:dyDescent="0.2">
      <c r="A26" s="141" t="str">
        <f>'36. Generic chemical products'!A4</f>
        <v>Lubricant, average (Albafluid CD)</v>
      </c>
      <c r="B26" s="141">
        <f>'36. Generic chemical products'!B4</f>
        <v>0</v>
      </c>
      <c r="C26" s="141">
        <f>'36. Generic chemical products'!C4</f>
        <v>0</v>
      </c>
      <c r="D26" s="141">
        <f>'36. Generic chemical products'!D4</f>
        <v>0</v>
      </c>
      <c r="E26" s="141" t="str">
        <f>'36. Generic chemical products'!E4</f>
        <v>Common breakdown product of of acrylics, 0.001 % assumed</v>
      </c>
      <c r="F26" s="141">
        <f>'36. Generic chemical products'!F4</f>
        <v>0</v>
      </c>
      <c r="G26" s="141" t="str">
        <f>'36. Generic chemical products'!G4</f>
        <v>Formaldehyde</v>
      </c>
      <c r="H26" s="141" t="str">
        <f>'36. Generic chemical products'!H4</f>
        <v>high. pop.</v>
      </c>
      <c r="I26" s="141">
        <f>'36. Generic chemical products'!I4</f>
        <v>2.9999999999999999E-7</v>
      </c>
      <c r="J26" s="141" t="str">
        <f>'36. Generic chemical products'!J4</f>
        <v>kg</v>
      </c>
      <c r="K26" s="141">
        <f>'36. Generic chemical products'!K4</f>
        <v>0</v>
      </c>
      <c r="L26" s="141">
        <f>'36. Generic chemical products'!L4</f>
        <v>0</v>
      </c>
      <c r="M26" s="141" t="str">
        <f>'36. Generic chemical products'!M4</f>
        <v>Formaldehyde</v>
      </c>
      <c r="N26" s="141" t="str">
        <f>'36. Generic chemical products'!N4</f>
        <v>river</v>
      </c>
      <c r="O26" s="141">
        <f>'36. Generic chemical products'!O4</f>
        <v>3.0000000000000001E-6</v>
      </c>
      <c r="P26" s="141" t="str">
        <f>'36. Generic chemical products'!P4</f>
        <v>kg</v>
      </c>
      <c r="Q26" s="141" t="str">
        <f>'36. Generic chemical products'!Q4</f>
        <v xml:space="preserve">0.1 % of the content is degraded to common breakdown products. 90% of reactive chemicals are degraded during operations. </v>
      </c>
      <c r="R26" s="141">
        <f>'36. Generic chemical products'!R4</f>
        <v>0</v>
      </c>
      <c r="S26" s="141">
        <f>'36. Generic chemical products'!S4</f>
        <v>0</v>
      </c>
      <c r="T26" s="388" t="str">
        <f>'36. Generic chemical products'!T4</f>
        <v>50-00-0</v>
      </c>
      <c r="U26" s="388">
        <f>'36. Generic chemical products'!U4</f>
        <v>2.5208446330720887E-5</v>
      </c>
      <c r="V26" s="388">
        <f>'36. Generic chemical products'!V4</f>
        <v>2.6504960021309262E-7</v>
      </c>
      <c r="W26" s="388">
        <f>'36. Generic chemical products'!W4</f>
        <v>1.4222228897488039E-7</v>
      </c>
      <c r="X26" s="388">
        <f>'36. Generic chemical products'!X4</f>
        <v>3.170874313501273E-7</v>
      </c>
      <c r="Y26" s="388">
        <f>'36. Generic chemical products'!Y4</f>
        <v>17.989178582912412</v>
      </c>
      <c r="Z26" s="388">
        <f>'36. Generic chemical products'!Z4</f>
        <v>290.05086067463066</v>
      </c>
      <c r="AA26" s="388" t="str">
        <f>'36. Generic chemical products'!AA4</f>
        <v>USEtox</v>
      </c>
      <c r="AB26" s="28">
        <f>$C$6*I26</f>
        <v>4.8E-10</v>
      </c>
      <c r="AC26" s="469">
        <v>0</v>
      </c>
      <c r="AD26" s="147">
        <f t="shared" si="1"/>
        <v>1.2100054238746025E-14</v>
      </c>
      <c r="AE26" s="147">
        <f t="shared" si="2"/>
        <v>1.2722380810228446E-16</v>
      </c>
      <c r="AF26" s="25">
        <f t="shared" si="3"/>
        <v>8.6348057197979577E-9</v>
      </c>
      <c r="AG26" s="25">
        <f t="shared" si="4"/>
        <v>1.2100054238746025E-14</v>
      </c>
      <c r="AH26" s="25">
        <f t="shared" si="5"/>
        <v>1.2722380810228446E-16</v>
      </c>
      <c r="AI26" s="25">
        <f t="shared" si="6"/>
        <v>8.6348057197979577E-9</v>
      </c>
      <c r="AJ26" s="25">
        <f t="shared" si="7"/>
        <v>0</v>
      </c>
      <c r="AK26" s="25">
        <f t="shared" si="8"/>
        <v>0</v>
      </c>
      <c r="AL26" s="25">
        <f t="shared" si="9"/>
        <v>0</v>
      </c>
      <c r="AM26" s="163">
        <f t="shared" si="10"/>
        <v>1.2100054238746025E-14</v>
      </c>
      <c r="AN26" s="164">
        <f t="shared" si="0"/>
        <v>1.2722380810228446E-16</v>
      </c>
      <c r="AO26" s="165">
        <f t="shared" si="0"/>
        <v>8.6348057197979577E-9</v>
      </c>
    </row>
    <row r="27" spans="1:41" x14ac:dyDescent="0.2">
      <c r="AD27" s="177">
        <f>SUM(AD24:AD26)</f>
        <v>1.562122050577087E-13</v>
      </c>
      <c r="AE27" s="177">
        <f t="shared" ref="AE27:AF27" si="11">SUM(AE24:AE26)</f>
        <v>5.9922127789776926E-13</v>
      </c>
      <c r="AF27" s="177">
        <f t="shared" si="11"/>
        <v>5.6814801790646992E-8</v>
      </c>
    </row>
    <row r="28" spans="1:41" x14ac:dyDescent="0.2">
      <c r="A28" s="47" t="s">
        <v>736</v>
      </c>
    </row>
    <row r="31" spans="1:41" x14ac:dyDescent="0.2">
      <c r="AE31" s="40"/>
    </row>
    <row r="32" spans="1:41" x14ac:dyDescent="0.2">
      <c r="A32" s="35" t="s">
        <v>687</v>
      </c>
      <c r="AE32" s="40"/>
    </row>
    <row r="33" spans="1:32" x14ac:dyDescent="0.2">
      <c r="A33" t="s">
        <v>1068</v>
      </c>
      <c r="AD33" s="40"/>
      <c r="AE33" s="40"/>
      <c r="AF33" s="40"/>
    </row>
    <row r="34" spans="1:32" x14ac:dyDescent="0.2">
      <c r="A34" t="s">
        <v>1069</v>
      </c>
      <c r="AD34" s="40"/>
      <c r="AE34" s="40"/>
    </row>
    <row r="35" spans="1:32" x14ac:dyDescent="0.2">
      <c r="A35" t="s">
        <v>1083</v>
      </c>
      <c r="AE35" s="40"/>
      <c r="AF35" s="40"/>
    </row>
    <row r="36" spans="1:32" x14ac:dyDescent="0.2">
      <c r="A36" t="s">
        <v>1084</v>
      </c>
      <c r="AE36" s="35"/>
      <c r="AF36" s="99"/>
    </row>
    <row r="37" spans="1:32" x14ac:dyDescent="0.2">
      <c r="A37" t="s">
        <v>1087</v>
      </c>
      <c r="AE37" s="40"/>
      <c r="AF37" s="40"/>
    </row>
    <row r="38" spans="1:32" x14ac:dyDescent="0.2">
      <c r="A38" t="s">
        <v>1070</v>
      </c>
    </row>
    <row r="39" spans="1:32" x14ac:dyDescent="0.2">
      <c r="A39" t="s">
        <v>1071</v>
      </c>
    </row>
    <row r="40" spans="1:32" x14ac:dyDescent="0.2">
      <c r="A40" t="s">
        <v>1072</v>
      </c>
    </row>
    <row r="41" spans="1:32" x14ac:dyDescent="0.2">
      <c r="A41" t="s">
        <v>1073</v>
      </c>
    </row>
    <row r="42" spans="1:32" x14ac:dyDescent="0.2">
      <c r="A42" s="35"/>
    </row>
    <row r="44" spans="1:32" x14ac:dyDescent="0.2">
      <c r="A44" s="34"/>
    </row>
  </sheetData>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O45"/>
  <sheetViews>
    <sheetView zoomScale="70" zoomScaleNormal="70" workbookViewId="0">
      <selection activeCell="L43" sqref="L43"/>
    </sheetView>
  </sheetViews>
  <sheetFormatPr defaultRowHeight="12.75" x14ac:dyDescent="0.2"/>
  <cols>
    <col min="1" max="1" width="60" customWidth="1"/>
    <col min="33" max="33" width="10.140625" bestFit="1" customWidth="1"/>
    <col min="34" max="34" width="9.85546875" bestFit="1" customWidth="1"/>
  </cols>
  <sheetData>
    <row r="1" spans="1:34" ht="16.5" thickBot="1" x14ac:dyDescent="0.3">
      <c r="A1" s="82" t="s">
        <v>502</v>
      </c>
      <c r="B1" s="83"/>
      <c r="C1" s="83" t="s">
        <v>217</v>
      </c>
      <c r="D1" s="83" t="s">
        <v>11</v>
      </c>
      <c r="E1" s="84" t="s">
        <v>180</v>
      </c>
      <c r="F1" s="34"/>
      <c r="G1" s="92" t="s">
        <v>503</v>
      </c>
      <c r="H1" s="93"/>
      <c r="I1" s="93" t="s">
        <v>217</v>
      </c>
      <c r="J1" s="93" t="s">
        <v>11</v>
      </c>
      <c r="K1" s="94" t="s">
        <v>180</v>
      </c>
      <c r="L1" s="34"/>
      <c r="M1" s="95" t="s">
        <v>504</v>
      </c>
      <c r="N1" s="96"/>
      <c r="O1" s="97" t="s">
        <v>217</v>
      </c>
      <c r="P1" s="97" t="s">
        <v>11</v>
      </c>
      <c r="Q1" s="98" t="s">
        <v>180</v>
      </c>
      <c r="R1" s="34"/>
      <c r="S1" s="44" t="s">
        <v>505</v>
      </c>
      <c r="T1" s="45"/>
      <c r="U1" s="45" t="s">
        <v>217</v>
      </c>
      <c r="V1" s="45" t="s">
        <v>11</v>
      </c>
      <c r="W1" s="46" t="s">
        <v>180</v>
      </c>
      <c r="X1" s="34"/>
      <c r="Y1" s="41" t="s">
        <v>506</v>
      </c>
      <c r="Z1" s="42"/>
      <c r="AA1" s="42" t="s">
        <v>217</v>
      </c>
      <c r="AB1" s="42" t="s">
        <v>11</v>
      </c>
      <c r="AC1" s="43" t="s">
        <v>180</v>
      </c>
      <c r="AD1" s="40"/>
      <c r="AF1" s="40"/>
      <c r="AG1" s="48" t="s">
        <v>710</v>
      </c>
    </row>
    <row r="2" spans="1:34"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F2" s="40"/>
      <c r="AG2" s="34" t="s">
        <v>929</v>
      </c>
      <c r="AH2" s="40" t="s">
        <v>916</v>
      </c>
    </row>
    <row r="3" spans="1:34" x14ac:dyDescent="0.2">
      <c r="A3" s="88" t="s">
        <v>507</v>
      </c>
      <c r="B3" s="89"/>
      <c r="C3" s="89">
        <v>1</v>
      </c>
      <c r="D3" s="89" t="s">
        <v>2</v>
      </c>
      <c r="E3" s="90"/>
      <c r="F3" s="34"/>
      <c r="G3" s="88" t="s">
        <v>507</v>
      </c>
      <c r="H3" s="89"/>
      <c r="I3" s="89">
        <v>1</v>
      </c>
      <c r="J3" s="89" t="s">
        <v>2</v>
      </c>
      <c r="K3" s="90"/>
      <c r="L3" s="34"/>
      <c r="M3" s="88" t="s">
        <v>507</v>
      </c>
      <c r="N3" s="89"/>
      <c r="O3" s="89">
        <v>1</v>
      </c>
      <c r="P3" s="89" t="s">
        <v>2</v>
      </c>
      <c r="Q3" s="90"/>
      <c r="R3" s="34"/>
      <c r="S3" s="88" t="s">
        <v>507</v>
      </c>
      <c r="T3" s="89"/>
      <c r="U3" s="89">
        <v>1</v>
      </c>
      <c r="V3" s="89" t="s">
        <v>2</v>
      </c>
      <c r="W3" s="90"/>
      <c r="X3" s="34"/>
      <c r="Y3" s="88" t="s">
        <v>507</v>
      </c>
      <c r="Z3" s="89"/>
      <c r="AA3" s="89">
        <v>1</v>
      </c>
      <c r="AB3" s="89" t="s">
        <v>2</v>
      </c>
      <c r="AC3" s="90"/>
      <c r="AD3" s="40"/>
      <c r="AF3" s="40" t="s">
        <v>260</v>
      </c>
      <c r="AG3" s="226">
        <v>3.70852517926369</v>
      </c>
    </row>
    <row r="4" spans="1:34" x14ac:dyDescent="0.2">
      <c r="A4" s="85" t="s">
        <v>187</v>
      </c>
      <c r="B4" s="89"/>
      <c r="C4" s="89"/>
      <c r="D4" s="89"/>
      <c r="E4" s="90"/>
      <c r="F4" s="35"/>
      <c r="G4" s="85" t="s">
        <v>187</v>
      </c>
      <c r="H4" s="89"/>
      <c r="I4" s="89"/>
      <c r="J4" s="89"/>
      <c r="K4" s="90"/>
      <c r="L4" s="35"/>
      <c r="M4" s="85" t="s">
        <v>187</v>
      </c>
      <c r="N4" s="89"/>
      <c r="O4" s="89"/>
      <c r="P4" s="89"/>
      <c r="Q4" s="90"/>
      <c r="R4" s="35"/>
      <c r="S4" s="85" t="s">
        <v>187</v>
      </c>
      <c r="T4" s="89"/>
      <c r="U4" s="89"/>
      <c r="V4" s="89"/>
      <c r="W4" s="90"/>
      <c r="X4" s="35"/>
      <c r="Y4" s="85" t="s">
        <v>187</v>
      </c>
      <c r="Z4" s="89"/>
      <c r="AA4" s="89"/>
      <c r="AB4" s="89"/>
      <c r="AC4" s="90"/>
      <c r="AD4" s="99"/>
      <c r="AF4" s="40" t="s">
        <v>261</v>
      </c>
      <c r="AG4" s="226">
        <v>4.4364364680368501E-4</v>
      </c>
    </row>
    <row r="5" spans="1:34" x14ac:dyDescent="0.2">
      <c r="A5" s="88" t="s">
        <v>141</v>
      </c>
      <c r="B5" s="89"/>
      <c r="C5" s="89">
        <v>1.6000000000000001E-3</v>
      </c>
      <c r="D5" s="89" t="s">
        <v>2</v>
      </c>
      <c r="E5" s="90" t="s">
        <v>179</v>
      </c>
      <c r="F5" s="34" t="s">
        <v>179</v>
      </c>
      <c r="G5" s="88" t="s">
        <v>141</v>
      </c>
      <c r="H5" s="89"/>
      <c r="I5" s="89">
        <v>1.6000000000000001E-3</v>
      </c>
      <c r="J5" s="89" t="s">
        <v>2</v>
      </c>
      <c r="K5" s="90" t="s">
        <v>179</v>
      </c>
      <c r="L5" s="34"/>
      <c r="M5" s="88" t="s">
        <v>141</v>
      </c>
      <c r="N5" s="89"/>
      <c r="O5" s="89">
        <v>1.6000000000000001E-3</v>
      </c>
      <c r="P5" s="89" t="s">
        <v>2</v>
      </c>
      <c r="Q5" s="90" t="s">
        <v>179</v>
      </c>
      <c r="R5" s="34"/>
      <c r="S5" s="88" t="s">
        <v>141</v>
      </c>
      <c r="T5" s="89"/>
      <c r="U5" s="89">
        <v>1.6000000000000001E-3</v>
      </c>
      <c r="V5" s="89" t="s">
        <v>2</v>
      </c>
      <c r="W5" s="90" t="s">
        <v>179</v>
      </c>
      <c r="X5" s="34"/>
      <c r="Y5" s="88" t="s">
        <v>141</v>
      </c>
      <c r="Z5" s="89"/>
      <c r="AA5" s="89">
        <v>1.6000000000000001E-3</v>
      </c>
      <c r="AB5" s="89" t="s">
        <v>2</v>
      </c>
      <c r="AC5" s="90" t="s">
        <v>179</v>
      </c>
      <c r="AD5" s="40"/>
      <c r="AF5" s="40" t="s">
        <v>262</v>
      </c>
      <c r="AG5" s="226">
        <v>3.44360876031767E-2</v>
      </c>
    </row>
    <row r="6" spans="1:34" x14ac:dyDescent="0.2">
      <c r="A6" s="280" t="s">
        <v>190</v>
      </c>
      <c r="B6" s="281"/>
      <c r="C6" s="281">
        <f>C5</f>
        <v>1.6000000000000001E-3</v>
      </c>
      <c r="D6" s="281" t="s">
        <v>2</v>
      </c>
      <c r="E6" s="286" t="s">
        <v>179</v>
      </c>
      <c r="F6" s="244"/>
      <c r="G6" s="280" t="s">
        <v>190</v>
      </c>
      <c r="H6" s="281"/>
      <c r="I6" s="281">
        <f>I5</f>
        <v>1.6000000000000001E-3</v>
      </c>
      <c r="J6" s="281" t="s">
        <v>2</v>
      </c>
      <c r="K6" s="286" t="s">
        <v>179</v>
      </c>
      <c r="L6" s="244"/>
      <c r="M6" s="280" t="s">
        <v>190</v>
      </c>
      <c r="N6" s="281"/>
      <c r="O6" s="281">
        <f>O5</f>
        <v>1.6000000000000001E-3</v>
      </c>
      <c r="P6" s="281" t="s">
        <v>2</v>
      </c>
      <c r="Q6" s="286" t="s">
        <v>179</v>
      </c>
      <c r="R6" s="218"/>
      <c r="S6" s="280" t="s">
        <v>190</v>
      </c>
      <c r="T6" s="281"/>
      <c r="U6" s="281">
        <f>U5</f>
        <v>1.6000000000000001E-3</v>
      </c>
      <c r="V6" s="339" t="s">
        <v>2</v>
      </c>
      <c r="W6" s="337" t="s">
        <v>179</v>
      </c>
      <c r="X6" s="218"/>
      <c r="Y6" s="280" t="s">
        <v>190</v>
      </c>
      <c r="Z6" s="281"/>
      <c r="AA6" s="281">
        <f>AA5</f>
        <v>1.6000000000000001E-3</v>
      </c>
      <c r="AB6" s="281" t="s">
        <v>2</v>
      </c>
      <c r="AC6" s="286" t="s">
        <v>179</v>
      </c>
      <c r="AF6" s="40" t="s">
        <v>263</v>
      </c>
      <c r="AG6" s="226">
        <v>1.2318247552550499E-2</v>
      </c>
    </row>
    <row r="7" spans="1:34" x14ac:dyDescent="0.2">
      <c r="A7" s="85" t="s">
        <v>205</v>
      </c>
      <c r="B7" s="89"/>
      <c r="C7" s="89"/>
      <c r="D7" s="89"/>
      <c r="E7" s="91"/>
      <c r="G7" s="85" t="s">
        <v>205</v>
      </c>
      <c r="H7" s="89"/>
      <c r="I7" s="89"/>
      <c r="J7" s="89"/>
      <c r="K7" s="213"/>
      <c r="L7" s="218"/>
      <c r="M7" s="219" t="s">
        <v>205</v>
      </c>
      <c r="N7" s="215"/>
      <c r="O7" s="215"/>
      <c r="P7" s="215"/>
      <c r="Q7" s="213"/>
      <c r="R7" s="218"/>
      <c r="S7" s="219" t="s">
        <v>205</v>
      </c>
      <c r="T7" s="215"/>
      <c r="U7" s="89"/>
      <c r="V7" s="89"/>
      <c r="W7" s="91"/>
      <c r="Y7" s="85" t="s">
        <v>205</v>
      </c>
      <c r="Z7" s="89"/>
      <c r="AA7" s="89"/>
      <c r="AB7" s="89"/>
      <c r="AC7" s="91"/>
      <c r="AF7" s="40" t="s">
        <v>264</v>
      </c>
      <c r="AG7" s="5">
        <v>1.6302220918550301E-2</v>
      </c>
    </row>
    <row r="8" spans="1:34" ht="15" x14ac:dyDescent="0.2">
      <c r="A8" s="88" t="s">
        <v>206</v>
      </c>
      <c r="B8" s="89"/>
      <c r="C8" s="89">
        <v>4.41</v>
      </c>
      <c r="D8" s="89" t="s">
        <v>207</v>
      </c>
      <c r="E8" s="213" t="s">
        <v>1080</v>
      </c>
      <c r="F8" t="s">
        <v>87</v>
      </c>
      <c r="G8" s="88" t="s">
        <v>206</v>
      </c>
      <c r="H8" s="89"/>
      <c r="I8" s="89">
        <v>4.41</v>
      </c>
      <c r="J8" s="89" t="s">
        <v>207</v>
      </c>
      <c r="K8" s="213" t="s">
        <v>1088</v>
      </c>
      <c r="L8" s="218" t="s">
        <v>87</v>
      </c>
      <c r="M8" s="214" t="s">
        <v>206</v>
      </c>
      <c r="N8" s="215"/>
      <c r="O8" s="215">
        <v>7.46</v>
      </c>
      <c r="P8" s="215" t="s">
        <v>207</v>
      </c>
      <c r="Q8" s="213" t="s">
        <v>1086</v>
      </c>
      <c r="R8" s="218"/>
      <c r="S8" s="214" t="s">
        <v>206</v>
      </c>
      <c r="T8" s="215"/>
      <c r="U8" s="89">
        <v>4.41</v>
      </c>
      <c r="V8" s="89" t="s">
        <v>207</v>
      </c>
      <c r="W8" s="91" t="s">
        <v>179</v>
      </c>
      <c r="Y8" s="88" t="s">
        <v>206</v>
      </c>
      <c r="Z8" s="89"/>
      <c r="AA8" s="89">
        <v>4.41</v>
      </c>
      <c r="AB8" s="89" t="s">
        <v>207</v>
      </c>
      <c r="AC8" s="91" t="s">
        <v>179</v>
      </c>
      <c r="AF8" s="40" t="s">
        <v>675</v>
      </c>
      <c r="AG8" s="5">
        <v>2.2309649132978899</v>
      </c>
    </row>
    <row r="9" spans="1:34" x14ac:dyDescent="0.2">
      <c r="A9" s="85" t="s">
        <v>212</v>
      </c>
      <c r="B9" s="89"/>
      <c r="C9" s="89"/>
      <c r="D9" s="89"/>
      <c r="E9" s="90"/>
      <c r="G9" s="85" t="s">
        <v>212</v>
      </c>
      <c r="H9" s="89"/>
      <c r="I9" s="89"/>
      <c r="J9" s="89"/>
      <c r="K9" s="90"/>
      <c r="M9" s="85" t="s">
        <v>212</v>
      </c>
      <c r="N9" s="89"/>
      <c r="O9" s="89"/>
      <c r="P9" s="89"/>
      <c r="Q9" s="90"/>
      <c r="S9" s="85" t="s">
        <v>212</v>
      </c>
      <c r="T9" s="89"/>
      <c r="U9" s="89"/>
      <c r="V9" s="89"/>
      <c r="W9" s="90"/>
      <c r="Y9" s="85" t="s">
        <v>212</v>
      </c>
      <c r="Z9" s="89"/>
      <c r="AA9" s="89"/>
      <c r="AB9" s="89"/>
      <c r="AC9" s="90"/>
      <c r="AF9" s="40" t="s">
        <v>266</v>
      </c>
      <c r="AG9" s="5">
        <v>4.5723428427442502E-7</v>
      </c>
      <c r="AH9" s="4">
        <f>AE26</f>
        <v>5.9922127789776926E-13</v>
      </c>
    </row>
    <row r="10" spans="1:34" ht="13.5" thickBot="1" x14ac:dyDescent="0.25">
      <c r="A10" s="100" t="s">
        <v>485</v>
      </c>
      <c r="B10" s="101"/>
      <c r="C10" s="101">
        <v>5.0000000000000001E-3</v>
      </c>
      <c r="D10" s="101" t="s">
        <v>2</v>
      </c>
      <c r="E10" s="112" t="s">
        <v>509</v>
      </c>
      <c r="G10" s="100" t="s">
        <v>485</v>
      </c>
      <c r="H10" s="101"/>
      <c r="I10" s="101">
        <v>5.0000000000000001E-3</v>
      </c>
      <c r="J10" s="101" t="s">
        <v>2</v>
      </c>
      <c r="K10" s="112" t="s">
        <v>509</v>
      </c>
      <c r="M10" s="100" t="s">
        <v>485</v>
      </c>
      <c r="N10" s="101"/>
      <c r="O10" s="101">
        <v>5.0000000000000001E-3</v>
      </c>
      <c r="P10" s="101" t="s">
        <v>2</v>
      </c>
      <c r="Q10" s="112" t="s">
        <v>509</v>
      </c>
      <c r="S10" s="100" t="s">
        <v>485</v>
      </c>
      <c r="T10" s="101"/>
      <c r="U10" s="101">
        <v>5.0000000000000001E-3</v>
      </c>
      <c r="V10" s="101" t="s">
        <v>2</v>
      </c>
      <c r="W10" s="112" t="s">
        <v>509</v>
      </c>
      <c r="Y10" s="100" t="s">
        <v>485</v>
      </c>
      <c r="Z10" s="101"/>
      <c r="AA10" s="101">
        <v>5.0000000000000001E-3</v>
      </c>
      <c r="AB10" s="101" t="s">
        <v>2</v>
      </c>
      <c r="AC10" s="112" t="s">
        <v>509</v>
      </c>
      <c r="AF10" s="40" t="s">
        <v>267</v>
      </c>
      <c r="AG10" s="5">
        <v>9.30624228841951E-8</v>
      </c>
      <c r="AH10" s="4">
        <f>AD26</f>
        <v>1.562122050577087E-13</v>
      </c>
    </row>
    <row r="11" spans="1:34" x14ac:dyDescent="0.2">
      <c r="AF11" s="40" t="s">
        <v>268</v>
      </c>
      <c r="AG11" s="5">
        <v>7.2755711245689101</v>
      </c>
      <c r="AH11" s="4">
        <f>AF26</f>
        <v>5.6814801790646992E-8</v>
      </c>
    </row>
    <row r="17" spans="1:41" s="34" customFormat="1" x14ac:dyDescent="0.2">
      <c r="T17" s="103" t="s">
        <v>274</v>
      </c>
      <c r="U17" s="104"/>
      <c r="V17" s="105"/>
      <c r="AA17" s="40"/>
      <c r="AB17" s="40"/>
      <c r="AC17" s="40"/>
      <c r="AD17" s="40"/>
      <c r="AE17" s="40"/>
      <c r="AI17" s="40"/>
      <c r="AJ17" s="40"/>
      <c r="AK17" s="40"/>
    </row>
    <row r="18" spans="1:41" s="34" customFormat="1" x14ac:dyDescent="0.2">
      <c r="T18" s="106" t="s">
        <v>278</v>
      </c>
      <c r="U18" s="107"/>
      <c r="V18" s="108"/>
      <c r="AA18" s="40"/>
      <c r="AB18" s="40"/>
      <c r="AC18" s="40"/>
      <c r="AD18" s="40"/>
      <c r="AE18" s="40"/>
      <c r="AI18" s="40"/>
      <c r="AJ18" s="40"/>
      <c r="AK18" s="40"/>
    </row>
    <row r="19" spans="1:41" s="34" customFormat="1" x14ac:dyDescent="0.2">
      <c r="T19" s="109" t="s">
        <v>276</v>
      </c>
      <c r="U19" s="110"/>
      <c r="V19" s="111"/>
      <c r="AA19" s="40"/>
      <c r="AB19" s="40"/>
      <c r="AC19" s="40"/>
      <c r="AD19" s="40"/>
      <c r="AE19" s="40"/>
      <c r="AF19" s="40"/>
      <c r="AG19" s="40"/>
      <c r="AH19" s="40"/>
      <c r="AI19" s="40"/>
      <c r="AJ19" s="40"/>
      <c r="AK19" s="40"/>
    </row>
    <row r="20" spans="1:41" s="59" customFormat="1" x14ac:dyDescent="0.2">
      <c r="A20" s="17"/>
      <c r="B20" s="58"/>
    </row>
    <row r="21" spans="1:41" s="7" customFormat="1" x14ac:dyDescent="0.2">
      <c r="A21" s="17" t="s">
        <v>708</v>
      </c>
      <c r="U21" s="197" t="s">
        <v>550</v>
      </c>
      <c r="V21" s="198" t="s">
        <v>551</v>
      </c>
      <c r="W21" s="198" t="s">
        <v>550</v>
      </c>
      <c r="X21" s="198" t="s">
        <v>551</v>
      </c>
      <c r="Y21" s="199" t="s">
        <v>552</v>
      </c>
      <c r="Z21" s="200"/>
      <c r="AA21" s="201"/>
      <c r="AB21" s="17" t="s">
        <v>105</v>
      </c>
      <c r="AC21" s="17"/>
      <c r="AD21" s="148" t="s">
        <v>549</v>
      </c>
      <c r="AE21" s="149"/>
      <c r="AF21" s="149"/>
      <c r="AG21" s="149" t="s">
        <v>548</v>
      </c>
      <c r="AH21" s="149"/>
      <c r="AI21" s="149"/>
      <c r="AJ21" s="149" t="s">
        <v>547</v>
      </c>
      <c r="AK21" s="149"/>
      <c r="AL21" s="149"/>
      <c r="AM21" s="202" t="s">
        <v>553</v>
      </c>
      <c r="AN21" s="200"/>
      <c r="AO21" s="201"/>
    </row>
    <row r="22" spans="1:41" s="49" customFormat="1" ht="15" customHeight="1" x14ac:dyDescent="0.2">
      <c r="A22" s="57" t="s">
        <v>58</v>
      </c>
      <c r="B22" s="55" t="s">
        <v>289</v>
      </c>
      <c r="C22" s="56" t="s">
        <v>100</v>
      </c>
      <c r="D22" s="56" t="s">
        <v>11</v>
      </c>
      <c r="E22" s="63" t="s">
        <v>291</v>
      </c>
      <c r="F22" s="63"/>
      <c r="G22" s="66" t="s">
        <v>292</v>
      </c>
      <c r="H22" s="66" t="s">
        <v>8</v>
      </c>
      <c r="I22" s="66" t="s">
        <v>217</v>
      </c>
      <c r="J22" s="66" t="s">
        <v>11</v>
      </c>
      <c r="K22" s="66" t="s">
        <v>291</v>
      </c>
      <c r="L22" s="63"/>
      <c r="M22" s="67" t="s">
        <v>293</v>
      </c>
      <c r="N22" s="67" t="s">
        <v>8</v>
      </c>
      <c r="O22" s="67" t="s">
        <v>217</v>
      </c>
      <c r="P22" s="67" t="s">
        <v>11</v>
      </c>
      <c r="Q22" s="67" t="s">
        <v>291</v>
      </c>
      <c r="R22" s="63"/>
      <c r="S22" s="63"/>
      <c r="T22" s="79" t="s">
        <v>275</v>
      </c>
      <c r="U22" s="126" t="s">
        <v>530</v>
      </c>
      <c r="V22" s="114" t="s">
        <v>531</v>
      </c>
      <c r="W22" s="114" t="s">
        <v>532</v>
      </c>
      <c r="X22" s="114" t="s">
        <v>533</v>
      </c>
      <c r="Y22" s="114" t="s">
        <v>534</v>
      </c>
      <c r="Z22" s="114" t="s">
        <v>535</v>
      </c>
      <c r="AA22" s="131" t="s">
        <v>536</v>
      </c>
      <c r="AB22" s="22" t="s">
        <v>545</v>
      </c>
      <c r="AC22" s="23" t="s">
        <v>546</v>
      </c>
      <c r="AD22" s="148" t="s">
        <v>31</v>
      </c>
      <c r="AE22" s="149" t="s">
        <v>32</v>
      </c>
      <c r="AF22" s="150" t="s">
        <v>33</v>
      </c>
      <c r="AG22" s="148" t="s">
        <v>31</v>
      </c>
      <c r="AH22" s="149" t="s">
        <v>32</v>
      </c>
      <c r="AI22" s="150" t="s">
        <v>33</v>
      </c>
      <c r="AJ22" s="148" t="s">
        <v>31</v>
      </c>
      <c r="AK22" s="149" t="s">
        <v>32</v>
      </c>
      <c r="AL22" s="149" t="s">
        <v>33</v>
      </c>
      <c r="AM22" s="159"/>
      <c r="AN22" s="156"/>
      <c r="AO22" s="160"/>
    </row>
    <row r="23" spans="1:41" s="8" customFormat="1" ht="15" customHeight="1" x14ac:dyDescent="0.2">
      <c r="A23" s="54" t="str">
        <f>'36. Generic chemical products'!A2</f>
        <v>Lubricant, average (Albafluid CD)</v>
      </c>
      <c r="B23" s="54" t="str">
        <f>'36. Generic chemical products'!B2</f>
        <v>Acrylamide/sodium acrylate copolymer</v>
      </c>
      <c r="C23" s="54">
        <f>'36. Generic chemical products'!C2</f>
        <v>0.3</v>
      </c>
      <c r="D23" s="54" t="str">
        <f>'36. Generic chemical products'!D2</f>
        <v>kg</v>
      </c>
      <c r="E23" s="54" t="str">
        <f>'36. Generic chemical products'!E2</f>
        <v>MSDS + Expert estimation for concentration</v>
      </c>
      <c r="F23" s="54">
        <f>'36. Generic chemical products'!F2</f>
        <v>0</v>
      </c>
      <c r="G23" s="54" t="str">
        <f>'36. Generic chemical products'!G2</f>
        <v>-</v>
      </c>
      <c r="H23" s="54">
        <f>'36. Generic chemical products'!H2</f>
        <v>0</v>
      </c>
      <c r="I23" s="54">
        <f>'36. Generic chemical products'!I2</f>
        <v>0</v>
      </c>
      <c r="J23" s="54">
        <f>'36. Generic chemical products'!J2</f>
        <v>0</v>
      </c>
      <c r="K23" s="54">
        <f>'36. Generic chemical products'!K2</f>
        <v>0</v>
      </c>
      <c r="L23" s="54">
        <f>'36. Generic chemical products'!L2</f>
        <v>0</v>
      </c>
      <c r="M23" s="54" t="str">
        <f>'36. Generic chemical products'!M2</f>
        <v>Acrylamide/sodium acrylate copolymer</v>
      </c>
      <c r="N23" s="54" t="str">
        <f>'36. Generic chemical products'!N2</f>
        <v>river</v>
      </c>
      <c r="O23" s="54">
        <f>'36. Generic chemical products'!O2</f>
        <v>2.9700000000000001E-2</v>
      </c>
      <c r="P23" s="54" t="str">
        <f>'36. Generic chemical products'!P2</f>
        <v>kg</v>
      </c>
      <c r="Q23" s="54" t="str">
        <f>'36. Generic chemical products'!Q2</f>
        <v>1% of polymer content remains as monomers from the production process.</v>
      </c>
      <c r="R23" s="54">
        <f>'36. Generic chemical products'!R2</f>
        <v>0</v>
      </c>
      <c r="S23" s="54">
        <f>'36. Generic chemical products'!S2</f>
        <v>0</v>
      </c>
      <c r="T23" s="386" t="str">
        <f>'36. Generic chemical products'!T2</f>
        <v>25085-02-3</v>
      </c>
      <c r="U23" s="386">
        <f>'36. Generic chemical products'!U2</f>
        <v>0</v>
      </c>
      <c r="V23" s="386">
        <f>'36. Generic chemical products'!V2</f>
        <v>1.318367210059499E-10</v>
      </c>
      <c r="W23" s="386">
        <f>'36. Generic chemical products'!W2</f>
        <v>0</v>
      </c>
      <c r="X23" s="386">
        <f>'36. Generic chemical products'!X2</f>
        <v>1.3016448977650344E-10</v>
      </c>
      <c r="Y23" s="386">
        <f>'36. Generic chemical products'!Y2</f>
        <v>1.1181204517092254</v>
      </c>
      <c r="Z23" s="386">
        <f>'36. Generic chemical products'!Z2</f>
        <v>78.957506928451508</v>
      </c>
      <c r="AA23" s="386" t="str">
        <f>'36. Generic chemical products'!AA2</f>
        <v>Roos 2017</v>
      </c>
      <c r="AB23" s="27">
        <f>$C$6*I23</f>
        <v>0</v>
      </c>
      <c r="AC23" s="467">
        <v>0</v>
      </c>
      <c r="AD23" s="24">
        <f>AB23*U23+AC23*W23</f>
        <v>0</v>
      </c>
      <c r="AE23" s="135">
        <f>AB23*V23+AC23*X23</f>
        <v>0</v>
      </c>
      <c r="AF23" s="24">
        <f>AB23*Y23+AC23*Z23</f>
        <v>0</v>
      </c>
      <c r="AG23" s="24">
        <f>AB23*U23</f>
        <v>0</v>
      </c>
      <c r="AH23" s="24">
        <f>AB23*V23</f>
        <v>0</v>
      </c>
      <c r="AI23" s="24">
        <f>AB23*Y23</f>
        <v>0</v>
      </c>
      <c r="AJ23" s="24">
        <f>AC23*W23</f>
        <v>0</v>
      </c>
      <c r="AK23" s="24">
        <f>AC23*X23</f>
        <v>0</v>
      </c>
      <c r="AL23" s="24">
        <f>AC23*Z23</f>
        <v>0</v>
      </c>
      <c r="AM23" s="161">
        <f>AG23+AJ23</f>
        <v>0</v>
      </c>
      <c r="AN23" s="157">
        <f t="shared" ref="AN23:AO25" si="0">AH23+AK23</f>
        <v>0</v>
      </c>
      <c r="AO23" s="162">
        <f t="shared" si="0"/>
        <v>0</v>
      </c>
    </row>
    <row r="24" spans="1:41" s="8" customFormat="1" ht="15" customHeight="1" x14ac:dyDescent="0.2">
      <c r="A24" s="54" t="str">
        <f>'36. Generic chemical products'!A3</f>
        <v>Lubricant, average (Albafluid CD)</v>
      </c>
      <c r="B24" s="54" t="str">
        <f>'36. Generic chemical products'!B3</f>
        <v>Acrylamide</v>
      </c>
      <c r="C24" s="54">
        <f>'36. Generic chemical products'!C3</f>
        <v>0</v>
      </c>
      <c r="D24" s="54">
        <f>'36. Generic chemical products'!D3</f>
        <v>0</v>
      </c>
      <c r="E24" s="54" t="str">
        <f>'36. Generic chemical products'!E3</f>
        <v>Breakdown product (Caulfield, 2002)</v>
      </c>
      <c r="F24" s="54">
        <f>'36. Generic chemical products'!F3</f>
        <v>0</v>
      </c>
      <c r="G24" s="54" t="str">
        <f>'36. Generic chemical products'!G3</f>
        <v>Acrylamide</v>
      </c>
      <c r="H24" s="54" t="str">
        <f>'36. Generic chemical products'!H3</f>
        <v>high. pop.</v>
      </c>
      <c r="I24" s="54">
        <f>'36. Generic chemical products'!I3</f>
        <v>3.0000000000000001E-6</v>
      </c>
      <c r="J24" s="54" t="str">
        <f>'36. Generic chemical products'!J3</f>
        <v>kg</v>
      </c>
      <c r="K24" s="54">
        <f>'36. Generic chemical products'!K3</f>
        <v>0</v>
      </c>
      <c r="L24" s="54">
        <f>'36. Generic chemical products'!L3</f>
        <v>0</v>
      </c>
      <c r="M24" s="54" t="str">
        <f>'36. Generic chemical products'!M3</f>
        <v>Acrylamide</v>
      </c>
      <c r="N24" s="54" t="str">
        <f>'36. Generic chemical products'!N3</f>
        <v>river</v>
      </c>
      <c r="O24" s="54">
        <f>'36. Generic chemical products'!O3</f>
        <v>3.0000000000000004E-5</v>
      </c>
      <c r="P24" s="54" t="str">
        <f>'36. Generic chemical products'!P3</f>
        <v>kg</v>
      </c>
      <c r="Q24" s="54" t="str">
        <f>'36. Generic chemical products'!Q3</f>
        <v xml:space="preserve">90% of reactive chemicals are degraded during operations. </v>
      </c>
      <c r="R24" s="54">
        <f>'36. Generic chemical products'!R3</f>
        <v>0</v>
      </c>
      <c r="S24" s="54">
        <f>'36. Generic chemical products'!S3</f>
        <v>0</v>
      </c>
      <c r="T24" s="385" t="str">
        <f>'36. Generic chemical products'!T3</f>
        <v>79-06-1</v>
      </c>
      <c r="U24" s="385">
        <f>'36. Generic chemical products'!U3</f>
        <v>3.0023364753950555E-5</v>
      </c>
      <c r="V24" s="385">
        <f>'36. Generic chemical products'!V3</f>
        <v>1.2481126126868064E-4</v>
      </c>
      <c r="W24" s="385">
        <f>'36. Generic chemical products'!W3</f>
        <v>1.1959264101490567E-5</v>
      </c>
      <c r="X24" s="385">
        <f>'36. Generic chemical products'!X3</f>
        <v>4.9716307568620708E-5</v>
      </c>
      <c r="Y24" s="385">
        <f>'36. Generic chemical products'!Y3</f>
        <v>10.037499181426883</v>
      </c>
      <c r="Z24" s="385">
        <f>'36. Generic chemical products'!Z3</f>
        <v>119.14199796898779</v>
      </c>
      <c r="AA24" s="385" t="str">
        <f>'36. Generic chemical products'!AA3</f>
        <v>USEtox</v>
      </c>
      <c r="AB24" s="27">
        <f>$C$6*I24</f>
        <v>4.8E-9</v>
      </c>
      <c r="AC24" s="468">
        <v>0</v>
      </c>
      <c r="AD24" s="135">
        <f t="shared" ref="AD24:AD25" si="1">AB24*U24+AC24*W24</f>
        <v>1.4411215081896266E-13</v>
      </c>
      <c r="AE24" s="135">
        <f t="shared" ref="AE24:AE25" si="2">AB24*V24+AC24*X24</f>
        <v>5.9909405408966702E-13</v>
      </c>
      <c r="AF24" s="24">
        <f t="shared" ref="AF24:AF25" si="3">AB24*Y24+AC24*Z24</f>
        <v>4.8179996070849036E-8</v>
      </c>
      <c r="AG24" s="24">
        <f t="shared" ref="AG24:AG25" si="4">AB24*U24</f>
        <v>1.4411215081896266E-13</v>
      </c>
      <c r="AH24" s="24">
        <f t="shared" ref="AH24:AH25" si="5">AB24*V24</f>
        <v>5.9909405408966702E-13</v>
      </c>
      <c r="AI24" s="24">
        <f t="shared" ref="AI24:AI25" si="6">AB24*Y24</f>
        <v>4.8179996070849036E-8</v>
      </c>
      <c r="AJ24" s="24">
        <f t="shared" ref="AJ24:AJ25" si="7">AC24*W24</f>
        <v>0</v>
      </c>
      <c r="AK24" s="24">
        <f t="shared" ref="AK24:AK25" si="8">AC24*X24</f>
        <v>0</v>
      </c>
      <c r="AL24" s="24">
        <f t="shared" ref="AL24:AL25" si="9">AC24*Z24</f>
        <v>0</v>
      </c>
      <c r="AM24" s="161">
        <f t="shared" ref="AM24:AM25" si="10">AG24+AJ24</f>
        <v>1.4411215081896266E-13</v>
      </c>
      <c r="AN24" s="157">
        <f t="shared" si="0"/>
        <v>5.9909405408966702E-13</v>
      </c>
      <c r="AO24" s="162">
        <f t="shared" si="0"/>
        <v>4.8179996070849036E-8</v>
      </c>
    </row>
    <row r="25" spans="1:41" s="49" customFormat="1" ht="15" customHeight="1" x14ac:dyDescent="0.2">
      <c r="A25" s="141" t="str">
        <f>'36. Generic chemical products'!A4</f>
        <v>Lubricant, average (Albafluid CD)</v>
      </c>
      <c r="B25" s="141">
        <f>'36. Generic chemical products'!B4</f>
        <v>0</v>
      </c>
      <c r="C25" s="141">
        <f>'36. Generic chemical products'!C4</f>
        <v>0</v>
      </c>
      <c r="D25" s="141">
        <f>'36. Generic chemical products'!D4</f>
        <v>0</v>
      </c>
      <c r="E25" s="141" t="str">
        <f>'36. Generic chemical products'!E4</f>
        <v>Common breakdown product of of acrylics, 0.001 % assumed</v>
      </c>
      <c r="F25" s="141">
        <f>'36. Generic chemical products'!F4</f>
        <v>0</v>
      </c>
      <c r="G25" s="141" t="str">
        <f>'36. Generic chemical products'!G4</f>
        <v>Formaldehyde</v>
      </c>
      <c r="H25" s="141" t="str">
        <f>'36. Generic chemical products'!H4</f>
        <v>high. pop.</v>
      </c>
      <c r="I25" s="141">
        <f>'36. Generic chemical products'!I4</f>
        <v>2.9999999999999999E-7</v>
      </c>
      <c r="J25" s="141" t="str">
        <f>'36. Generic chemical products'!J4</f>
        <v>kg</v>
      </c>
      <c r="K25" s="141">
        <f>'36. Generic chemical products'!K4</f>
        <v>0</v>
      </c>
      <c r="L25" s="141">
        <f>'36. Generic chemical products'!L4</f>
        <v>0</v>
      </c>
      <c r="M25" s="141" t="str">
        <f>'36. Generic chemical products'!M4</f>
        <v>Formaldehyde</v>
      </c>
      <c r="N25" s="141" t="str">
        <f>'36. Generic chemical products'!N4</f>
        <v>river</v>
      </c>
      <c r="O25" s="141">
        <f>'36. Generic chemical products'!O4</f>
        <v>3.0000000000000001E-6</v>
      </c>
      <c r="P25" s="141" t="str">
        <f>'36. Generic chemical products'!P4</f>
        <v>kg</v>
      </c>
      <c r="Q25" s="141" t="str">
        <f>'36. Generic chemical products'!Q4</f>
        <v xml:space="preserve">0.1 % of the content is degraded to common breakdown products. 90% of reactive chemicals are degraded during operations. </v>
      </c>
      <c r="R25" s="141">
        <f>'36. Generic chemical products'!R4</f>
        <v>0</v>
      </c>
      <c r="S25" s="141">
        <f>'36. Generic chemical products'!S4</f>
        <v>0</v>
      </c>
      <c r="T25" s="388" t="str">
        <f>'36. Generic chemical products'!T4</f>
        <v>50-00-0</v>
      </c>
      <c r="U25" s="388">
        <f>'36. Generic chemical products'!U4</f>
        <v>2.5208446330720887E-5</v>
      </c>
      <c r="V25" s="388">
        <f>'36. Generic chemical products'!V4</f>
        <v>2.6504960021309262E-7</v>
      </c>
      <c r="W25" s="388">
        <f>'36. Generic chemical products'!W4</f>
        <v>1.4222228897488039E-7</v>
      </c>
      <c r="X25" s="388">
        <f>'36. Generic chemical products'!X4</f>
        <v>3.170874313501273E-7</v>
      </c>
      <c r="Y25" s="388">
        <f>'36. Generic chemical products'!Y4</f>
        <v>17.989178582912412</v>
      </c>
      <c r="Z25" s="388">
        <f>'36. Generic chemical products'!Z4</f>
        <v>290.05086067463066</v>
      </c>
      <c r="AA25" s="388" t="str">
        <f>'36. Generic chemical products'!AA4</f>
        <v>USEtox</v>
      </c>
      <c r="AB25" s="28">
        <f>$C$6*I25</f>
        <v>4.8E-10</v>
      </c>
      <c r="AC25" s="469">
        <v>0</v>
      </c>
      <c r="AD25" s="147">
        <f t="shared" si="1"/>
        <v>1.2100054238746025E-14</v>
      </c>
      <c r="AE25" s="147">
        <f t="shared" si="2"/>
        <v>1.2722380810228446E-16</v>
      </c>
      <c r="AF25" s="25">
        <f t="shared" si="3"/>
        <v>8.6348057197979577E-9</v>
      </c>
      <c r="AG25" s="25">
        <f t="shared" si="4"/>
        <v>1.2100054238746025E-14</v>
      </c>
      <c r="AH25" s="25">
        <f t="shared" si="5"/>
        <v>1.2722380810228446E-16</v>
      </c>
      <c r="AI25" s="25">
        <f t="shared" si="6"/>
        <v>8.6348057197979577E-9</v>
      </c>
      <c r="AJ25" s="25">
        <f t="shared" si="7"/>
        <v>0</v>
      </c>
      <c r="AK25" s="25">
        <f t="shared" si="8"/>
        <v>0</v>
      </c>
      <c r="AL25" s="25">
        <f t="shared" si="9"/>
        <v>0</v>
      </c>
      <c r="AM25" s="163">
        <f t="shared" si="10"/>
        <v>1.2100054238746025E-14</v>
      </c>
      <c r="AN25" s="164">
        <f t="shared" si="0"/>
        <v>1.2722380810228446E-16</v>
      </c>
      <c r="AO25" s="165">
        <f t="shared" si="0"/>
        <v>8.6348057197979577E-9</v>
      </c>
    </row>
    <row r="26" spans="1:41" x14ac:dyDescent="0.2">
      <c r="AD26" s="177">
        <f>SUM(AD23:AD25)</f>
        <v>1.562122050577087E-13</v>
      </c>
      <c r="AE26" s="177">
        <f t="shared" ref="AE26:AF26" si="11">SUM(AE23:AE25)</f>
        <v>5.9922127789776926E-13</v>
      </c>
      <c r="AF26" s="177">
        <f t="shared" si="11"/>
        <v>5.6814801790646992E-8</v>
      </c>
    </row>
    <row r="27" spans="1:41" x14ac:dyDescent="0.2">
      <c r="A27" s="47" t="s">
        <v>736</v>
      </c>
    </row>
    <row r="30" spans="1:41" x14ac:dyDescent="0.2">
      <c r="AE30" s="40"/>
    </row>
    <row r="31" spans="1:41" x14ac:dyDescent="0.2">
      <c r="A31" s="35" t="s">
        <v>687</v>
      </c>
      <c r="AE31" s="40"/>
    </row>
    <row r="32" spans="1:41" x14ac:dyDescent="0.2">
      <c r="A32" t="s">
        <v>1068</v>
      </c>
      <c r="AD32" s="40"/>
      <c r="AE32" s="40"/>
      <c r="AF32" s="40"/>
    </row>
    <row r="33" spans="1:32" x14ac:dyDescent="0.2">
      <c r="A33" t="s">
        <v>1069</v>
      </c>
      <c r="AD33" s="40"/>
      <c r="AE33" s="40"/>
    </row>
    <row r="34" spans="1:32" x14ac:dyDescent="0.2">
      <c r="A34" t="s">
        <v>1083</v>
      </c>
      <c r="AE34" s="40"/>
      <c r="AF34" s="40"/>
    </row>
    <row r="35" spans="1:32" x14ac:dyDescent="0.2">
      <c r="A35" t="s">
        <v>1084</v>
      </c>
      <c r="AE35" s="35"/>
      <c r="AF35" s="99"/>
    </row>
    <row r="36" spans="1:32" x14ac:dyDescent="0.2">
      <c r="A36" t="s">
        <v>1087</v>
      </c>
    </row>
    <row r="37" spans="1:32" x14ac:dyDescent="0.2">
      <c r="A37" t="s">
        <v>1070</v>
      </c>
    </row>
    <row r="38" spans="1:32" x14ac:dyDescent="0.2">
      <c r="A38" t="s">
        <v>1071</v>
      </c>
    </row>
    <row r="39" spans="1:32" x14ac:dyDescent="0.2">
      <c r="A39" t="s">
        <v>1072</v>
      </c>
    </row>
    <row r="40" spans="1:32" x14ac:dyDescent="0.2">
      <c r="A40" t="s">
        <v>1073</v>
      </c>
    </row>
    <row r="43" spans="1:32" x14ac:dyDescent="0.2">
      <c r="A43" s="35"/>
    </row>
    <row r="45" spans="1:32" x14ac:dyDescent="0.2">
      <c r="A45" s="34"/>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O41"/>
  <sheetViews>
    <sheetView zoomScale="70" zoomScaleNormal="70" workbookViewId="0">
      <selection activeCell="AB6" sqref="AB6"/>
    </sheetView>
  </sheetViews>
  <sheetFormatPr defaultRowHeight="12.75" x14ac:dyDescent="0.2"/>
  <cols>
    <col min="1" max="1" width="70.5703125" customWidth="1"/>
    <col min="5" max="5" width="11" customWidth="1"/>
    <col min="33" max="33" width="10.140625" bestFit="1" customWidth="1"/>
    <col min="34" max="34" width="9.42578125" bestFit="1" customWidth="1"/>
  </cols>
  <sheetData>
    <row r="1" spans="1:34" ht="16.5" thickBot="1" x14ac:dyDescent="0.3">
      <c r="A1" s="82" t="s">
        <v>512</v>
      </c>
      <c r="B1" s="83"/>
      <c r="C1" s="83" t="s">
        <v>217</v>
      </c>
      <c r="D1" s="83" t="s">
        <v>11</v>
      </c>
      <c r="E1" s="84" t="s">
        <v>180</v>
      </c>
      <c r="F1" s="34"/>
      <c r="G1" s="92" t="s">
        <v>513</v>
      </c>
      <c r="H1" s="93"/>
      <c r="I1" s="93" t="s">
        <v>217</v>
      </c>
      <c r="J1" s="93" t="s">
        <v>11</v>
      </c>
      <c r="K1" s="94" t="s">
        <v>180</v>
      </c>
      <c r="L1" s="34"/>
      <c r="M1" s="95" t="s">
        <v>514</v>
      </c>
      <c r="N1" s="96"/>
      <c r="O1" s="97" t="s">
        <v>217</v>
      </c>
      <c r="P1" s="97" t="s">
        <v>11</v>
      </c>
      <c r="Q1" s="98" t="s">
        <v>180</v>
      </c>
      <c r="R1" s="34"/>
      <c r="S1" s="44" t="s">
        <v>515</v>
      </c>
      <c r="T1" s="45"/>
      <c r="U1" s="45" t="s">
        <v>217</v>
      </c>
      <c r="V1" s="45" t="s">
        <v>11</v>
      </c>
      <c r="W1" s="46" t="s">
        <v>180</v>
      </c>
      <c r="X1" s="34"/>
      <c r="Y1" s="41" t="s">
        <v>516</v>
      </c>
      <c r="Z1" s="42"/>
      <c r="AA1" s="42" t="s">
        <v>217</v>
      </c>
      <c r="AB1" s="42" t="s">
        <v>11</v>
      </c>
      <c r="AC1" s="43" t="s">
        <v>180</v>
      </c>
      <c r="AD1" s="40"/>
      <c r="AF1" s="40"/>
      <c r="AG1" s="48" t="s">
        <v>710</v>
      </c>
    </row>
    <row r="2" spans="1:34"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F2" s="40"/>
      <c r="AG2" s="34" t="s">
        <v>942</v>
      </c>
      <c r="AH2" s="40" t="s">
        <v>916</v>
      </c>
    </row>
    <row r="3" spans="1:34" x14ac:dyDescent="0.2">
      <c r="A3" s="88" t="s">
        <v>511</v>
      </c>
      <c r="B3" s="89"/>
      <c r="C3" s="89">
        <v>1</v>
      </c>
      <c r="D3" s="89" t="s">
        <v>2</v>
      </c>
      <c r="E3" s="90"/>
      <c r="F3" s="34"/>
      <c r="G3" s="88" t="s">
        <v>511</v>
      </c>
      <c r="H3" s="89"/>
      <c r="I3" s="89">
        <v>1</v>
      </c>
      <c r="J3" s="89" t="s">
        <v>2</v>
      </c>
      <c r="K3" s="90"/>
      <c r="L3" s="34"/>
      <c r="M3" s="88" t="s">
        <v>511</v>
      </c>
      <c r="N3" s="89"/>
      <c r="O3" s="89">
        <v>1</v>
      </c>
      <c r="P3" s="89" t="s">
        <v>2</v>
      </c>
      <c r="Q3" s="90"/>
      <c r="R3" s="34"/>
      <c r="S3" s="88" t="s">
        <v>511</v>
      </c>
      <c r="T3" s="89"/>
      <c r="U3" s="89">
        <v>1</v>
      </c>
      <c r="V3" s="89" t="s">
        <v>2</v>
      </c>
      <c r="W3" s="90"/>
      <c r="X3" s="34"/>
      <c r="Y3" s="88" t="s">
        <v>511</v>
      </c>
      <c r="Z3" s="89"/>
      <c r="AA3" s="89">
        <v>1</v>
      </c>
      <c r="AB3" s="89" t="s">
        <v>2</v>
      </c>
      <c r="AC3" s="90"/>
      <c r="AD3" s="40"/>
      <c r="AF3" s="40" t="s">
        <v>260</v>
      </c>
      <c r="AG3" s="226">
        <v>4.2202582413308702</v>
      </c>
      <c r="AH3" s="40"/>
    </row>
    <row r="4" spans="1:34" x14ac:dyDescent="0.2">
      <c r="A4" s="85" t="s">
        <v>187</v>
      </c>
      <c r="B4" s="89"/>
      <c r="C4" s="89"/>
      <c r="D4" s="89"/>
      <c r="E4" s="90"/>
      <c r="F4" s="35"/>
      <c r="G4" s="85" t="s">
        <v>187</v>
      </c>
      <c r="H4" s="89"/>
      <c r="I4" s="89"/>
      <c r="J4" s="89"/>
      <c r="K4" s="90"/>
      <c r="L4" s="35"/>
      <c r="M4" s="85" t="s">
        <v>187</v>
      </c>
      <c r="N4" s="89"/>
      <c r="O4" s="89"/>
      <c r="P4" s="89"/>
      <c r="Q4" s="90"/>
      <c r="R4" s="35"/>
      <c r="S4" s="85" t="s">
        <v>187</v>
      </c>
      <c r="T4" s="89"/>
      <c r="U4" s="89"/>
      <c r="V4" s="89"/>
      <c r="W4" s="90"/>
      <c r="X4" s="35"/>
      <c r="Y4" s="85" t="s">
        <v>187</v>
      </c>
      <c r="Z4" s="89"/>
      <c r="AA4" s="89"/>
      <c r="AB4" s="89"/>
      <c r="AC4" s="90"/>
      <c r="AD4" s="99"/>
      <c r="AF4" s="40" t="s">
        <v>261</v>
      </c>
      <c r="AG4" s="226">
        <v>2.43205327182209E-3</v>
      </c>
      <c r="AH4" s="99"/>
    </row>
    <row r="5" spans="1:34" x14ac:dyDescent="0.2">
      <c r="A5" s="88" t="s">
        <v>141</v>
      </c>
      <c r="B5" s="89"/>
      <c r="C5" s="89">
        <v>3.0499999999999999E-2</v>
      </c>
      <c r="D5" s="89" t="s">
        <v>2</v>
      </c>
      <c r="E5" s="90" t="s">
        <v>179</v>
      </c>
      <c r="F5" s="34" t="s">
        <v>179</v>
      </c>
      <c r="G5" s="88" t="s">
        <v>141</v>
      </c>
      <c r="H5" s="89"/>
      <c r="I5" s="89">
        <v>3.0499999999999999E-2</v>
      </c>
      <c r="J5" s="89" t="s">
        <v>2</v>
      </c>
      <c r="K5" s="90" t="s">
        <v>179</v>
      </c>
      <c r="L5" s="34"/>
      <c r="M5" s="88" t="s">
        <v>141</v>
      </c>
      <c r="N5" s="89"/>
      <c r="O5" s="89">
        <v>3.0499999999999999E-2</v>
      </c>
      <c r="P5" s="89" t="s">
        <v>2</v>
      </c>
      <c r="Q5" s="90" t="s">
        <v>179</v>
      </c>
      <c r="R5" s="34"/>
      <c r="S5" s="88" t="s">
        <v>141</v>
      </c>
      <c r="T5" s="89"/>
      <c r="U5" s="89">
        <v>3.0499999999999999E-2</v>
      </c>
      <c r="V5" s="89" t="s">
        <v>2</v>
      </c>
      <c r="W5" s="90" t="s">
        <v>179</v>
      </c>
      <c r="X5" s="34"/>
      <c r="Y5" s="88" t="s">
        <v>141</v>
      </c>
      <c r="Z5" s="89"/>
      <c r="AA5" s="89">
        <v>3.0499999999999999E-2</v>
      </c>
      <c r="AB5" s="89" t="s">
        <v>2</v>
      </c>
      <c r="AC5" s="90" t="s">
        <v>179</v>
      </c>
      <c r="AD5" s="40"/>
      <c r="AF5" s="40" t="s">
        <v>262</v>
      </c>
      <c r="AG5" s="226">
        <v>3.1649903650294998E-2</v>
      </c>
      <c r="AH5" s="40"/>
    </row>
    <row r="6" spans="1:34" x14ac:dyDescent="0.2">
      <c r="A6" s="280" t="s">
        <v>190</v>
      </c>
      <c r="B6" s="281"/>
      <c r="C6" s="281">
        <f>C5</f>
        <v>3.0499999999999999E-2</v>
      </c>
      <c r="D6" s="281" t="s">
        <v>2</v>
      </c>
      <c r="E6" s="286" t="s">
        <v>179</v>
      </c>
      <c r="F6" s="244"/>
      <c r="G6" s="280" t="s">
        <v>190</v>
      </c>
      <c r="H6" s="281"/>
      <c r="I6" s="281">
        <f>I5</f>
        <v>3.0499999999999999E-2</v>
      </c>
      <c r="J6" s="281" t="s">
        <v>2</v>
      </c>
      <c r="K6" s="286" t="s">
        <v>179</v>
      </c>
      <c r="L6" s="244"/>
      <c r="M6" s="280" t="s">
        <v>190</v>
      </c>
      <c r="N6" s="281"/>
      <c r="O6" s="281">
        <f>O5</f>
        <v>3.0499999999999999E-2</v>
      </c>
      <c r="P6" s="281" t="s">
        <v>2</v>
      </c>
      <c r="Q6" s="286" t="s">
        <v>179</v>
      </c>
      <c r="R6" s="218"/>
      <c r="S6" s="280" t="s">
        <v>190</v>
      </c>
      <c r="T6" s="281"/>
      <c r="U6" s="281">
        <f>U5</f>
        <v>3.0499999999999999E-2</v>
      </c>
      <c r="V6" s="339" t="s">
        <v>2</v>
      </c>
      <c r="W6" s="337" t="s">
        <v>179</v>
      </c>
      <c r="X6" s="218"/>
      <c r="Y6" s="280" t="s">
        <v>190</v>
      </c>
      <c r="Z6" s="281"/>
      <c r="AA6" s="281">
        <f>AA5</f>
        <v>3.0499999999999999E-2</v>
      </c>
      <c r="AB6" s="281" t="s">
        <v>2</v>
      </c>
      <c r="AC6" s="286" t="s">
        <v>179</v>
      </c>
      <c r="AF6" s="40" t="s">
        <v>263</v>
      </c>
      <c r="AG6" s="226">
        <v>1.1883546895982399E-2</v>
      </c>
    </row>
    <row r="7" spans="1:34" x14ac:dyDescent="0.2">
      <c r="A7" s="85" t="s">
        <v>205</v>
      </c>
      <c r="B7" s="89"/>
      <c r="C7" s="89"/>
      <c r="D7" s="89"/>
      <c r="E7" s="91"/>
      <c r="G7" s="85" t="s">
        <v>205</v>
      </c>
      <c r="H7" s="89"/>
      <c r="I7" s="89"/>
      <c r="J7" s="89"/>
      <c r="K7" s="91"/>
      <c r="M7" s="85" t="s">
        <v>205</v>
      </c>
      <c r="N7" s="89"/>
      <c r="O7" s="89"/>
      <c r="P7" s="89"/>
      <c r="Q7" s="91"/>
      <c r="S7" s="85" t="s">
        <v>205</v>
      </c>
      <c r="T7" s="89"/>
      <c r="U7" s="89"/>
      <c r="V7" s="89"/>
      <c r="W7" s="91"/>
      <c r="Y7" s="85" t="s">
        <v>205</v>
      </c>
      <c r="Z7" s="89"/>
      <c r="AA7" s="89"/>
      <c r="AB7" s="89"/>
      <c r="AC7" s="91"/>
      <c r="AF7" s="40" t="s">
        <v>264</v>
      </c>
      <c r="AG7" s="5">
        <v>2.25693168584504E-2</v>
      </c>
    </row>
    <row r="8" spans="1:34" ht="15" x14ac:dyDescent="0.2">
      <c r="A8" s="88" t="s">
        <v>206</v>
      </c>
      <c r="B8" s="89"/>
      <c r="C8" s="89">
        <v>2.08</v>
      </c>
      <c r="D8" s="89" t="s">
        <v>207</v>
      </c>
      <c r="E8" s="213" t="s">
        <v>1074</v>
      </c>
      <c r="G8" s="88" t="s">
        <v>206</v>
      </c>
      <c r="H8" s="89"/>
      <c r="I8" s="89">
        <v>0.5</v>
      </c>
      <c r="J8" s="89" t="s">
        <v>207</v>
      </c>
      <c r="K8" s="213" t="s">
        <v>1080</v>
      </c>
      <c r="L8" t="s">
        <v>87</v>
      </c>
      <c r="M8" s="88" t="s">
        <v>206</v>
      </c>
      <c r="N8" s="89"/>
      <c r="O8" s="89">
        <v>3.33</v>
      </c>
      <c r="P8" s="89" t="s">
        <v>207</v>
      </c>
      <c r="Q8" s="213" t="s">
        <v>1080</v>
      </c>
      <c r="R8" t="s">
        <v>87</v>
      </c>
      <c r="S8" s="88" t="s">
        <v>206</v>
      </c>
      <c r="T8" s="89"/>
      <c r="U8" s="89">
        <v>2.08</v>
      </c>
      <c r="V8" s="89" t="s">
        <v>207</v>
      </c>
      <c r="W8" s="91" t="s">
        <v>179</v>
      </c>
      <c r="Y8" s="88" t="s">
        <v>206</v>
      </c>
      <c r="Z8" s="89"/>
      <c r="AA8" s="89">
        <v>2.08</v>
      </c>
      <c r="AB8" s="89" t="s">
        <v>207</v>
      </c>
      <c r="AC8" s="91" t="s">
        <v>179</v>
      </c>
      <c r="AF8" s="40" t="s">
        <v>675</v>
      </c>
      <c r="AG8" s="5">
        <v>2.90132928029271</v>
      </c>
    </row>
    <row r="9" spans="1:34" x14ac:dyDescent="0.2">
      <c r="A9" s="88" t="s">
        <v>517</v>
      </c>
      <c r="B9" s="89"/>
      <c r="C9" s="89">
        <v>25</v>
      </c>
      <c r="D9" s="89" t="s">
        <v>185</v>
      </c>
      <c r="E9" s="91"/>
      <c r="G9" s="88" t="s">
        <v>517</v>
      </c>
      <c r="H9" s="89"/>
      <c r="I9" s="89">
        <v>25</v>
      </c>
      <c r="J9" s="89" t="s">
        <v>185</v>
      </c>
      <c r="K9" s="91"/>
      <c r="M9" s="88" t="s">
        <v>517</v>
      </c>
      <c r="N9" s="89"/>
      <c r="O9" s="89">
        <v>25</v>
      </c>
      <c r="P9" s="89" t="s">
        <v>185</v>
      </c>
      <c r="Q9" s="91"/>
      <c r="S9" s="88" t="s">
        <v>517</v>
      </c>
      <c r="T9" s="89"/>
      <c r="U9" s="89">
        <v>25</v>
      </c>
      <c r="V9" s="89" t="s">
        <v>185</v>
      </c>
      <c r="W9" s="91"/>
      <c r="Y9" s="88" t="s">
        <v>517</v>
      </c>
      <c r="Z9" s="89"/>
      <c r="AA9" s="89">
        <v>25</v>
      </c>
      <c r="AB9" s="89" t="s">
        <v>185</v>
      </c>
      <c r="AC9" s="91"/>
      <c r="AF9" s="40" t="s">
        <v>266</v>
      </c>
      <c r="AG9" s="5">
        <v>1.1106045805862401E-6</v>
      </c>
      <c r="AH9" s="4">
        <f>AE27</f>
        <v>1.1422655609926228E-11</v>
      </c>
    </row>
    <row r="10" spans="1:34" x14ac:dyDescent="0.2">
      <c r="A10" s="85" t="s">
        <v>212</v>
      </c>
      <c r="B10" s="89"/>
      <c r="C10" s="89"/>
      <c r="D10" s="89"/>
      <c r="E10" s="90"/>
      <c r="G10" s="85" t="s">
        <v>212</v>
      </c>
      <c r="H10" s="89"/>
      <c r="I10" s="89"/>
      <c r="J10" s="89"/>
      <c r="K10" s="90"/>
      <c r="M10" s="85" t="s">
        <v>212</v>
      </c>
      <c r="N10" s="89"/>
      <c r="O10" s="89"/>
      <c r="P10" s="89"/>
      <c r="Q10" s="90"/>
      <c r="S10" s="85" t="s">
        <v>212</v>
      </c>
      <c r="T10" s="89"/>
      <c r="U10" s="89"/>
      <c r="V10" s="89"/>
      <c r="W10" s="90"/>
      <c r="Y10" s="85" t="s">
        <v>212</v>
      </c>
      <c r="Z10" s="89"/>
      <c r="AA10" s="89"/>
      <c r="AB10" s="89"/>
      <c r="AC10" s="90"/>
      <c r="AF10" s="40" t="s">
        <v>267</v>
      </c>
      <c r="AG10" s="5">
        <v>2.7362198496575598E-7</v>
      </c>
      <c r="AH10" s="4">
        <f>AD27</f>
        <v>2.9777951589125719E-12</v>
      </c>
    </row>
    <row r="11" spans="1:34" ht="13.5" thickBot="1" x14ac:dyDescent="0.25">
      <c r="A11" s="100" t="s">
        <v>485</v>
      </c>
      <c r="B11" s="101"/>
      <c r="C11" s="101">
        <v>5.0000000000000001E-3</v>
      </c>
      <c r="D11" s="101" t="s">
        <v>2</v>
      </c>
      <c r="E11" s="112" t="s">
        <v>509</v>
      </c>
      <c r="G11" s="100" t="s">
        <v>485</v>
      </c>
      <c r="H11" s="101"/>
      <c r="I11" s="101">
        <v>5.0000000000000001E-3</v>
      </c>
      <c r="J11" s="101" t="s">
        <v>2</v>
      </c>
      <c r="K11" s="112" t="s">
        <v>509</v>
      </c>
      <c r="M11" s="100" t="s">
        <v>485</v>
      </c>
      <c r="N11" s="101"/>
      <c r="O11" s="101">
        <v>5.0000000000000001E-3</v>
      </c>
      <c r="P11" s="101" t="s">
        <v>2</v>
      </c>
      <c r="Q11" s="112" t="s">
        <v>509</v>
      </c>
      <c r="S11" s="100" t="s">
        <v>485</v>
      </c>
      <c r="T11" s="101"/>
      <c r="U11" s="101">
        <v>5.0000000000000001E-3</v>
      </c>
      <c r="V11" s="101" t="s">
        <v>2</v>
      </c>
      <c r="W11" s="112" t="s">
        <v>509</v>
      </c>
      <c r="Y11" s="100" t="s">
        <v>485</v>
      </c>
      <c r="Z11" s="101"/>
      <c r="AA11" s="101">
        <v>5.0000000000000001E-3</v>
      </c>
      <c r="AB11" s="101" t="s">
        <v>2</v>
      </c>
      <c r="AC11" s="112" t="s">
        <v>509</v>
      </c>
      <c r="AF11" s="40" t="s">
        <v>268</v>
      </c>
      <c r="AG11" s="5">
        <v>25.165051865021301</v>
      </c>
      <c r="AH11" s="4">
        <f>AF27</f>
        <v>1.0830321591342085E-6</v>
      </c>
    </row>
    <row r="18" spans="1:41" s="34" customFormat="1" x14ac:dyDescent="0.2">
      <c r="T18" s="103" t="s">
        <v>274</v>
      </c>
      <c r="U18" s="104"/>
      <c r="V18" s="105"/>
      <c r="AA18" s="40"/>
      <c r="AB18" s="40"/>
      <c r="AC18" s="40"/>
      <c r="AD18" s="40"/>
      <c r="AE18" s="40"/>
      <c r="AI18" s="40"/>
      <c r="AJ18" s="40"/>
      <c r="AK18" s="40"/>
    </row>
    <row r="19" spans="1:41" s="34" customFormat="1" x14ac:dyDescent="0.2">
      <c r="T19" s="106" t="s">
        <v>278</v>
      </c>
      <c r="U19" s="107"/>
      <c r="V19" s="108"/>
      <c r="AA19" s="40"/>
      <c r="AB19" s="40"/>
      <c r="AC19" s="40"/>
      <c r="AD19" s="40"/>
      <c r="AE19" s="40"/>
      <c r="AF19" s="40"/>
      <c r="AG19"/>
      <c r="AH19"/>
      <c r="AI19" s="40"/>
      <c r="AJ19" s="40"/>
      <c r="AK19" s="40"/>
    </row>
    <row r="20" spans="1:41" s="34" customFormat="1" x14ac:dyDescent="0.2">
      <c r="T20" s="109" t="s">
        <v>276</v>
      </c>
      <c r="U20" s="110"/>
      <c r="V20" s="111"/>
      <c r="AA20" s="40"/>
      <c r="AB20" s="40"/>
      <c r="AC20" s="40"/>
      <c r="AD20" s="40"/>
      <c r="AE20" s="40"/>
      <c r="AF20"/>
      <c r="AG20"/>
      <c r="AH20"/>
      <c r="AI20" s="40"/>
      <c r="AJ20" s="40"/>
      <c r="AK20" s="40"/>
    </row>
    <row r="21" spans="1:41" s="59" customFormat="1" x14ac:dyDescent="0.2">
      <c r="A21" s="17"/>
      <c r="B21" s="58"/>
    </row>
    <row r="22" spans="1:41" s="7" customFormat="1" x14ac:dyDescent="0.2">
      <c r="A22" s="17" t="s">
        <v>708</v>
      </c>
      <c r="U22" s="197" t="s">
        <v>550</v>
      </c>
      <c r="V22" s="198" t="s">
        <v>551</v>
      </c>
      <c r="W22" s="198" t="s">
        <v>550</v>
      </c>
      <c r="X22" s="198" t="s">
        <v>551</v>
      </c>
      <c r="Y22" s="199" t="s">
        <v>552</v>
      </c>
      <c r="Z22" s="200"/>
      <c r="AA22" s="201"/>
      <c r="AB22" s="17" t="s">
        <v>105</v>
      </c>
      <c r="AC22" s="17"/>
      <c r="AD22" s="148" t="s">
        <v>549</v>
      </c>
      <c r="AE22" s="149"/>
      <c r="AF22" s="149"/>
      <c r="AG22" s="149" t="s">
        <v>548</v>
      </c>
      <c r="AH22" s="149"/>
      <c r="AI22" s="149"/>
      <c r="AJ22" s="149" t="s">
        <v>547</v>
      </c>
      <c r="AK22" s="149"/>
      <c r="AL22" s="149"/>
      <c r="AM22" s="202" t="s">
        <v>553</v>
      </c>
      <c r="AN22" s="200"/>
      <c r="AO22" s="201"/>
    </row>
    <row r="23" spans="1:41" s="49" customFormat="1" ht="15" customHeight="1" x14ac:dyDescent="0.2">
      <c r="A23" s="57" t="s">
        <v>58</v>
      </c>
      <c r="B23" s="55" t="s">
        <v>289</v>
      </c>
      <c r="C23" s="56" t="s">
        <v>100</v>
      </c>
      <c r="D23" s="56" t="s">
        <v>11</v>
      </c>
      <c r="E23" s="63" t="s">
        <v>291</v>
      </c>
      <c r="F23" s="63"/>
      <c r="G23" s="66" t="s">
        <v>292</v>
      </c>
      <c r="H23" s="66" t="s">
        <v>8</v>
      </c>
      <c r="I23" s="66" t="s">
        <v>217</v>
      </c>
      <c r="J23" s="66" t="s">
        <v>11</v>
      </c>
      <c r="K23" s="66" t="s">
        <v>291</v>
      </c>
      <c r="L23" s="63"/>
      <c r="M23" s="67" t="s">
        <v>293</v>
      </c>
      <c r="N23" s="67" t="s">
        <v>8</v>
      </c>
      <c r="O23" s="67" t="s">
        <v>217</v>
      </c>
      <c r="P23" s="67" t="s">
        <v>11</v>
      </c>
      <c r="Q23" s="67" t="s">
        <v>291</v>
      </c>
      <c r="R23" s="63"/>
      <c r="S23" s="63"/>
      <c r="T23" s="79" t="s">
        <v>275</v>
      </c>
      <c r="U23" s="126" t="s">
        <v>530</v>
      </c>
      <c r="V23" s="114" t="s">
        <v>531</v>
      </c>
      <c r="W23" s="114" t="s">
        <v>532</v>
      </c>
      <c r="X23" s="114" t="s">
        <v>533</v>
      </c>
      <c r="Y23" s="114" t="s">
        <v>534</v>
      </c>
      <c r="Z23" s="114" t="s">
        <v>535</v>
      </c>
      <c r="AA23" s="131" t="s">
        <v>536</v>
      </c>
      <c r="AB23" s="22" t="s">
        <v>545</v>
      </c>
      <c r="AC23" s="23" t="s">
        <v>546</v>
      </c>
      <c r="AD23" s="148" t="s">
        <v>31</v>
      </c>
      <c r="AE23" s="149" t="s">
        <v>32</v>
      </c>
      <c r="AF23" s="150" t="s">
        <v>33</v>
      </c>
      <c r="AG23" s="148" t="s">
        <v>31</v>
      </c>
      <c r="AH23" s="149" t="s">
        <v>32</v>
      </c>
      <c r="AI23" s="150" t="s">
        <v>33</v>
      </c>
      <c r="AJ23" s="148" t="s">
        <v>31</v>
      </c>
      <c r="AK23" s="149" t="s">
        <v>32</v>
      </c>
      <c r="AL23" s="149" t="s">
        <v>33</v>
      </c>
      <c r="AM23" s="159"/>
      <c r="AN23" s="156"/>
      <c r="AO23" s="160"/>
    </row>
    <row r="24" spans="1:41" s="8" customFormat="1" ht="15" customHeight="1" x14ac:dyDescent="0.2">
      <c r="A24" s="54" t="str">
        <f>'36. Generic chemical products'!A2</f>
        <v>Lubricant, average (Albafluid CD)</v>
      </c>
      <c r="B24" s="54" t="str">
        <f>'36. Generic chemical products'!B2</f>
        <v>Acrylamide/sodium acrylate copolymer</v>
      </c>
      <c r="C24" s="54">
        <f>'36. Generic chemical products'!C2</f>
        <v>0.3</v>
      </c>
      <c r="D24" s="54" t="str">
        <f>'36. Generic chemical products'!D2</f>
        <v>kg</v>
      </c>
      <c r="E24" s="54" t="str">
        <f>'36. Generic chemical products'!E2</f>
        <v>MSDS + Expert estimation for concentration</v>
      </c>
      <c r="F24" s="54">
        <f>'36. Generic chemical products'!F2</f>
        <v>0</v>
      </c>
      <c r="G24" s="54" t="str">
        <f>'36. Generic chemical products'!G2</f>
        <v>-</v>
      </c>
      <c r="H24" s="54">
        <f>'36. Generic chemical products'!H2</f>
        <v>0</v>
      </c>
      <c r="I24" s="54">
        <f>'36. Generic chemical products'!I2</f>
        <v>0</v>
      </c>
      <c r="J24" s="54">
        <f>'36. Generic chemical products'!J2</f>
        <v>0</v>
      </c>
      <c r="K24" s="54">
        <f>'36. Generic chemical products'!K2</f>
        <v>0</v>
      </c>
      <c r="L24" s="54">
        <f>'36. Generic chemical products'!L2</f>
        <v>0</v>
      </c>
      <c r="M24" s="54" t="str">
        <f>'36. Generic chemical products'!M2</f>
        <v>Acrylamide/sodium acrylate copolymer</v>
      </c>
      <c r="N24" s="54" t="str">
        <f>'36. Generic chemical products'!N2</f>
        <v>river</v>
      </c>
      <c r="O24" s="54">
        <f>'36. Generic chemical products'!O2</f>
        <v>2.9700000000000001E-2</v>
      </c>
      <c r="P24" s="54" t="str">
        <f>'36. Generic chemical products'!P2</f>
        <v>kg</v>
      </c>
      <c r="Q24" s="54" t="str">
        <f>'36. Generic chemical products'!Q2</f>
        <v>1% of polymer content remains as monomers from the production process.</v>
      </c>
      <c r="R24" s="54">
        <f>'36. Generic chemical products'!R2</f>
        <v>0</v>
      </c>
      <c r="S24" s="54">
        <f>'36. Generic chemical products'!S2</f>
        <v>0</v>
      </c>
      <c r="T24" s="386" t="str">
        <f>'36. Generic chemical products'!T2</f>
        <v>25085-02-3</v>
      </c>
      <c r="U24" s="386">
        <f>'36. Generic chemical products'!U2</f>
        <v>0</v>
      </c>
      <c r="V24" s="386">
        <f>'36. Generic chemical products'!V2</f>
        <v>1.318367210059499E-10</v>
      </c>
      <c r="W24" s="386">
        <f>'36. Generic chemical products'!W2</f>
        <v>0</v>
      </c>
      <c r="X24" s="386">
        <f>'36. Generic chemical products'!X2</f>
        <v>1.3016448977650344E-10</v>
      </c>
      <c r="Y24" s="386">
        <f>'36. Generic chemical products'!Y2</f>
        <v>1.1181204517092254</v>
      </c>
      <c r="Z24" s="386">
        <f>'36. Generic chemical products'!Z2</f>
        <v>78.957506928451508</v>
      </c>
      <c r="AA24" s="386" t="str">
        <f>'36. Generic chemical products'!AA2</f>
        <v>Roos 2017</v>
      </c>
      <c r="AB24" s="27">
        <f>$C$6*I24</f>
        <v>0</v>
      </c>
      <c r="AC24" s="467">
        <v>0</v>
      </c>
      <c r="AD24" s="24">
        <f>AB24*U24+AC24*W24</f>
        <v>0</v>
      </c>
      <c r="AE24" s="135">
        <f>AB24*V24+AC24*X24</f>
        <v>0</v>
      </c>
      <c r="AF24" s="24">
        <f>AB24*Y24+AC24*Z24</f>
        <v>0</v>
      </c>
      <c r="AG24" s="24">
        <f>AB24*U24</f>
        <v>0</v>
      </c>
      <c r="AH24" s="24">
        <f>AB24*V24</f>
        <v>0</v>
      </c>
      <c r="AI24" s="24">
        <f>AB24*Y24</f>
        <v>0</v>
      </c>
      <c r="AJ24" s="24">
        <f>AC24*W24</f>
        <v>0</v>
      </c>
      <c r="AK24" s="24">
        <f>AC24*X24</f>
        <v>0</v>
      </c>
      <c r="AL24" s="24">
        <f>AC24*Z24</f>
        <v>0</v>
      </c>
      <c r="AM24" s="161">
        <f>AG24+AJ24</f>
        <v>0</v>
      </c>
      <c r="AN24" s="157">
        <f t="shared" ref="AN24:AO26" si="0">AH24+AK24</f>
        <v>0</v>
      </c>
      <c r="AO24" s="162">
        <f t="shared" si="0"/>
        <v>0</v>
      </c>
    </row>
    <row r="25" spans="1:41" s="8" customFormat="1" ht="15" customHeight="1" x14ac:dyDescent="0.2">
      <c r="A25" s="54" t="str">
        <f>'36. Generic chemical products'!A3</f>
        <v>Lubricant, average (Albafluid CD)</v>
      </c>
      <c r="B25" s="54" t="str">
        <f>'36. Generic chemical products'!B3</f>
        <v>Acrylamide</v>
      </c>
      <c r="C25" s="54">
        <f>'36. Generic chemical products'!C3</f>
        <v>0</v>
      </c>
      <c r="D25" s="54">
        <f>'36. Generic chemical products'!D3</f>
        <v>0</v>
      </c>
      <c r="E25" s="54" t="str">
        <f>'36. Generic chemical products'!E3</f>
        <v>Breakdown product (Caulfield, 2002)</v>
      </c>
      <c r="F25" s="54">
        <f>'36. Generic chemical products'!F3</f>
        <v>0</v>
      </c>
      <c r="G25" s="54" t="str">
        <f>'36. Generic chemical products'!G3</f>
        <v>Acrylamide</v>
      </c>
      <c r="H25" s="54" t="str">
        <f>'36. Generic chemical products'!H3</f>
        <v>high. pop.</v>
      </c>
      <c r="I25" s="54">
        <f>'36. Generic chemical products'!I3</f>
        <v>3.0000000000000001E-6</v>
      </c>
      <c r="J25" s="54" t="str">
        <f>'36. Generic chemical products'!J3</f>
        <v>kg</v>
      </c>
      <c r="K25" s="54">
        <f>'36. Generic chemical products'!K3</f>
        <v>0</v>
      </c>
      <c r="L25" s="54">
        <f>'36. Generic chemical products'!L3</f>
        <v>0</v>
      </c>
      <c r="M25" s="54" t="str">
        <f>'36. Generic chemical products'!M3</f>
        <v>Acrylamide</v>
      </c>
      <c r="N25" s="54" t="str">
        <f>'36. Generic chemical products'!N3</f>
        <v>river</v>
      </c>
      <c r="O25" s="54">
        <f>'36. Generic chemical products'!O3</f>
        <v>3.0000000000000004E-5</v>
      </c>
      <c r="P25" s="54" t="str">
        <f>'36. Generic chemical products'!P3</f>
        <v>kg</v>
      </c>
      <c r="Q25" s="54" t="str">
        <f>'36. Generic chemical products'!Q3</f>
        <v xml:space="preserve">90% of reactive chemicals are degraded during operations. </v>
      </c>
      <c r="R25" s="54">
        <f>'36. Generic chemical products'!R3</f>
        <v>0</v>
      </c>
      <c r="S25" s="54">
        <f>'36. Generic chemical products'!S3</f>
        <v>0</v>
      </c>
      <c r="T25" s="385" t="str">
        <f>'36. Generic chemical products'!T3</f>
        <v>79-06-1</v>
      </c>
      <c r="U25" s="385">
        <f>'36. Generic chemical products'!U3</f>
        <v>3.0023364753950555E-5</v>
      </c>
      <c r="V25" s="385">
        <f>'36. Generic chemical products'!V3</f>
        <v>1.2481126126868064E-4</v>
      </c>
      <c r="W25" s="385">
        <f>'36. Generic chemical products'!W3</f>
        <v>1.1959264101490567E-5</v>
      </c>
      <c r="X25" s="385">
        <f>'36. Generic chemical products'!X3</f>
        <v>4.9716307568620708E-5</v>
      </c>
      <c r="Y25" s="385">
        <f>'36. Generic chemical products'!Y3</f>
        <v>10.037499181426883</v>
      </c>
      <c r="Z25" s="385">
        <f>'36. Generic chemical products'!Z3</f>
        <v>119.14199796898779</v>
      </c>
      <c r="AA25" s="385" t="str">
        <f>'36. Generic chemical products'!AA3</f>
        <v>USEtox</v>
      </c>
      <c r="AB25" s="27">
        <f>$C$6*I25</f>
        <v>9.1500000000000005E-8</v>
      </c>
      <c r="AC25" s="468">
        <v>0</v>
      </c>
      <c r="AD25" s="135">
        <f t="shared" ref="AD25:AD26" si="1">AB25*U25+AC25*W25</f>
        <v>2.7471378749864758E-12</v>
      </c>
      <c r="AE25" s="135">
        <f t="shared" ref="AE25:AE26" si="2">AB25*V25+AC25*X25</f>
        <v>1.1420230406084278E-11</v>
      </c>
      <c r="AF25" s="24">
        <f t="shared" ref="AF25:AF26" si="3">AB25*Y25+AC25*Z25</f>
        <v>9.1843117510055983E-7</v>
      </c>
      <c r="AG25" s="24">
        <f t="shared" ref="AG25:AG26" si="4">AB25*U25</f>
        <v>2.7471378749864758E-12</v>
      </c>
      <c r="AH25" s="24">
        <f t="shared" ref="AH25:AH26" si="5">AB25*V25</f>
        <v>1.1420230406084278E-11</v>
      </c>
      <c r="AI25" s="24">
        <f t="shared" ref="AI25:AI26" si="6">AB25*Y25</f>
        <v>9.1843117510055983E-7</v>
      </c>
      <c r="AJ25" s="24">
        <f t="shared" ref="AJ25:AJ26" si="7">AC25*W25</f>
        <v>0</v>
      </c>
      <c r="AK25" s="24">
        <f t="shared" ref="AK25:AK26" si="8">AC25*X25</f>
        <v>0</v>
      </c>
      <c r="AL25" s="24">
        <f t="shared" ref="AL25:AL26" si="9">AC25*Z25</f>
        <v>0</v>
      </c>
      <c r="AM25" s="161">
        <f t="shared" ref="AM25:AM26" si="10">AG25+AJ25</f>
        <v>2.7471378749864758E-12</v>
      </c>
      <c r="AN25" s="157">
        <f t="shared" si="0"/>
        <v>1.1420230406084278E-11</v>
      </c>
      <c r="AO25" s="162">
        <f t="shared" si="0"/>
        <v>9.1843117510055983E-7</v>
      </c>
    </row>
    <row r="26" spans="1:41" s="49" customFormat="1" ht="15" customHeight="1" x14ac:dyDescent="0.2">
      <c r="A26" s="141" t="str">
        <f>'36. Generic chemical products'!A4</f>
        <v>Lubricant, average (Albafluid CD)</v>
      </c>
      <c r="B26" s="141">
        <f>'36. Generic chemical products'!B4</f>
        <v>0</v>
      </c>
      <c r="C26" s="141">
        <f>'36. Generic chemical products'!C4</f>
        <v>0</v>
      </c>
      <c r="D26" s="141">
        <f>'36. Generic chemical products'!D4</f>
        <v>0</v>
      </c>
      <c r="E26" s="141" t="str">
        <f>'36. Generic chemical products'!E4</f>
        <v>Common breakdown product of of acrylics, 0.001 % assumed</v>
      </c>
      <c r="F26" s="141">
        <f>'36. Generic chemical products'!F4</f>
        <v>0</v>
      </c>
      <c r="G26" s="141" t="str">
        <f>'36. Generic chemical products'!G4</f>
        <v>Formaldehyde</v>
      </c>
      <c r="H26" s="141" t="str">
        <f>'36. Generic chemical products'!H4</f>
        <v>high. pop.</v>
      </c>
      <c r="I26" s="141">
        <f>'36. Generic chemical products'!I4</f>
        <v>2.9999999999999999E-7</v>
      </c>
      <c r="J26" s="141" t="str">
        <f>'36. Generic chemical products'!J4</f>
        <v>kg</v>
      </c>
      <c r="K26" s="141">
        <f>'36. Generic chemical products'!K4</f>
        <v>0</v>
      </c>
      <c r="L26" s="141">
        <f>'36. Generic chemical products'!L4</f>
        <v>0</v>
      </c>
      <c r="M26" s="141" t="str">
        <f>'36. Generic chemical products'!M4</f>
        <v>Formaldehyde</v>
      </c>
      <c r="N26" s="141" t="str">
        <f>'36. Generic chemical products'!N4</f>
        <v>river</v>
      </c>
      <c r="O26" s="141">
        <f>'36. Generic chemical products'!O4</f>
        <v>3.0000000000000001E-6</v>
      </c>
      <c r="P26" s="141" t="str">
        <f>'36. Generic chemical products'!P4</f>
        <v>kg</v>
      </c>
      <c r="Q26" s="141" t="str">
        <f>'36. Generic chemical products'!Q4</f>
        <v xml:space="preserve">0.1 % of the content is degraded to common breakdown products. 90% of reactive chemicals are degraded during operations. </v>
      </c>
      <c r="R26" s="141">
        <f>'36. Generic chemical products'!R4</f>
        <v>0</v>
      </c>
      <c r="S26" s="141">
        <f>'36. Generic chemical products'!S4</f>
        <v>0</v>
      </c>
      <c r="T26" s="388" t="str">
        <f>'36. Generic chemical products'!T4</f>
        <v>50-00-0</v>
      </c>
      <c r="U26" s="388">
        <f>'36. Generic chemical products'!U4</f>
        <v>2.5208446330720887E-5</v>
      </c>
      <c r="V26" s="388">
        <f>'36. Generic chemical products'!V4</f>
        <v>2.6504960021309262E-7</v>
      </c>
      <c r="W26" s="388">
        <f>'36. Generic chemical products'!W4</f>
        <v>1.4222228897488039E-7</v>
      </c>
      <c r="X26" s="388">
        <f>'36. Generic chemical products'!X4</f>
        <v>3.170874313501273E-7</v>
      </c>
      <c r="Y26" s="388">
        <f>'36. Generic chemical products'!Y4</f>
        <v>17.989178582912412</v>
      </c>
      <c r="Z26" s="388">
        <f>'36. Generic chemical products'!Z4</f>
        <v>290.05086067463066</v>
      </c>
      <c r="AA26" s="388" t="str">
        <f>'36. Generic chemical products'!AA4</f>
        <v>USEtox</v>
      </c>
      <c r="AB26" s="28">
        <f>$C$6*I26</f>
        <v>9.1499999999999992E-9</v>
      </c>
      <c r="AC26" s="469">
        <v>0</v>
      </c>
      <c r="AD26" s="147">
        <f t="shared" si="1"/>
        <v>2.3065728392609609E-13</v>
      </c>
      <c r="AE26" s="147">
        <f t="shared" si="2"/>
        <v>2.4252038419497973E-15</v>
      </c>
      <c r="AF26" s="25">
        <f t="shared" si="3"/>
        <v>1.6460098403364857E-7</v>
      </c>
      <c r="AG26" s="25">
        <f t="shared" si="4"/>
        <v>2.3065728392609609E-13</v>
      </c>
      <c r="AH26" s="25">
        <f t="shared" si="5"/>
        <v>2.4252038419497973E-15</v>
      </c>
      <c r="AI26" s="25">
        <f t="shared" si="6"/>
        <v>1.6460098403364857E-7</v>
      </c>
      <c r="AJ26" s="25">
        <f t="shared" si="7"/>
        <v>0</v>
      </c>
      <c r="AK26" s="25">
        <f t="shared" si="8"/>
        <v>0</v>
      </c>
      <c r="AL26" s="25">
        <f t="shared" si="9"/>
        <v>0</v>
      </c>
      <c r="AM26" s="163">
        <f t="shared" si="10"/>
        <v>2.3065728392609609E-13</v>
      </c>
      <c r="AN26" s="164">
        <f t="shared" si="0"/>
        <v>2.4252038419497973E-15</v>
      </c>
      <c r="AO26" s="165">
        <f t="shared" si="0"/>
        <v>1.6460098403364857E-7</v>
      </c>
    </row>
    <row r="27" spans="1:41" x14ac:dyDescent="0.2">
      <c r="AD27" s="177">
        <f>SUM(AD24:AD26)</f>
        <v>2.9777951589125719E-12</v>
      </c>
      <c r="AE27" s="177">
        <f t="shared" ref="AE27:AF27" si="11">SUM(AE24:AE26)</f>
        <v>1.1422655609926228E-11</v>
      </c>
      <c r="AF27" s="177">
        <f t="shared" si="11"/>
        <v>1.0830321591342085E-6</v>
      </c>
    </row>
    <row r="28" spans="1:41" x14ac:dyDescent="0.2">
      <c r="A28" s="47" t="s">
        <v>736</v>
      </c>
    </row>
    <row r="31" spans="1:41" x14ac:dyDescent="0.2">
      <c r="AE31" s="40"/>
    </row>
    <row r="32" spans="1:41" x14ac:dyDescent="0.2">
      <c r="A32" s="35" t="s">
        <v>687</v>
      </c>
      <c r="AE32" s="40"/>
    </row>
    <row r="33" spans="1:32" x14ac:dyDescent="0.2">
      <c r="A33" t="s">
        <v>1068</v>
      </c>
      <c r="AD33" s="40"/>
      <c r="AE33" s="40"/>
      <c r="AF33" s="40"/>
    </row>
    <row r="34" spans="1:32" x14ac:dyDescent="0.2">
      <c r="A34" t="s">
        <v>1069</v>
      </c>
      <c r="AD34" s="40"/>
      <c r="AE34" s="40"/>
    </row>
    <row r="35" spans="1:32" x14ac:dyDescent="0.2">
      <c r="A35" t="s">
        <v>1083</v>
      </c>
      <c r="AE35" s="40"/>
      <c r="AF35" s="40"/>
    </row>
    <row r="36" spans="1:32" x14ac:dyDescent="0.2">
      <c r="A36" t="s">
        <v>1084</v>
      </c>
      <c r="AE36" s="35"/>
      <c r="AF36" s="99"/>
    </row>
    <row r="37" spans="1:32" x14ac:dyDescent="0.2">
      <c r="A37" t="s">
        <v>1087</v>
      </c>
    </row>
    <row r="38" spans="1:32" x14ac:dyDescent="0.2">
      <c r="A38" t="s">
        <v>1070</v>
      </c>
    </row>
    <row r="39" spans="1:32" x14ac:dyDescent="0.2">
      <c r="A39" t="s">
        <v>1071</v>
      </c>
    </row>
    <row r="40" spans="1:32" x14ac:dyDescent="0.2">
      <c r="A40" t="s">
        <v>1072</v>
      </c>
    </row>
    <row r="41" spans="1:32" x14ac:dyDescent="0.2">
      <c r="A41" t="s">
        <v>1073</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52"/>
  <sheetViews>
    <sheetView zoomScale="70" zoomScaleNormal="70" workbookViewId="0">
      <selection activeCell="E1" sqref="E1"/>
    </sheetView>
  </sheetViews>
  <sheetFormatPr defaultRowHeight="12.75" x14ac:dyDescent="0.2"/>
  <cols>
    <col min="1" max="1" width="59.42578125" customWidth="1"/>
    <col min="5" max="5" width="11" customWidth="1"/>
    <col min="33" max="33" width="10.140625" bestFit="1" customWidth="1"/>
    <col min="34" max="34" width="9.85546875" bestFit="1" customWidth="1"/>
  </cols>
  <sheetData>
    <row r="1" spans="1:34" ht="16.5" thickBot="1" x14ac:dyDescent="0.3">
      <c r="A1" s="82" t="s">
        <v>831</v>
      </c>
      <c r="B1" s="83"/>
      <c r="C1" s="83" t="s">
        <v>217</v>
      </c>
      <c r="D1" s="83" t="s">
        <v>11</v>
      </c>
      <c r="E1" s="84" t="s">
        <v>180</v>
      </c>
      <c r="F1" s="34"/>
      <c r="G1" s="92" t="s">
        <v>832</v>
      </c>
      <c r="H1" s="93"/>
      <c r="I1" s="93" t="s">
        <v>217</v>
      </c>
      <c r="J1" s="93" t="s">
        <v>11</v>
      </c>
      <c r="K1" s="94" t="s">
        <v>180</v>
      </c>
      <c r="L1" s="34"/>
      <c r="M1" s="95" t="s">
        <v>833</v>
      </c>
      <c r="N1" s="96"/>
      <c r="O1" s="97" t="s">
        <v>217</v>
      </c>
      <c r="P1" s="97" t="s">
        <v>11</v>
      </c>
      <c r="Q1" s="98" t="s">
        <v>180</v>
      </c>
      <c r="R1" s="34"/>
      <c r="S1" s="44" t="s">
        <v>834</v>
      </c>
      <c r="T1" s="45"/>
      <c r="U1" s="45" t="s">
        <v>217</v>
      </c>
      <c r="V1" s="45" t="s">
        <v>11</v>
      </c>
      <c r="W1" s="46" t="s">
        <v>180</v>
      </c>
      <c r="X1" s="34"/>
      <c r="Y1" s="41" t="s">
        <v>835</v>
      </c>
      <c r="Z1" s="42"/>
      <c r="AA1" s="42" t="s">
        <v>217</v>
      </c>
      <c r="AB1" s="42" t="s">
        <v>11</v>
      </c>
      <c r="AC1" s="43" t="s">
        <v>180</v>
      </c>
      <c r="AD1" s="40"/>
      <c r="AF1" s="40"/>
      <c r="AG1" s="48" t="s">
        <v>710</v>
      </c>
    </row>
    <row r="2" spans="1:34"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F2" s="40"/>
      <c r="AG2" s="34" t="s">
        <v>931</v>
      </c>
      <c r="AH2" s="40" t="s">
        <v>916</v>
      </c>
    </row>
    <row r="3" spans="1:34" s="218" customFormat="1" x14ac:dyDescent="0.2">
      <c r="A3" s="214" t="s">
        <v>918</v>
      </c>
      <c r="B3" s="215"/>
      <c r="C3" s="215">
        <v>1</v>
      </c>
      <c r="D3" s="215" t="s">
        <v>2</v>
      </c>
      <c r="E3" s="213"/>
      <c r="F3" s="216"/>
      <c r="G3" s="214" t="s">
        <v>918</v>
      </c>
      <c r="H3" s="215"/>
      <c r="I3" s="215">
        <v>1</v>
      </c>
      <c r="J3" s="215" t="s">
        <v>2</v>
      </c>
      <c r="K3" s="213"/>
      <c r="L3" s="216"/>
      <c r="M3" s="214" t="s">
        <v>918</v>
      </c>
      <c r="N3" s="215"/>
      <c r="O3" s="215">
        <v>1</v>
      </c>
      <c r="P3" s="215" t="s">
        <v>2</v>
      </c>
      <c r="Q3" s="213"/>
      <c r="R3" s="216"/>
      <c r="S3" s="214" t="s">
        <v>918</v>
      </c>
      <c r="T3" s="215"/>
      <c r="U3" s="215">
        <v>1</v>
      </c>
      <c r="V3" s="215" t="s">
        <v>2</v>
      </c>
      <c r="W3" s="213"/>
      <c r="X3" s="216"/>
      <c r="Y3" s="214" t="s">
        <v>918</v>
      </c>
      <c r="Z3" s="215"/>
      <c r="AA3" s="215">
        <v>1</v>
      </c>
      <c r="AB3" s="215" t="s">
        <v>2</v>
      </c>
      <c r="AC3" s="213"/>
      <c r="AD3" s="217"/>
      <c r="AF3" s="217" t="s">
        <v>260</v>
      </c>
      <c r="AG3" s="229">
        <v>1.3368022003068301</v>
      </c>
    </row>
    <row r="4" spans="1:34" s="218" customFormat="1" x14ac:dyDescent="0.2">
      <c r="A4" s="219" t="s">
        <v>187</v>
      </c>
      <c r="B4" s="215"/>
      <c r="C4" s="215"/>
      <c r="D4" s="215"/>
      <c r="E4" s="213"/>
      <c r="F4" s="220"/>
      <c r="G4" s="219" t="s">
        <v>187</v>
      </c>
      <c r="H4" s="215"/>
      <c r="I4" s="215"/>
      <c r="J4" s="215"/>
      <c r="K4" s="213"/>
      <c r="L4" s="220"/>
      <c r="M4" s="219" t="s">
        <v>187</v>
      </c>
      <c r="N4" s="215"/>
      <c r="O4" s="215"/>
      <c r="P4" s="215"/>
      <c r="Q4" s="213"/>
      <c r="R4" s="220"/>
      <c r="S4" s="219" t="s">
        <v>187</v>
      </c>
      <c r="T4" s="215"/>
      <c r="U4" s="215"/>
      <c r="V4" s="215"/>
      <c r="W4" s="213"/>
      <c r="X4" s="220"/>
      <c r="Y4" s="219" t="s">
        <v>187</v>
      </c>
      <c r="Z4" s="215"/>
      <c r="AA4" s="215"/>
      <c r="AB4" s="215"/>
      <c r="AC4" s="213"/>
      <c r="AD4" s="221"/>
      <c r="AF4" s="217" t="s">
        <v>261</v>
      </c>
      <c r="AG4" s="229">
        <v>1.7887298884637301E-4</v>
      </c>
    </row>
    <row r="5" spans="1:34" s="218" customFormat="1" x14ac:dyDescent="0.2">
      <c r="A5" s="88" t="s">
        <v>141</v>
      </c>
      <c r="B5" s="215"/>
      <c r="C5" s="215">
        <v>0.08</v>
      </c>
      <c r="D5" s="215" t="s">
        <v>2</v>
      </c>
      <c r="E5" s="213" t="s">
        <v>179</v>
      </c>
      <c r="F5" s="216" t="s">
        <v>179</v>
      </c>
      <c r="G5" s="88" t="s">
        <v>141</v>
      </c>
      <c r="H5" s="215"/>
      <c r="I5" s="215">
        <v>0.08</v>
      </c>
      <c r="J5" s="215" t="s">
        <v>2</v>
      </c>
      <c r="K5" s="213" t="s">
        <v>179</v>
      </c>
      <c r="L5" s="216"/>
      <c r="M5" s="88" t="s">
        <v>141</v>
      </c>
      <c r="N5" s="215"/>
      <c r="O5" s="215">
        <v>0.08</v>
      </c>
      <c r="P5" s="215" t="s">
        <v>2</v>
      </c>
      <c r="Q5" s="213" t="s">
        <v>179</v>
      </c>
      <c r="R5" s="216"/>
      <c r="S5" s="88" t="s">
        <v>141</v>
      </c>
      <c r="T5" s="215"/>
      <c r="U5" s="215">
        <v>0.08</v>
      </c>
      <c r="V5" s="215" t="s">
        <v>2</v>
      </c>
      <c r="W5" s="213" t="s">
        <v>179</v>
      </c>
      <c r="X5" s="216"/>
      <c r="Y5" s="88" t="s">
        <v>141</v>
      </c>
      <c r="Z5" s="215"/>
      <c r="AA5" s="215">
        <v>0.08</v>
      </c>
      <c r="AB5" s="215" t="s">
        <v>2</v>
      </c>
      <c r="AC5" s="213" t="s">
        <v>179</v>
      </c>
      <c r="AD5" s="217"/>
      <c r="AF5" s="217" t="s">
        <v>262</v>
      </c>
      <c r="AG5" s="229">
        <v>1.2383302905341301E-2</v>
      </c>
    </row>
    <row r="6" spans="1:34" s="218" customFormat="1" x14ac:dyDescent="0.2">
      <c r="A6" s="280" t="s">
        <v>190</v>
      </c>
      <c r="B6" s="281"/>
      <c r="C6" s="281">
        <f>C5</f>
        <v>0.08</v>
      </c>
      <c r="D6" s="281" t="s">
        <v>2</v>
      </c>
      <c r="E6" s="286" t="s">
        <v>179</v>
      </c>
      <c r="F6" s="244"/>
      <c r="G6" s="280" t="s">
        <v>190</v>
      </c>
      <c r="H6" s="281"/>
      <c r="I6" s="281">
        <f>I5</f>
        <v>0.08</v>
      </c>
      <c r="J6" s="281" t="s">
        <v>2</v>
      </c>
      <c r="K6" s="286" t="s">
        <v>179</v>
      </c>
      <c r="L6" s="244"/>
      <c r="M6" s="280" t="s">
        <v>190</v>
      </c>
      <c r="N6" s="281"/>
      <c r="O6" s="281">
        <f>O5</f>
        <v>0.08</v>
      </c>
      <c r="P6" s="281" t="s">
        <v>2</v>
      </c>
      <c r="Q6" s="286" t="s">
        <v>179</v>
      </c>
      <c r="S6" s="280" t="s">
        <v>190</v>
      </c>
      <c r="T6" s="281"/>
      <c r="U6" s="281">
        <f>U5</f>
        <v>0.08</v>
      </c>
      <c r="V6" s="339" t="s">
        <v>2</v>
      </c>
      <c r="W6" s="337" t="s">
        <v>179</v>
      </c>
      <c r="Y6" s="280" t="s">
        <v>190</v>
      </c>
      <c r="Z6" s="281"/>
      <c r="AA6" s="281">
        <f>AA5</f>
        <v>0.08</v>
      </c>
      <c r="AB6" s="281" t="s">
        <v>2</v>
      </c>
      <c r="AC6" s="286" t="s">
        <v>179</v>
      </c>
      <c r="AF6" s="217" t="s">
        <v>263</v>
      </c>
      <c r="AG6" s="229">
        <v>5.3609326320392904E-3</v>
      </c>
    </row>
    <row r="7" spans="1:34" s="218" customFormat="1" x14ac:dyDescent="0.2">
      <c r="A7" s="219" t="s">
        <v>205</v>
      </c>
      <c r="B7" s="215"/>
      <c r="C7" s="215"/>
      <c r="D7" s="215"/>
      <c r="E7" s="213"/>
      <c r="G7" s="219" t="s">
        <v>205</v>
      </c>
      <c r="H7" s="215"/>
      <c r="I7" s="215"/>
      <c r="J7" s="215"/>
      <c r="K7" s="213"/>
      <c r="M7" s="219" t="s">
        <v>205</v>
      </c>
      <c r="N7" s="215"/>
      <c r="O7" s="215"/>
      <c r="P7" s="215"/>
      <c r="Q7" s="213"/>
      <c r="S7" s="219" t="s">
        <v>205</v>
      </c>
      <c r="T7" s="215"/>
      <c r="U7" s="215"/>
      <c r="V7" s="215"/>
      <c r="W7" s="213"/>
      <c r="Y7" s="219" t="s">
        <v>205</v>
      </c>
      <c r="Z7" s="215"/>
      <c r="AA7" s="215"/>
      <c r="AB7" s="215"/>
      <c r="AC7" s="213"/>
      <c r="AF7" s="217" t="s">
        <v>264</v>
      </c>
      <c r="AG7" s="230">
        <v>5.7673548243902901E-3</v>
      </c>
    </row>
    <row r="8" spans="1:34" s="218" customFormat="1" ht="15" x14ac:dyDescent="0.2">
      <c r="A8" s="214" t="s">
        <v>206</v>
      </c>
      <c r="B8" s="215"/>
      <c r="C8" s="215">
        <v>1.22</v>
      </c>
      <c r="D8" s="215" t="s">
        <v>207</v>
      </c>
      <c r="E8" s="213" t="s">
        <v>1089</v>
      </c>
      <c r="F8" s="218" t="s">
        <v>87</v>
      </c>
      <c r="G8" s="214" t="s">
        <v>206</v>
      </c>
      <c r="H8" s="215"/>
      <c r="I8" s="215">
        <v>0.21</v>
      </c>
      <c r="J8" s="215" t="s">
        <v>207</v>
      </c>
      <c r="K8" s="213" t="s">
        <v>1076</v>
      </c>
      <c r="M8" s="214" t="s">
        <v>206</v>
      </c>
      <c r="N8" s="215"/>
      <c r="O8" s="215">
        <v>2.3199999999999998</v>
      </c>
      <c r="P8" s="215" t="s">
        <v>207</v>
      </c>
      <c r="Q8" s="213" t="s">
        <v>1086</v>
      </c>
      <c r="S8" s="214" t="s">
        <v>206</v>
      </c>
      <c r="T8" s="215"/>
      <c r="U8" s="215">
        <v>1.22</v>
      </c>
      <c r="V8" s="215" t="s">
        <v>207</v>
      </c>
      <c r="W8" s="213" t="s">
        <v>179</v>
      </c>
      <c r="Y8" s="214" t="s">
        <v>206</v>
      </c>
      <c r="Z8" s="215"/>
      <c r="AA8" s="215">
        <v>1.22</v>
      </c>
      <c r="AB8" s="215" t="s">
        <v>207</v>
      </c>
      <c r="AC8" s="213" t="s">
        <v>179</v>
      </c>
      <c r="AF8" s="217" t="s">
        <v>919</v>
      </c>
      <c r="AG8" s="230">
        <v>1.8857162155565499</v>
      </c>
    </row>
    <row r="9" spans="1:34" s="218" customFormat="1" x14ac:dyDescent="0.2">
      <c r="A9" s="219" t="s">
        <v>212</v>
      </c>
      <c r="B9" s="215"/>
      <c r="C9" s="215"/>
      <c r="D9" s="215"/>
      <c r="E9" s="213"/>
      <c r="G9" s="219" t="s">
        <v>212</v>
      </c>
      <c r="H9" s="215"/>
      <c r="I9" s="215"/>
      <c r="J9" s="215"/>
      <c r="K9" s="213"/>
      <c r="M9" s="219" t="s">
        <v>212</v>
      </c>
      <c r="N9" s="215"/>
      <c r="O9" s="215"/>
      <c r="P9" s="215"/>
      <c r="Q9" s="213"/>
      <c r="S9" s="219" t="s">
        <v>212</v>
      </c>
      <c r="T9" s="215"/>
      <c r="U9" s="215"/>
      <c r="V9" s="215"/>
      <c r="W9" s="213"/>
      <c r="Y9" s="219" t="s">
        <v>212</v>
      </c>
      <c r="Z9" s="215"/>
      <c r="AA9" s="215"/>
      <c r="AB9" s="215"/>
      <c r="AC9" s="213"/>
      <c r="AF9" s="217" t="s">
        <v>266</v>
      </c>
      <c r="AG9" s="230">
        <v>1.73942369340561E-7</v>
      </c>
      <c r="AH9" s="228">
        <f>AE26</f>
        <v>2.9961063894888472E-11</v>
      </c>
    </row>
    <row r="10" spans="1:34" ht="13.5" thickBot="1" x14ac:dyDescent="0.25">
      <c r="A10" s="222" t="s">
        <v>485</v>
      </c>
      <c r="B10" s="223"/>
      <c r="C10" s="223">
        <v>1.4999999999999999E-2</v>
      </c>
      <c r="D10" s="223" t="s">
        <v>2</v>
      </c>
      <c r="E10" s="224" t="s">
        <v>509</v>
      </c>
      <c r="F10" s="218"/>
      <c r="G10" s="222" t="s">
        <v>485</v>
      </c>
      <c r="H10" s="223"/>
      <c r="I10" s="223">
        <v>1.4999999999999999E-2</v>
      </c>
      <c r="J10" s="223" t="s">
        <v>2</v>
      </c>
      <c r="K10" s="224" t="s">
        <v>509</v>
      </c>
      <c r="L10" s="218"/>
      <c r="M10" s="222" t="s">
        <v>485</v>
      </c>
      <c r="N10" s="223"/>
      <c r="O10" s="223">
        <v>1.4999999999999999E-2</v>
      </c>
      <c r="P10" s="223" t="s">
        <v>2</v>
      </c>
      <c r="Q10" s="224" t="s">
        <v>509</v>
      </c>
      <c r="R10" s="218"/>
      <c r="S10" s="222" t="s">
        <v>485</v>
      </c>
      <c r="T10" s="223"/>
      <c r="U10" s="223">
        <v>1.4999999999999999E-2</v>
      </c>
      <c r="V10" s="223" t="s">
        <v>2</v>
      </c>
      <c r="W10" s="224" t="s">
        <v>509</v>
      </c>
      <c r="X10" s="218"/>
      <c r="Y10" s="222" t="s">
        <v>485</v>
      </c>
      <c r="Z10" s="223"/>
      <c r="AA10" s="223">
        <v>1.4999999999999999E-2</v>
      </c>
      <c r="AB10" s="223" t="s">
        <v>2</v>
      </c>
      <c r="AC10" s="224" t="s">
        <v>509</v>
      </c>
      <c r="AF10" s="217" t="s">
        <v>267</v>
      </c>
      <c r="AG10" s="230">
        <v>3.6365133001709499E-8</v>
      </c>
      <c r="AH10" s="228">
        <f>AD26</f>
        <v>7.8106102528854355E-12</v>
      </c>
    </row>
    <row r="11" spans="1:34" x14ac:dyDescent="0.2">
      <c r="AF11" s="217" t="s">
        <v>268</v>
      </c>
      <c r="AG11" s="5">
        <v>2.8861774895058998</v>
      </c>
      <c r="AH11" s="4">
        <f>AF26</f>
        <v>2.8407400895323498E-6</v>
      </c>
    </row>
    <row r="17" spans="1:41" s="34" customFormat="1" x14ac:dyDescent="0.2">
      <c r="T17" s="103" t="s">
        <v>274</v>
      </c>
      <c r="U17" s="104"/>
      <c r="V17" s="105"/>
      <c r="AA17" s="40"/>
      <c r="AB17" s="40"/>
      <c r="AC17" s="40"/>
      <c r="AD17" s="40"/>
      <c r="AE17" s="40"/>
      <c r="AI17" s="40"/>
      <c r="AJ17" s="40"/>
      <c r="AK17" s="40"/>
    </row>
    <row r="18" spans="1:41" s="34" customFormat="1" x14ac:dyDescent="0.2">
      <c r="T18" s="106" t="s">
        <v>278</v>
      </c>
      <c r="U18" s="107"/>
      <c r="V18" s="108"/>
      <c r="AA18" s="40"/>
      <c r="AB18" s="40"/>
      <c r="AC18" s="40"/>
      <c r="AD18" s="40"/>
      <c r="AE18" s="40"/>
      <c r="AI18" s="40"/>
      <c r="AJ18" s="40"/>
      <c r="AK18" s="40"/>
    </row>
    <row r="19" spans="1:41" s="34" customFormat="1" x14ac:dyDescent="0.2">
      <c r="T19" s="109" t="s">
        <v>276</v>
      </c>
      <c r="U19" s="110"/>
      <c r="V19" s="111"/>
      <c r="AA19" s="40"/>
      <c r="AB19" s="40"/>
      <c r="AC19" s="40"/>
      <c r="AD19" s="40"/>
      <c r="AE19" s="40"/>
      <c r="AF19" s="40"/>
      <c r="AG19"/>
      <c r="AH19"/>
      <c r="AI19" s="40"/>
      <c r="AJ19" s="40"/>
      <c r="AK19" s="40"/>
    </row>
    <row r="20" spans="1:41" s="59" customFormat="1" x14ac:dyDescent="0.2">
      <c r="A20" s="17"/>
      <c r="B20" s="58"/>
    </row>
    <row r="21" spans="1:41" s="7" customFormat="1" x14ac:dyDescent="0.2">
      <c r="A21" s="17" t="s">
        <v>708</v>
      </c>
      <c r="U21" s="197" t="s">
        <v>550</v>
      </c>
      <c r="V21" s="198" t="s">
        <v>551</v>
      </c>
      <c r="W21" s="198" t="s">
        <v>550</v>
      </c>
      <c r="X21" s="198" t="s">
        <v>551</v>
      </c>
      <c r="Y21" s="199" t="s">
        <v>552</v>
      </c>
      <c r="Z21" s="200"/>
      <c r="AA21" s="201"/>
      <c r="AB21" s="17" t="s">
        <v>105</v>
      </c>
      <c r="AC21" s="17"/>
      <c r="AD21" s="148" t="s">
        <v>549</v>
      </c>
      <c r="AE21" s="149"/>
      <c r="AF21" s="149"/>
      <c r="AG21" s="149" t="s">
        <v>548</v>
      </c>
      <c r="AH21" s="149"/>
      <c r="AI21" s="149"/>
      <c r="AJ21" s="149" t="s">
        <v>547</v>
      </c>
      <c r="AK21" s="149"/>
      <c r="AL21" s="149"/>
      <c r="AM21" s="202" t="s">
        <v>553</v>
      </c>
      <c r="AN21" s="200"/>
      <c r="AO21" s="201"/>
    </row>
    <row r="22" spans="1:41" s="49" customFormat="1" ht="15" customHeight="1" x14ac:dyDescent="0.2">
      <c r="A22" s="57" t="s">
        <v>58</v>
      </c>
      <c r="B22" s="55" t="s">
        <v>289</v>
      </c>
      <c r="C22" s="56" t="s">
        <v>100</v>
      </c>
      <c r="D22" s="56" t="s">
        <v>11</v>
      </c>
      <c r="E22" s="63" t="s">
        <v>291</v>
      </c>
      <c r="F22" s="63"/>
      <c r="G22" s="66" t="s">
        <v>292</v>
      </c>
      <c r="H22" s="66" t="s">
        <v>8</v>
      </c>
      <c r="I22" s="66" t="s">
        <v>217</v>
      </c>
      <c r="J22" s="66" t="s">
        <v>11</v>
      </c>
      <c r="K22" s="66" t="s">
        <v>291</v>
      </c>
      <c r="L22" s="63"/>
      <c r="M22" s="67" t="s">
        <v>293</v>
      </c>
      <c r="N22" s="67" t="s">
        <v>8</v>
      </c>
      <c r="O22" s="67" t="s">
        <v>217</v>
      </c>
      <c r="P22" s="67" t="s">
        <v>11</v>
      </c>
      <c r="Q22" s="67" t="s">
        <v>291</v>
      </c>
      <c r="R22" s="63"/>
      <c r="S22" s="63"/>
      <c r="T22" s="79" t="s">
        <v>275</v>
      </c>
      <c r="U22" s="126" t="s">
        <v>530</v>
      </c>
      <c r="V22" s="114" t="s">
        <v>531</v>
      </c>
      <c r="W22" s="114" t="s">
        <v>532</v>
      </c>
      <c r="X22" s="114" t="s">
        <v>533</v>
      </c>
      <c r="Y22" s="114" t="s">
        <v>534</v>
      </c>
      <c r="Z22" s="114" t="s">
        <v>535</v>
      </c>
      <c r="AA22" s="131" t="s">
        <v>536</v>
      </c>
      <c r="AB22" s="22" t="s">
        <v>545</v>
      </c>
      <c r="AC22" s="23" t="s">
        <v>546</v>
      </c>
      <c r="AD22" s="148" t="s">
        <v>31</v>
      </c>
      <c r="AE22" s="149" t="s">
        <v>32</v>
      </c>
      <c r="AF22" s="150" t="s">
        <v>33</v>
      </c>
      <c r="AG22" s="148" t="s">
        <v>31</v>
      </c>
      <c r="AH22" s="149" t="s">
        <v>32</v>
      </c>
      <c r="AI22" s="150" t="s">
        <v>33</v>
      </c>
      <c r="AJ22" s="148" t="s">
        <v>31</v>
      </c>
      <c r="AK22" s="149" t="s">
        <v>32</v>
      </c>
      <c r="AL22" s="149" t="s">
        <v>33</v>
      </c>
      <c r="AM22" s="159"/>
      <c r="AN22" s="156"/>
      <c r="AO22" s="160"/>
    </row>
    <row r="23" spans="1:41" s="8" customFormat="1" ht="15" customHeight="1" x14ac:dyDescent="0.2">
      <c r="A23" s="54" t="str">
        <f>'36. Generic chemical products'!A2</f>
        <v>Lubricant, average (Albafluid CD)</v>
      </c>
      <c r="B23" s="54" t="str">
        <f>'36. Generic chemical products'!B2</f>
        <v>Acrylamide/sodium acrylate copolymer</v>
      </c>
      <c r="C23" s="54">
        <f>'36. Generic chemical products'!C2</f>
        <v>0.3</v>
      </c>
      <c r="D23" s="54" t="str">
        <f>'36. Generic chemical products'!D2</f>
        <v>kg</v>
      </c>
      <c r="E23" s="54" t="str">
        <f>'36. Generic chemical products'!E2</f>
        <v>MSDS + Expert estimation for concentration</v>
      </c>
      <c r="F23" s="54">
        <f>'36. Generic chemical products'!F2</f>
        <v>0</v>
      </c>
      <c r="G23" s="54" t="str">
        <f>'36. Generic chemical products'!G2</f>
        <v>-</v>
      </c>
      <c r="H23" s="54">
        <f>'36. Generic chemical products'!H2</f>
        <v>0</v>
      </c>
      <c r="I23" s="54">
        <f>'36. Generic chemical products'!I2</f>
        <v>0</v>
      </c>
      <c r="J23" s="54">
        <f>'36. Generic chemical products'!J2</f>
        <v>0</v>
      </c>
      <c r="K23" s="54">
        <f>'36. Generic chemical products'!K2</f>
        <v>0</v>
      </c>
      <c r="L23" s="54">
        <f>'36. Generic chemical products'!L2</f>
        <v>0</v>
      </c>
      <c r="M23" s="54" t="str">
        <f>'36. Generic chemical products'!M2</f>
        <v>Acrylamide/sodium acrylate copolymer</v>
      </c>
      <c r="N23" s="54" t="str">
        <f>'36. Generic chemical products'!N2</f>
        <v>river</v>
      </c>
      <c r="O23" s="54">
        <f>'36. Generic chemical products'!O2</f>
        <v>2.9700000000000001E-2</v>
      </c>
      <c r="P23" s="54" t="str">
        <f>'36. Generic chemical products'!P2</f>
        <v>kg</v>
      </c>
      <c r="Q23" s="54" t="str">
        <f>'36. Generic chemical products'!Q2</f>
        <v>1% of polymer content remains as monomers from the production process.</v>
      </c>
      <c r="R23" s="54">
        <f>'36. Generic chemical products'!R2</f>
        <v>0</v>
      </c>
      <c r="S23" s="54">
        <f>'36. Generic chemical products'!S2</f>
        <v>0</v>
      </c>
      <c r="T23" s="386" t="str">
        <f>'36. Generic chemical products'!T2</f>
        <v>25085-02-3</v>
      </c>
      <c r="U23" s="386">
        <f>'36. Generic chemical products'!U2</f>
        <v>0</v>
      </c>
      <c r="V23" s="386">
        <f>'36. Generic chemical products'!V2</f>
        <v>1.318367210059499E-10</v>
      </c>
      <c r="W23" s="386">
        <f>'36. Generic chemical products'!W2</f>
        <v>0</v>
      </c>
      <c r="X23" s="386">
        <f>'36. Generic chemical products'!X2</f>
        <v>1.3016448977650344E-10</v>
      </c>
      <c r="Y23" s="386">
        <f>'36. Generic chemical products'!Y2</f>
        <v>1.1181204517092254</v>
      </c>
      <c r="Z23" s="386">
        <f>'36. Generic chemical products'!Z2</f>
        <v>78.957506928451508</v>
      </c>
      <c r="AA23" s="386" t="str">
        <f>'36. Generic chemical products'!AA2</f>
        <v>Roos 2017</v>
      </c>
      <c r="AB23" s="27">
        <f>$C$6*I23</f>
        <v>0</v>
      </c>
      <c r="AC23" s="467">
        <v>0</v>
      </c>
      <c r="AD23" s="24">
        <f>AB23*U23+AC23*W23</f>
        <v>0</v>
      </c>
      <c r="AE23" s="135">
        <f>AB23*V23+AC23*X23</f>
        <v>0</v>
      </c>
      <c r="AF23" s="24">
        <f>AB23*Y23+AC23*Z23</f>
        <v>0</v>
      </c>
      <c r="AG23" s="24">
        <f>AB23*U23</f>
        <v>0</v>
      </c>
      <c r="AH23" s="24">
        <f>AB23*V23</f>
        <v>0</v>
      </c>
      <c r="AI23" s="24">
        <f>AB23*Y23</f>
        <v>0</v>
      </c>
      <c r="AJ23" s="24">
        <f>AC23*W23</f>
        <v>0</v>
      </c>
      <c r="AK23" s="24">
        <f>AC23*X23</f>
        <v>0</v>
      </c>
      <c r="AL23" s="24">
        <f>AC23*Z23</f>
        <v>0</v>
      </c>
      <c r="AM23" s="161">
        <f>AG23+AJ23</f>
        <v>0</v>
      </c>
      <c r="AN23" s="157">
        <f t="shared" ref="AN23:AO25" si="0">AH23+AK23</f>
        <v>0</v>
      </c>
      <c r="AO23" s="162">
        <f t="shared" si="0"/>
        <v>0</v>
      </c>
    </row>
    <row r="24" spans="1:41" s="8" customFormat="1" ht="15" customHeight="1" x14ac:dyDescent="0.2">
      <c r="A24" s="54" t="str">
        <f>'36. Generic chemical products'!A3</f>
        <v>Lubricant, average (Albafluid CD)</v>
      </c>
      <c r="B24" s="54" t="str">
        <f>'36. Generic chemical products'!B3</f>
        <v>Acrylamide</v>
      </c>
      <c r="C24" s="54">
        <f>'36. Generic chemical products'!C3</f>
        <v>0</v>
      </c>
      <c r="D24" s="54">
        <f>'36. Generic chemical products'!D3</f>
        <v>0</v>
      </c>
      <c r="E24" s="54" t="str">
        <f>'36. Generic chemical products'!E3</f>
        <v>Breakdown product (Caulfield, 2002)</v>
      </c>
      <c r="F24" s="54">
        <f>'36. Generic chemical products'!F3</f>
        <v>0</v>
      </c>
      <c r="G24" s="54" t="str">
        <f>'36. Generic chemical products'!G3</f>
        <v>Acrylamide</v>
      </c>
      <c r="H24" s="54" t="str">
        <f>'36. Generic chemical products'!H3</f>
        <v>high. pop.</v>
      </c>
      <c r="I24" s="54">
        <f>'36. Generic chemical products'!I3</f>
        <v>3.0000000000000001E-6</v>
      </c>
      <c r="J24" s="54" t="str">
        <f>'36. Generic chemical products'!J3</f>
        <v>kg</v>
      </c>
      <c r="K24" s="54">
        <f>'36. Generic chemical products'!K3</f>
        <v>0</v>
      </c>
      <c r="L24" s="54">
        <f>'36. Generic chemical products'!L3</f>
        <v>0</v>
      </c>
      <c r="M24" s="54" t="str">
        <f>'36. Generic chemical products'!M3</f>
        <v>Acrylamide</v>
      </c>
      <c r="N24" s="54" t="str">
        <f>'36. Generic chemical products'!N3</f>
        <v>river</v>
      </c>
      <c r="O24" s="54">
        <f>'36. Generic chemical products'!O3</f>
        <v>3.0000000000000004E-5</v>
      </c>
      <c r="P24" s="54" t="str">
        <f>'36. Generic chemical products'!P3</f>
        <v>kg</v>
      </c>
      <c r="Q24" s="54" t="str">
        <f>'36. Generic chemical products'!Q3</f>
        <v xml:space="preserve">90% of reactive chemicals are degraded during operations. </v>
      </c>
      <c r="R24" s="54">
        <f>'36. Generic chemical products'!R3</f>
        <v>0</v>
      </c>
      <c r="S24" s="54">
        <f>'36. Generic chemical products'!S3</f>
        <v>0</v>
      </c>
      <c r="T24" s="385" t="str">
        <f>'36. Generic chemical products'!T3</f>
        <v>79-06-1</v>
      </c>
      <c r="U24" s="385">
        <f>'36. Generic chemical products'!U3</f>
        <v>3.0023364753950555E-5</v>
      </c>
      <c r="V24" s="385">
        <f>'36. Generic chemical products'!V3</f>
        <v>1.2481126126868064E-4</v>
      </c>
      <c r="W24" s="385">
        <f>'36. Generic chemical products'!W3</f>
        <v>1.1959264101490567E-5</v>
      </c>
      <c r="X24" s="385">
        <f>'36. Generic chemical products'!X3</f>
        <v>4.9716307568620708E-5</v>
      </c>
      <c r="Y24" s="385">
        <f>'36. Generic chemical products'!Y3</f>
        <v>10.037499181426883</v>
      </c>
      <c r="Z24" s="385">
        <f>'36. Generic chemical products'!Z3</f>
        <v>119.14199796898779</v>
      </c>
      <c r="AA24" s="385" t="str">
        <f>'36. Generic chemical products'!AA3</f>
        <v>USEtox</v>
      </c>
      <c r="AB24" s="27">
        <f>$C$6*I24</f>
        <v>2.4000000000000003E-7</v>
      </c>
      <c r="AC24" s="468">
        <v>0</v>
      </c>
      <c r="AD24" s="135">
        <f t="shared" ref="AD24:AD25" si="1">AB24*U24+AC24*W24</f>
        <v>7.2056075409481337E-12</v>
      </c>
      <c r="AE24" s="135">
        <f t="shared" ref="AE24:AE25" si="2">AB24*V24+AC24*X24</f>
        <v>2.9954702704483359E-11</v>
      </c>
      <c r="AF24" s="24">
        <f t="shared" ref="AF24:AF25" si="3">AB24*Y24+AC24*Z24</f>
        <v>2.4089998035424521E-6</v>
      </c>
      <c r="AG24" s="24">
        <f t="shared" ref="AG24:AG25" si="4">AB24*U24</f>
        <v>7.2056075409481337E-12</v>
      </c>
      <c r="AH24" s="24">
        <f t="shared" ref="AH24:AH25" si="5">AB24*V24</f>
        <v>2.9954702704483359E-11</v>
      </c>
      <c r="AI24" s="24">
        <f t="shared" ref="AI24:AI25" si="6">AB24*Y24</f>
        <v>2.4089998035424521E-6</v>
      </c>
      <c r="AJ24" s="24">
        <f t="shared" ref="AJ24:AJ25" si="7">AC24*W24</f>
        <v>0</v>
      </c>
      <c r="AK24" s="24">
        <f t="shared" ref="AK24:AK25" si="8">AC24*X24</f>
        <v>0</v>
      </c>
      <c r="AL24" s="24">
        <f t="shared" ref="AL24:AL25" si="9">AC24*Z24</f>
        <v>0</v>
      </c>
      <c r="AM24" s="161">
        <f t="shared" ref="AM24:AM25" si="10">AG24+AJ24</f>
        <v>7.2056075409481337E-12</v>
      </c>
      <c r="AN24" s="157">
        <f t="shared" si="0"/>
        <v>2.9954702704483359E-11</v>
      </c>
      <c r="AO24" s="162">
        <f t="shared" si="0"/>
        <v>2.4089998035424521E-6</v>
      </c>
    </row>
    <row r="25" spans="1:41" s="49" customFormat="1" ht="15" customHeight="1" x14ac:dyDescent="0.2">
      <c r="A25" s="141" t="str">
        <f>'36. Generic chemical products'!A4</f>
        <v>Lubricant, average (Albafluid CD)</v>
      </c>
      <c r="B25" s="141">
        <f>'36. Generic chemical products'!B4</f>
        <v>0</v>
      </c>
      <c r="C25" s="141">
        <f>'36. Generic chemical products'!C4</f>
        <v>0</v>
      </c>
      <c r="D25" s="141">
        <f>'36. Generic chemical products'!D4</f>
        <v>0</v>
      </c>
      <c r="E25" s="141" t="str">
        <f>'36. Generic chemical products'!E4</f>
        <v>Common breakdown product of of acrylics, 0.001 % assumed</v>
      </c>
      <c r="F25" s="141">
        <f>'36. Generic chemical products'!F4</f>
        <v>0</v>
      </c>
      <c r="G25" s="141" t="str">
        <f>'36. Generic chemical products'!G4</f>
        <v>Formaldehyde</v>
      </c>
      <c r="H25" s="141" t="str">
        <f>'36. Generic chemical products'!H4</f>
        <v>high. pop.</v>
      </c>
      <c r="I25" s="141">
        <f>'36. Generic chemical products'!I4</f>
        <v>2.9999999999999999E-7</v>
      </c>
      <c r="J25" s="141" t="str">
        <f>'36. Generic chemical products'!J4</f>
        <v>kg</v>
      </c>
      <c r="K25" s="141">
        <f>'36. Generic chemical products'!K4</f>
        <v>0</v>
      </c>
      <c r="L25" s="141">
        <f>'36. Generic chemical products'!L4</f>
        <v>0</v>
      </c>
      <c r="M25" s="141" t="str">
        <f>'36. Generic chemical products'!M4</f>
        <v>Formaldehyde</v>
      </c>
      <c r="N25" s="141" t="str">
        <f>'36. Generic chemical products'!N4</f>
        <v>river</v>
      </c>
      <c r="O25" s="141">
        <f>'36. Generic chemical products'!O4</f>
        <v>3.0000000000000001E-6</v>
      </c>
      <c r="P25" s="141" t="str">
        <f>'36. Generic chemical products'!P4</f>
        <v>kg</v>
      </c>
      <c r="Q25" s="141" t="str">
        <f>'36. Generic chemical products'!Q4</f>
        <v xml:space="preserve">0.1 % of the content is degraded to common breakdown products. 90% of reactive chemicals are degraded during operations. </v>
      </c>
      <c r="R25" s="141">
        <f>'36. Generic chemical products'!R4</f>
        <v>0</v>
      </c>
      <c r="S25" s="141">
        <f>'36. Generic chemical products'!S4</f>
        <v>0</v>
      </c>
      <c r="T25" s="141" t="str">
        <f>'36. Generic chemical products'!T4</f>
        <v>50-00-0</v>
      </c>
      <c r="U25" s="141">
        <f>'36. Generic chemical products'!U4</f>
        <v>2.5208446330720887E-5</v>
      </c>
      <c r="V25" s="141">
        <f>'36. Generic chemical products'!V4</f>
        <v>2.6504960021309262E-7</v>
      </c>
      <c r="W25" s="141">
        <f>'36. Generic chemical products'!W4</f>
        <v>1.4222228897488039E-7</v>
      </c>
      <c r="X25" s="141">
        <f>'36. Generic chemical products'!X4</f>
        <v>3.170874313501273E-7</v>
      </c>
      <c r="Y25" s="141">
        <f>'36. Generic chemical products'!Y4</f>
        <v>17.989178582912412</v>
      </c>
      <c r="Z25" s="141">
        <f>'36. Generic chemical products'!Z4</f>
        <v>290.05086067463066</v>
      </c>
      <c r="AA25" s="141" t="str">
        <f>'36. Generic chemical products'!AA4</f>
        <v>USEtox</v>
      </c>
      <c r="AB25" s="28">
        <f>$C$6*I25</f>
        <v>2.4E-8</v>
      </c>
      <c r="AC25" s="469">
        <v>0</v>
      </c>
      <c r="AD25" s="147">
        <f t="shared" si="1"/>
        <v>6.050027119373013E-13</v>
      </c>
      <c r="AE25" s="147">
        <f t="shared" si="2"/>
        <v>6.3611904051142226E-15</v>
      </c>
      <c r="AF25" s="25">
        <f t="shared" si="3"/>
        <v>4.3174028598989792E-7</v>
      </c>
      <c r="AG25" s="25">
        <f t="shared" si="4"/>
        <v>6.050027119373013E-13</v>
      </c>
      <c r="AH25" s="25">
        <f t="shared" si="5"/>
        <v>6.3611904051142226E-15</v>
      </c>
      <c r="AI25" s="25">
        <f t="shared" si="6"/>
        <v>4.3174028598989792E-7</v>
      </c>
      <c r="AJ25" s="25">
        <f t="shared" si="7"/>
        <v>0</v>
      </c>
      <c r="AK25" s="25">
        <f t="shared" si="8"/>
        <v>0</v>
      </c>
      <c r="AL25" s="25">
        <f t="shared" si="9"/>
        <v>0</v>
      </c>
      <c r="AM25" s="163">
        <f t="shared" si="10"/>
        <v>6.050027119373013E-13</v>
      </c>
      <c r="AN25" s="164">
        <f t="shared" si="0"/>
        <v>6.3611904051142226E-15</v>
      </c>
      <c r="AO25" s="165">
        <f t="shared" si="0"/>
        <v>4.3174028598989792E-7</v>
      </c>
    </row>
    <row r="26" spans="1:41" x14ac:dyDescent="0.2">
      <c r="AD26" s="177">
        <f>SUM(AD23:AD25)</f>
        <v>7.8106102528854355E-12</v>
      </c>
      <c r="AE26" s="177">
        <f t="shared" ref="AE26:AF26" si="11">SUM(AE23:AE25)</f>
        <v>2.9961063894888472E-11</v>
      </c>
      <c r="AF26" s="177">
        <f t="shared" si="11"/>
        <v>2.8407400895323498E-6</v>
      </c>
    </row>
    <row r="27" spans="1:41" x14ac:dyDescent="0.2">
      <c r="A27" s="47" t="s">
        <v>736</v>
      </c>
    </row>
    <row r="30" spans="1:41" x14ac:dyDescent="0.2">
      <c r="AE30" s="40"/>
    </row>
    <row r="31" spans="1:41" x14ac:dyDescent="0.2">
      <c r="A31" s="35" t="s">
        <v>687</v>
      </c>
      <c r="AE31" s="40"/>
    </row>
    <row r="32" spans="1:41" x14ac:dyDescent="0.2">
      <c r="A32" t="s">
        <v>1068</v>
      </c>
      <c r="AD32" s="40"/>
      <c r="AE32" s="40"/>
      <c r="AF32" s="40"/>
    </row>
    <row r="33" spans="1:32" x14ac:dyDescent="0.2">
      <c r="A33" t="s">
        <v>1069</v>
      </c>
      <c r="AD33" s="40"/>
      <c r="AE33" s="40"/>
    </row>
    <row r="34" spans="1:32" x14ac:dyDescent="0.2">
      <c r="A34" t="s">
        <v>1083</v>
      </c>
      <c r="AE34" s="40"/>
      <c r="AF34" s="40"/>
    </row>
    <row r="35" spans="1:32" x14ac:dyDescent="0.2">
      <c r="A35" t="s">
        <v>1087</v>
      </c>
    </row>
    <row r="36" spans="1:32" x14ac:dyDescent="0.2">
      <c r="A36" t="s">
        <v>1070</v>
      </c>
    </row>
    <row r="37" spans="1:32" x14ac:dyDescent="0.2">
      <c r="A37" t="s">
        <v>1071</v>
      </c>
    </row>
    <row r="38" spans="1:32" x14ac:dyDescent="0.2">
      <c r="A38" t="s">
        <v>1072</v>
      </c>
    </row>
    <row r="39" spans="1:32" x14ac:dyDescent="0.2">
      <c r="A39" t="s">
        <v>1073</v>
      </c>
    </row>
    <row r="50" spans="1:1" x14ac:dyDescent="0.2">
      <c r="A50" s="35"/>
    </row>
    <row r="52" spans="1:1" x14ac:dyDescent="0.2">
      <c r="A52" s="34"/>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39"/>
  <sheetViews>
    <sheetView zoomScale="70" zoomScaleNormal="70" workbookViewId="0"/>
  </sheetViews>
  <sheetFormatPr defaultRowHeight="12.75" x14ac:dyDescent="0.2"/>
  <cols>
    <col min="1" max="1" width="58.42578125" customWidth="1"/>
    <col min="5" max="5" width="11" customWidth="1"/>
    <col min="33" max="33" width="10.140625" bestFit="1" customWidth="1"/>
  </cols>
  <sheetData>
    <row r="1" spans="1:34" ht="16.5" thickBot="1" x14ac:dyDescent="0.3">
      <c r="A1" s="82" t="s">
        <v>836</v>
      </c>
      <c r="B1" s="83"/>
      <c r="C1" s="83" t="s">
        <v>217</v>
      </c>
      <c r="D1" s="83" t="s">
        <v>11</v>
      </c>
      <c r="E1" s="84" t="s">
        <v>180</v>
      </c>
      <c r="F1" s="34"/>
      <c r="G1" s="92" t="s">
        <v>837</v>
      </c>
      <c r="H1" s="93"/>
      <c r="I1" s="93" t="s">
        <v>217</v>
      </c>
      <c r="J1" s="93" t="s">
        <v>11</v>
      </c>
      <c r="K1" s="94" t="s">
        <v>180</v>
      </c>
      <c r="L1" s="34"/>
      <c r="M1" s="95" t="s">
        <v>838</v>
      </c>
      <c r="N1" s="96"/>
      <c r="O1" s="97" t="s">
        <v>217</v>
      </c>
      <c r="P1" s="97" t="s">
        <v>11</v>
      </c>
      <c r="Q1" s="98" t="s">
        <v>180</v>
      </c>
      <c r="R1" s="34"/>
      <c r="S1" s="44" t="s">
        <v>839</v>
      </c>
      <c r="T1" s="45"/>
      <c r="U1" s="45" t="s">
        <v>217</v>
      </c>
      <c r="V1" s="45" t="s">
        <v>11</v>
      </c>
      <c r="W1" s="46" t="s">
        <v>180</v>
      </c>
      <c r="X1" s="34"/>
      <c r="Y1" s="41" t="s">
        <v>840</v>
      </c>
      <c r="Z1" s="42"/>
      <c r="AA1" s="42" t="s">
        <v>217</v>
      </c>
      <c r="AB1" s="42" t="s">
        <v>11</v>
      </c>
      <c r="AC1" s="43" t="s">
        <v>180</v>
      </c>
      <c r="AD1" s="40"/>
      <c r="AF1" s="40"/>
      <c r="AG1" s="48" t="s">
        <v>710</v>
      </c>
    </row>
    <row r="2" spans="1:34"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F2" s="40"/>
      <c r="AG2" s="34" t="s">
        <v>943</v>
      </c>
      <c r="AH2" s="40" t="s">
        <v>916</v>
      </c>
    </row>
    <row r="3" spans="1:34" s="218" customFormat="1" x14ac:dyDescent="0.2">
      <c r="A3" s="214" t="s">
        <v>920</v>
      </c>
      <c r="B3" s="215"/>
      <c r="C3" s="215">
        <v>1</v>
      </c>
      <c r="D3" s="215" t="s">
        <v>2</v>
      </c>
      <c r="E3" s="213"/>
      <c r="F3" s="216"/>
      <c r="G3" s="214" t="s">
        <v>920</v>
      </c>
      <c r="H3" s="215"/>
      <c r="I3" s="215">
        <v>1</v>
      </c>
      <c r="J3" s="215" t="s">
        <v>2</v>
      </c>
      <c r="K3" s="213"/>
      <c r="L3" s="216"/>
      <c r="M3" s="214" t="s">
        <v>920</v>
      </c>
      <c r="N3" s="215"/>
      <c r="O3" s="215">
        <v>1</v>
      </c>
      <c r="P3" s="215" t="s">
        <v>2</v>
      </c>
      <c r="Q3" s="213"/>
      <c r="R3" s="216"/>
      <c r="S3" s="214" t="s">
        <v>920</v>
      </c>
      <c r="T3" s="215"/>
      <c r="U3" s="215">
        <v>1</v>
      </c>
      <c r="V3" s="215" t="s">
        <v>2</v>
      </c>
      <c r="W3" s="213"/>
      <c r="X3" s="216"/>
      <c r="Y3" s="214" t="s">
        <v>920</v>
      </c>
      <c r="Z3" s="215"/>
      <c r="AA3" s="215">
        <v>1</v>
      </c>
      <c r="AB3" s="215" t="s">
        <v>2</v>
      </c>
      <c r="AC3" s="213"/>
      <c r="AD3" s="217"/>
      <c r="AF3" s="217" t="s">
        <v>260</v>
      </c>
      <c r="AG3" s="229">
        <v>1.3368022003068301</v>
      </c>
    </row>
    <row r="4" spans="1:34" s="218" customFormat="1" x14ac:dyDescent="0.2">
      <c r="A4" s="219" t="s">
        <v>187</v>
      </c>
      <c r="B4" s="215"/>
      <c r="C4" s="215"/>
      <c r="D4" s="215"/>
      <c r="E4" s="213"/>
      <c r="F4" s="220"/>
      <c r="G4" s="219" t="s">
        <v>187</v>
      </c>
      <c r="H4" s="215"/>
      <c r="I4" s="215"/>
      <c r="J4" s="215"/>
      <c r="K4" s="213"/>
      <c r="L4" s="220"/>
      <c r="M4" s="219" t="s">
        <v>187</v>
      </c>
      <c r="N4" s="215"/>
      <c r="O4" s="215"/>
      <c r="P4" s="215"/>
      <c r="Q4" s="213"/>
      <c r="R4" s="220"/>
      <c r="S4" s="219" t="s">
        <v>187</v>
      </c>
      <c r="T4" s="215"/>
      <c r="U4" s="215"/>
      <c r="V4" s="215"/>
      <c r="W4" s="213"/>
      <c r="X4" s="220"/>
      <c r="Y4" s="219" t="s">
        <v>187</v>
      </c>
      <c r="Z4" s="215"/>
      <c r="AA4" s="215"/>
      <c r="AB4" s="215"/>
      <c r="AC4" s="213"/>
      <c r="AD4" s="221"/>
      <c r="AF4" s="217" t="s">
        <v>261</v>
      </c>
      <c r="AG4" s="229">
        <v>1.7887298884637301E-4</v>
      </c>
    </row>
    <row r="5" spans="1:34" s="218" customFormat="1" x14ac:dyDescent="0.2">
      <c r="A5" s="88" t="s">
        <v>141</v>
      </c>
      <c r="B5" s="215"/>
      <c r="C5" s="215">
        <v>0.08</v>
      </c>
      <c r="D5" s="215" t="s">
        <v>2</v>
      </c>
      <c r="E5" s="213" t="s">
        <v>179</v>
      </c>
      <c r="F5" s="216" t="s">
        <v>179</v>
      </c>
      <c r="G5" s="88" t="s">
        <v>141</v>
      </c>
      <c r="H5" s="215"/>
      <c r="I5" s="215">
        <v>0.08</v>
      </c>
      <c r="J5" s="215" t="s">
        <v>2</v>
      </c>
      <c r="K5" s="213" t="s">
        <v>179</v>
      </c>
      <c r="L5" s="216"/>
      <c r="M5" s="88" t="s">
        <v>141</v>
      </c>
      <c r="N5" s="215"/>
      <c r="O5" s="215">
        <v>0.08</v>
      </c>
      <c r="P5" s="215" t="s">
        <v>2</v>
      </c>
      <c r="Q5" s="213" t="s">
        <v>179</v>
      </c>
      <c r="R5" s="216"/>
      <c r="S5" s="214" t="s">
        <v>141</v>
      </c>
      <c r="T5" s="215"/>
      <c r="U5" s="215">
        <v>0.08</v>
      </c>
      <c r="V5" s="215" t="s">
        <v>2</v>
      </c>
      <c r="W5" s="213" t="s">
        <v>179</v>
      </c>
      <c r="X5" s="216"/>
      <c r="Y5" s="214" t="s">
        <v>141</v>
      </c>
      <c r="Z5" s="215"/>
      <c r="AA5" s="215">
        <v>0.08</v>
      </c>
      <c r="AB5" s="215" t="s">
        <v>2</v>
      </c>
      <c r="AC5" s="213" t="s">
        <v>179</v>
      </c>
      <c r="AD5" s="217"/>
      <c r="AF5" s="217" t="s">
        <v>262</v>
      </c>
      <c r="AG5" s="229">
        <v>1.2383302905341301E-2</v>
      </c>
    </row>
    <row r="6" spans="1:34" s="218" customFormat="1" x14ac:dyDescent="0.2">
      <c r="A6" s="280" t="s">
        <v>190</v>
      </c>
      <c r="B6" s="281"/>
      <c r="C6" s="281">
        <f>C5</f>
        <v>0.08</v>
      </c>
      <c r="D6" s="281" t="s">
        <v>2</v>
      </c>
      <c r="E6" s="286" t="s">
        <v>179</v>
      </c>
      <c r="F6" s="244"/>
      <c r="G6" s="280" t="s">
        <v>190</v>
      </c>
      <c r="H6" s="281"/>
      <c r="I6" s="281">
        <f>I5</f>
        <v>0.08</v>
      </c>
      <c r="J6" s="281" t="s">
        <v>2</v>
      </c>
      <c r="K6" s="286" t="s">
        <v>179</v>
      </c>
      <c r="L6" s="244"/>
      <c r="M6" s="280" t="s">
        <v>190</v>
      </c>
      <c r="N6" s="281"/>
      <c r="O6" s="281">
        <f>O5</f>
        <v>0.08</v>
      </c>
      <c r="P6" s="281" t="s">
        <v>2</v>
      </c>
      <c r="Q6" s="286" t="s">
        <v>179</v>
      </c>
      <c r="S6" s="280" t="s">
        <v>190</v>
      </c>
      <c r="T6" s="281"/>
      <c r="U6" s="281">
        <f>U5</f>
        <v>0.08</v>
      </c>
      <c r="V6" s="339" t="s">
        <v>2</v>
      </c>
      <c r="W6" s="337" t="s">
        <v>179</v>
      </c>
      <c r="Y6" s="280" t="s">
        <v>190</v>
      </c>
      <c r="Z6" s="281"/>
      <c r="AA6" s="281">
        <f>AA5</f>
        <v>0.08</v>
      </c>
      <c r="AB6" s="281" t="s">
        <v>2</v>
      </c>
      <c r="AC6" s="286" t="s">
        <v>179</v>
      </c>
      <c r="AF6" s="217" t="s">
        <v>263</v>
      </c>
      <c r="AG6" s="229">
        <v>5.3609326320392904E-3</v>
      </c>
    </row>
    <row r="7" spans="1:34" s="218" customFormat="1" x14ac:dyDescent="0.2">
      <c r="A7" s="219" t="s">
        <v>205</v>
      </c>
      <c r="B7" s="215"/>
      <c r="C7" s="215"/>
      <c r="D7" s="215"/>
      <c r="E7" s="213"/>
      <c r="G7" s="219" t="s">
        <v>205</v>
      </c>
      <c r="H7" s="215"/>
      <c r="I7" s="215"/>
      <c r="J7" s="215"/>
      <c r="K7" s="213"/>
      <c r="M7" s="219" t="s">
        <v>205</v>
      </c>
      <c r="N7" s="215"/>
      <c r="O7" s="215"/>
      <c r="P7" s="215"/>
      <c r="Q7" s="213"/>
      <c r="S7" s="219" t="s">
        <v>205</v>
      </c>
      <c r="T7" s="215"/>
      <c r="U7" s="215"/>
      <c r="V7" s="215"/>
      <c r="W7" s="213"/>
      <c r="Y7" s="219" t="s">
        <v>205</v>
      </c>
      <c r="Z7" s="215"/>
      <c r="AA7" s="215"/>
      <c r="AB7" s="215"/>
      <c r="AC7" s="213"/>
      <c r="AF7" s="217" t="s">
        <v>264</v>
      </c>
      <c r="AG7" s="230">
        <v>5.7673548243902901E-3</v>
      </c>
    </row>
    <row r="8" spans="1:34" s="218" customFormat="1" ht="15" x14ac:dyDescent="0.2">
      <c r="A8" s="214" t="s">
        <v>206</v>
      </c>
      <c r="B8" s="215"/>
      <c r="C8" s="215">
        <v>1.17</v>
      </c>
      <c r="D8" s="215" t="s">
        <v>207</v>
      </c>
      <c r="E8" s="213" t="s">
        <v>1080</v>
      </c>
      <c r="F8" s="218" t="s">
        <v>87</v>
      </c>
      <c r="G8" s="214" t="s">
        <v>206</v>
      </c>
      <c r="H8" s="215"/>
      <c r="I8" s="215">
        <v>1.1599999999999999</v>
      </c>
      <c r="J8" s="215" t="s">
        <v>207</v>
      </c>
      <c r="K8" s="213" t="s">
        <v>1080</v>
      </c>
      <c r="L8" s="218" t="s">
        <v>87</v>
      </c>
      <c r="M8" s="214" t="s">
        <v>206</v>
      </c>
      <c r="N8" s="215"/>
      <c r="O8" s="215">
        <v>2.3199999999999998</v>
      </c>
      <c r="P8" s="215" t="s">
        <v>207</v>
      </c>
      <c r="Q8" s="213" t="s">
        <v>1086</v>
      </c>
      <c r="S8" s="214" t="s">
        <v>206</v>
      </c>
      <c r="T8" s="215"/>
      <c r="U8" s="215">
        <v>1.17</v>
      </c>
      <c r="V8" s="215" t="s">
        <v>207</v>
      </c>
      <c r="W8" s="213" t="s">
        <v>179</v>
      </c>
      <c r="Y8" s="214" t="s">
        <v>206</v>
      </c>
      <c r="Z8" s="215"/>
      <c r="AA8" s="215">
        <v>1.17</v>
      </c>
      <c r="AB8" s="215" t="s">
        <v>207</v>
      </c>
      <c r="AC8" s="213" t="s">
        <v>179</v>
      </c>
      <c r="AF8" s="217" t="s">
        <v>919</v>
      </c>
      <c r="AG8" s="230">
        <v>1.8857162155565499</v>
      </c>
    </row>
    <row r="9" spans="1:34" s="218" customFormat="1" x14ac:dyDescent="0.2">
      <c r="A9" s="219" t="s">
        <v>212</v>
      </c>
      <c r="B9" s="215"/>
      <c r="C9" s="215"/>
      <c r="D9" s="215"/>
      <c r="E9" s="213"/>
      <c r="G9" s="219" t="s">
        <v>212</v>
      </c>
      <c r="H9" s="215"/>
      <c r="I9" s="215"/>
      <c r="J9" s="215"/>
      <c r="K9" s="213"/>
      <c r="M9" s="219" t="s">
        <v>212</v>
      </c>
      <c r="N9" s="215"/>
      <c r="O9" s="215"/>
      <c r="P9" s="215"/>
      <c r="Q9" s="213"/>
      <c r="S9" s="219" t="s">
        <v>212</v>
      </c>
      <c r="T9" s="215"/>
      <c r="U9" s="215"/>
      <c r="V9" s="215"/>
      <c r="W9" s="213"/>
      <c r="Y9" s="219" t="s">
        <v>212</v>
      </c>
      <c r="Z9" s="215"/>
      <c r="AA9" s="215"/>
      <c r="AB9" s="215"/>
      <c r="AC9" s="213"/>
      <c r="AF9" s="217" t="s">
        <v>266</v>
      </c>
      <c r="AG9" s="230">
        <v>1.73942369340561E-7</v>
      </c>
      <c r="AH9" s="228">
        <f>AE26</f>
        <v>2.9961063894888472E-11</v>
      </c>
    </row>
    <row r="10" spans="1:34" ht="13.5" thickBot="1" x14ac:dyDescent="0.25">
      <c r="A10" s="222" t="s">
        <v>485</v>
      </c>
      <c r="B10" s="223"/>
      <c r="C10" s="223">
        <v>1.4999999999999999E-2</v>
      </c>
      <c r="D10" s="223" t="s">
        <v>2</v>
      </c>
      <c r="E10" s="224" t="s">
        <v>509</v>
      </c>
      <c r="F10" s="218"/>
      <c r="G10" s="222" t="s">
        <v>485</v>
      </c>
      <c r="H10" s="223"/>
      <c r="I10" s="223">
        <v>1.4999999999999999E-2</v>
      </c>
      <c r="J10" s="223" t="s">
        <v>2</v>
      </c>
      <c r="K10" s="224" t="s">
        <v>509</v>
      </c>
      <c r="L10" s="218"/>
      <c r="M10" s="222" t="s">
        <v>485</v>
      </c>
      <c r="N10" s="223"/>
      <c r="O10" s="223">
        <v>1.4999999999999999E-2</v>
      </c>
      <c r="P10" s="223" t="s">
        <v>2</v>
      </c>
      <c r="Q10" s="224" t="s">
        <v>509</v>
      </c>
      <c r="R10" s="218"/>
      <c r="S10" s="222" t="s">
        <v>485</v>
      </c>
      <c r="T10" s="223"/>
      <c r="U10" s="223">
        <v>1.4999999999999999E-2</v>
      </c>
      <c r="V10" s="223" t="s">
        <v>2</v>
      </c>
      <c r="W10" s="224" t="s">
        <v>509</v>
      </c>
      <c r="X10" s="218"/>
      <c r="Y10" s="222" t="s">
        <v>485</v>
      </c>
      <c r="Z10" s="223"/>
      <c r="AA10" s="223">
        <v>1.4999999999999999E-2</v>
      </c>
      <c r="AB10" s="223" t="s">
        <v>2</v>
      </c>
      <c r="AC10" s="224" t="s">
        <v>509</v>
      </c>
      <c r="AF10" s="217" t="s">
        <v>267</v>
      </c>
      <c r="AG10" s="230">
        <v>3.6365133001709499E-8</v>
      </c>
      <c r="AH10" s="228">
        <f>AD26</f>
        <v>7.8106102528854355E-12</v>
      </c>
    </row>
    <row r="11" spans="1:34" x14ac:dyDescent="0.2">
      <c r="AF11" s="217" t="s">
        <v>268</v>
      </c>
      <c r="AG11" s="5">
        <v>2.8861774895058998</v>
      </c>
      <c r="AH11" s="4">
        <f>AF26</f>
        <v>2.8407400895323498E-6</v>
      </c>
    </row>
    <row r="17" spans="1:41" s="34" customFormat="1" x14ac:dyDescent="0.2">
      <c r="T17" s="103" t="s">
        <v>274</v>
      </c>
      <c r="U17" s="104"/>
      <c r="V17" s="105"/>
      <c r="AA17" s="40"/>
      <c r="AB17" s="40"/>
      <c r="AC17" s="40"/>
      <c r="AD17" s="40"/>
      <c r="AE17" s="40"/>
      <c r="AI17" s="40"/>
      <c r="AJ17" s="40"/>
      <c r="AK17" s="40"/>
    </row>
    <row r="18" spans="1:41" s="34" customFormat="1" x14ac:dyDescent="0.2">
      <c r="T18" s="106" t="s">
        <v>278</v>
      </c>
      <c r="U18" s="107"/>
      <c r="V18" s="108"/>
      <c r="AA18" s="40"/>
      <c r="AB18" s="40"/>
      <c r="AC18" s="40"/>
      <c r="AD18" s="40"/>
      <c r="AE18" s="40"/>
      <c r="AI18" s="40"/>
      <c r="AJ18" s="40"/>
      <c r="AK18" s="40"/>
    </row>
    <row r="19" spans="1:41" s="34" customFormat="1" x14ac:dyDescent="0.2">
      <c r="T19" s="109" t="s">
        <v>276</v>
      </c>
      <c r="U19" s="110"/>
      <c r="V19" s="111"/>
      <c r="AA19" s="40"/>
      <c r="AB19" s="40"/>
      <c r="AC19" s="40"/>
      <c r="AD19" s="40"/>
      <c r="AE19" s="40"/>
      <c r="AF19" s="40"/>
      <c r="AG19" s="40"/>
      <c r="AH19" s="40"/>
      <c r="AI19" s="40"/>
      <c r="AJ19" s="40"/>
      <c r="AK19" s="40"/>
    </row>
    <row r="20" spans="1:41" s="59" customFormat="1" x14ac:dyDescent="0.2">
      <c r="A20" s="17"/>
      <c r="B20" s="58"/>
    </row>
    <row r="21" spans="1:41" s="7" customFormat="1" x14ac:dyDescent="0.2">
      <c r="A21" s="17" t="s">
        <v>708</v>
      </c>
      <c r="U21" s="197" t="s">
        <v>550</v>
      </c>
      <c r="V21" s="198" t="s">
        <v>551</v>
      </c>
      <c r="W21" s="198" t="s">
        <v>550</v>
      </c>
      <c r="X21" s="198" t="s">
        <v>551</v>
      </c>
      <c r="Y21" s="199" t="s">
        <v>552</v>
      </c>
      <c r="Z21" s="200"/>
      <c r="AA21" s="201"/>
      <c r="AB21" s="17" t="s">
        <v>105</v>
      </c>
      <c r="AC21" s="17"/>
      <c r="AD21" s="148" t="s">
        <v>549</v>
      </c>
      <c r="AE21" s="149"/>
      <c r="AF21" s="149"/>
      <c r="AG21" s="149" t="s">
        <v>548</v>
      </c>
      <c r="AH21" s="149"/>
      <c r="AI21" s="149"/>
      <c r="AJ21" s="149" t="s">
        <v>547</v>
      </c>
      <c r="AK21" s="149"/>
      <c r="AL21" s="149"/>
      <c r="AM21" s="202" t="s">
        <v>553</v>
      </c>
      <c r="AN21" s="200"/>
      <c r="AO21" s="201"/>
    </row>
    <row r="22" spans="1:41" s="49" customFormat="1" ht="15" customHeight="1" x14ac:dyDescent="0.2">
      <c r="A22" s="57" t="s">
        <v>58</v>
      </c>
      <c r="B22" s="55" t="s">
        <v>289</v>
      </c>
      <c r="C22" s="56" t="s">
        <v>100</v>
      </c>
      <c r="D22" s="56" t="s">
        <v>11</v>
      </c>
      <c r="E22" s="63" t="s">
        <v>291</v>
      </c>
      <c r="F22" s="63"/>
      <c r="G22" s="66" t="s">
        <v>292</v>
      </c>
      <c r="H22" s="66" t="s">
        <v>8</v>
      </c>
      <c r="I22" s="66" t="s">
        <v>217</v>
      </c>
      <c r="J22" s="66" t="s">
        <v>11</v>
      </c>
      <c r="K22" s="66" t="s">
        <v>291</v>
      </c>
      <c r="L22" s="63"/>
      <c r="M22" s="67" t="s">
        <v>293</v>
      </c>
      <c r="N22" s="67" t="s">
        <v>8</v>
      </c>
      <c r="O22" s="67" t="s">
        <v>217</v>
      </c>
      <c r="P22" s="67" t="s">
        <v>11</v>
      </c>
      <c r="Q22" s="67" t="s">
        <v>291</v>
      </c>
      <c r="R22" s="63"/>
      <c r="S22" s="63"/>
      <c r="T22" s="79" t="s">
        <v>275</v>
      </c>
      <c r="U22" s="126" t="s">
        <v>530</v>
      </c>
      <c r="V22" s="114" t="s">
        <v>531</v>
      </c>
      <c r="W22" s="114" t="s">
        <v>532</v>
      </c>
      <c r="X22" s="114" t="s">
        <v>533</v>
      </c>
      <c r="Y22" s="114" t="s">
        <v>534</v>
      </c>
      <c r="Z22" s="114" t="s">
        <v>535</v>
      </c>
      <c r="AA22" s="131" t="s">
        <v>536</v>
      </c>
      <c r="AB22" s="22" t="s">
        <v>545</v>
      </c>
      <c r="AC22" s="23" t="s">
        <v>546</v>
      </c>
      <c r="AD22" s="148" t="s">
        <v>31</v>
      </c>
      <c r="AE22" s="149" t="s">
        <v>32</v>
      </c>
      <c r="AF22" s="150" t="s">
        <v>33</v>
      </c>
      <c r="AG22" s="148" t="s">
        <v>31</v>
      </c>
      <c r="AH22" s="149" t="s">
        <v>32</v>
      </c>
      <c r="AI22" s="150" t="s">
        <v>33</v>
      </c>
      <c r="AJ22" s="148" t="s">
        <v>31</v>
      </c>
      <c r="AK22" s="149" t="s">
        <v>32</v>
      </c>
      <c r="AL22" s="149" t="s">
        <v>33</v>
      </c>
      <c r="AM22" s="159"/>
      <c r="AN22" s="156"/>
      <c r="AO22" s="160"/>
    </row>
    <row r="23" spans="1:41" s="8" customFormat="1" ht="15" customHeight="1" x14ac:dyDescent="0.2">
      <c r="A23" s="54" t="str">
        <f>'36. Generic chemical products'!A2</f>
        <v>Lubricant, average (Albafluid CD)</v>
      </c>
      <c r="B23" s="54" t="str">
        <f>'36. Generic chemical products'!B2</f>
        <v>Acrylamide/sodium acrylate copolymer</v>
      </c>
      <c r="C23" s="54">
        <f>'36. Generic chemical products'!C2</f>
        <v>0.3</v>
      </c>
      <c r="D23" s="54" t="str">
        <f>'36. Generic chemical products'!D2</f>
        <v>kg</v>
      </c>
      <c r="E23" s="54" t="str">
        <f>'36. Generic chemical products'!E2</f>
        <v>MSDS + Expert estimation for concentration</v>
      </c>
      <c r="F23" s="54">
        <f>'36. Generic chemical products'!F2</f>
        <v>0</v>
      </c>
      <c r="G23" s="54" t="str">
        <f>'36. Generic chemical products'!G2</f>
        <v>-</v>
      </c>
      <c r="H23" s="54">
        <f>'36. Generic chemical products'!H2</f>
        <v>0</v>
      </c>
      <c r="I23" s="54">
        <f>'36. Generic chemical products'!I2</f>
        <v>0</v>
      </c>
      <c r="J23" s="54">
        <f>'36. Generic chemical products'!J2</f>
        <v>0</v>
      </c>
      <c r="K23" s="54">
        <f>'36. Generic chemical products'!K2</f>
        <v>0</v>
      </c>
      <c r="L23" s="54">
        <f>'36. Generic chemical products'!L2</f>
        <v>0</v>
      </c>
      <c r="M23" s="54" t="str">
        <f>'36. Generic chemical products'!M2</f>
        <v>Acrylamide/sodium acrylate copolymer</v>
      </c>
      <c r="N23" s="54" t="str">
        <f>'36. Generic chemical products'!N2</f>
        <v>river</v>
      </c>
      <c r="O23" s="54">
        <f>'36. Generic chemical products'!O2</f>
        <v>2.9700000000000001E-2</v>
      </c>
      <c r="P23" s="54" t="str">
        <f>'36. Generic chemical products'!P2</f>
        <v>kg</v>
      </c>
      <c r="Q23" s="54" t="str">
        <f>'36. Generic chemical products'!Q2</f>
        <v>1% of polymer content remains as monomers from the production process.</v>
      </c>
      <c r="R23" s="54">
        <f>'36. Generic chemical products'!R2</f>
        <v>0</v>
      </c>
      <c r="S23" s="54">
        <f>'36. Generic chemical products'!S2</f>
        <v>0</v>
      </c>
      <c r="T23" s="54" t="str">
        <f>'36. Generic chemical products'!T2</f>
        <v>25085-02-3</v>
      </c>
      <c r="U23" s="386">
        <f>'36. Generic chemical products'!U2</f>
        <v>0</v>
      </c>
      <c r="V23" s="386">
        <f>'36. Generic chemical products'!V2</f>
        <v>1.318367210059499E-10</v>
      </c>
      <c r="W23" s="386">
        <f>'36. Generic chemical products'!W2</f>
        <v>0</v>
      </c>
      <c r="X23" s="386">
        <f>'36. Generic chemical products'!X2</f>
        <v>1.3016448977650344E-10</v>
      </c>
      <c r="Y23" s="386">
        <f>'36. Generic chemical products'!Y2</f>
        <v>1.1181204517092254</v>
      </c>
      <c r="Z23" s="386">
        <f>'36. Generic chemical products'!Z2</f>
        <v>78.957506928451508</v>
      </c>
      <c r="AA23" s="386" t="str">
        <f>'36. Generic chemical products'!AA2</f>
        <v>Roos 2017</v>
      </c>
      <c r="AB23" s="27">
        <f>$C$6*I23</f>
        <v>0</v>
      </c>
      <c r="AC23" s="467">
        <v>0</v>
      </c>
      <c r="AD23" s="24">
        <f>AB23*U23+AC23*W23</f>
        <v>0</v>
      </c>
      <c r="AE23" s="135">
        <f>AB23*V23+AC23*X23</f>
        <v>0</v>
      </c>
      <c r="AF23" s="24">
        <f>AB23*Y23+AC23*Z23</f>
        <v>0</v>
      </c>
      <c r="AG23" s="24">
        <f>AB23*U23</f>
        <v>0</v>
      </c>
      <c r="AH23" s="24">
        <f>AB23*V23</f>
        <v>0</v>
      </c>
      <c r="AI23" s="24">
        <f>AB23*Y23</f>
        <v>0</v>
      </c>
      <c r="AJ23" s="24">
        <f>AC23*W23</f>
        <v>0</v>
      </c>
      <c r="AK23" s="24">
        <f>AC23*X23</f>
        <v>0</v>
      </c>
      <c r="AL23" s="24">
        <f>AC23*Z23</f>
        <v>0</v>
      </c>
      <c r="AM23" s="161">
        <f>AG23+AJ23</f>
        <v>0</v>
      </c>
      <c r="AN23" s="157">
        <f t="shared" ref="AN23:AO25" si="0">AH23+AK23</f>
        <v>0</v>
      </c>
      <c r="AO23" s="162">
        <f t="shared" si="0"/>
        <v>0</v>
      </c>
    </row>
    <row r="24" spans="1:41" s="8" customFormat="1" ht="15" customHeight="1" x14ac:dyDescent="0.2">
      <c r="A24" s="54" t="str">
        <f>'36. Generic chemical products'!A3</f>
        <v>Lubricant, average (Albafluid CD)</v>
      </c>
      <c r="B24" s="54" t="str">
        <f>'36. Generic chemical products'!B3</f>
        <v>Acrylamide</v>
      </c>
      <c r="C24" s="54">
        <f>'36. Generic chemical products'!C3</f>
        <v>0</v>
      </c>
      <c r="D24" s="54">
        <f>'36. Generic chemical products'!D3</f>
        <v>0</v>
      </c>
      <c r="E24" s="54" t="str">
        <f>'36. Generic chemical products'!E3</f>
        <v>Breakdown product (Caulfield, 2002)</v>
      </c>
      <c r="F24" s="54">
        <f>'36. Generic chemical products'!F3</f>
        <v>0</v>
      </c>
      <c r="G24" s="54" t="str">
        <f>'36. Generic chemical products'!G3</f>
        <v>Acrylamide</v>
      </c>
      <c r="H24" s="54" t="str">
        <f>'36. Generic chemical products'!H3</f>
        <v>high. pop.</v>
      </c>
      <c r="I24" s="54">
        <f>'36. Generic chemical products'!I3</f>
        <v>3.0000000000000001E-6</v>
      </c>
      <c r="J24" s="54" t="str">
        <f>'36. Generic chemical products'!J3</f>
        <v>kg</v>
      </c>
      <c r="K24" s="54">
        <f>'36. Generic chemical products'!K3</f>
        <v>0</v>
      </c>
      <c r="L24" s="54">
        <f>'36. Generic chemical products'!L3</f>
        <v>0</v>
      </c>
      <c r="M24" s="54" t="str">
        <f>'36. Generic chemical products'!M3</f>
        <v>Acrylamide</v>
      </c>
      <c r="N24" s="54" t="str">
        <f>'36. Generic chemical products'!N3</f>
        <v>river</v>
      </c>
      <c r="O24" s="54">
        <f>'36. Generic chemical products'!O3</f>
        <v>3.0000000000000004E-5</v>
      </c>
      <c r="P24" s="54" t="str">
        <f>'36. Generic chemical products'!P3</f>
        <v>kg</v>
      </c>
      <c r="Q24" s="54" t="str">
        <f>'36. Generic chemical products'!Q3</f>
        <v xml:space="preserve">90% of reactive chemicals are degraded during operations. </v>
      </c>
      <c r="R24" s="54">
        <f>'36. Generic chemical products'!R3</f>
        <v>0</v>
      </c>
      <c r="S24" s="54">
        <f>'36. Generic chemical products'!S3</f>
        <v>0</v>
      </c>
      <c r="T24" s="54" t="str">
        <f>'36. Generic chemical products'!T3</f>
        <v>79-06-1</v>
      </c>
      <c r="U24" s="385">
        <f>'36. Generic chemical products'!U3</f>
        <v>3.0023364753950555E-5</v>
      </c>
      <c r="V24" s="385">
        <f>'36. Generic chemical products'!V3</f>
        <v>1.2481126126868064E-4</v>
      </c>
      <c r="W24" s="385">
        <f>'36. Generic chemical products'!W3</f>
        <v>1.1959264101490567E-5</v>
      </c>
      <c r="X24" s="385">
        <f>'36. Generic chemical products'!X3</f>
        <v>4.9716307568620708E-5</v>
      </c>
      <c r="Y24" s="385">
        <f>'36. Generic chemical products'!Y3</f>
        <v>10.037499181426883</v>
      </c>
      <c r="Z24" s="385">
        <f>'36. Generic chemical products'!Z3</f>
        <v>119.14199796898779</v>
      </c>
      <c r="AA24" s="385" t="str">
        <f>'36. Generic chemical products'!AA3</f>
        <v>USEtox</v>
      </c>
      <c r="AB24" s="27">
        <f>$C$6*I24</f>
        <v>2.4000000000000003E-7</v>
      </c>
      <c r="AC24" s="468">
        <v>0</v>
      </c>
      <c r="AD24" s="135">
        <f t="shared" ref="AD24:AD25" si="1">AB24*U24+AC24*W24</f>
        <v>7.2056075409481337E-12</v>
      </c>
      <c r="AE24" s="135">
        <f t="shared" ref="AE24:AE25" si="2">AB24*V24+AC24*X24</f>
        <v>2.9954702704483359E-11</v>
      </c>
      <c r="AF24" s="24">
        <f t="shared" ref="AF24:AF25" si="3">AB24*Y24+AC24*Z24</f>
        <v>2.4089998035424521E-6</v>
      </c>
      <c r="AG24" s="24">
        <f t="shared" ref="AG24:AG25" si="4">AB24*U24</f>
        <v>7.2056075409481337E-12</v>
      </c>
      <c r="AH24" s="24">
        <f t="shared" ref="AH24:AH25" si="5">AB24*V24</f>
        <v>2.9954702704483359E-11</v>
      </c>
      <c r="AI24" s="24">
        <f t="shared" ref="AI24:AI25" si="6">AB24*Y24</f>
        <v>2.4089998035424521E-6</v>
      </c>
      <c r="AJ24" s="24">
        <f t="shared" ref="AJ24:AJ25" si="7">AC24*W24</f>
        <v>0</v>
      </c>
      <c r="AK24" s="24">
        <f t="shared" ref="AK24:AK25" si="8">AC24*X24</f>
        <v>0</v>
      </c>
      <c r="AL24" s="24">
        <f t="shared" ref="AL24:AL25" si="9">AC24*Z24</f>
        <v>0</v>
      </c>
      <c r="AM24" s="161">
        <f t="shared" ref="AM24:AM25" si="10">AG24+AJ24</f>
        <v>7.2056075409481337E-12</v>
      </c>
      <c r="AN24" s="157">
        <f t="shared" si="0"/>
        <v>2.9954702704483359E-11</v>
      </c>
      <c r="AO24" s="162">
        <f t="shared" si="0"/>
        <v>2.4089998035424521E-6</v>
      </c>
    </row>
    <row r="25" spans="1:41" s="49" customFormat="1" ht="15" customHeight="1" x14ac:dyDescent="0.2">
      <c r="A25" s="141" t="str">
        <f>'36. Generic chemical products'!A4</f>
        <v>Lubricant, average (Albafluid CD)</v>
      </c>
      <c r="B25" s="141">
        <f>'36. Generic chemical products'!B4</f>
        <v>0</v>
      </c>
      <c r="C25" s="141">
        <f>'36. Generic chemical products'!C4</f>
        <v>0</v>
      </c>
      <c r="D25" s="141">
        <f>'36. Generic chemical products'!D4</f>
        <v>0</v>
      </c>
      <c r="E25" s="141" t="str">
        <f>'36. Generic chemical products'!E4</f>
        <v>Common breakdown product of of acrylics, 0.001 % assumed</v>
      </c>
      <c r="F25" s="141">
        <f>'36. Generic chemical products'!F4</f>
        <v>0</v>
      </c>
      <c r="G25" s="141" t="str">
        <f>'36. Generic chemical products'!G4</f>
        <v>Formaldehyde</v>
      </c>
      <c r="H25" s="141" t="str">
        <f>'36. Generic chemical products'!H4</f>
        <v>high. pop.</v>
      </c>
      <c r="I25" s="141">
        <f>'36. Generic chemical products'!I4</f>
        <v>2.9999999999999999E-7</v>
      </c>
      <c r="J25" s="141" t="str">
        <f>'36. Generic chemical products'!J4</f>
        <v>kg</v>
      </c>
      <c r="K25" s="141">
        <f>'36. Generic chemical products'!K4</f>
        <v>0</v>
      </c>
      <c r="L25" s="141">
        <f>'36. Generic chemical products'!L4</f>
        <v>0</v>
      </c>
      <c r="M25" s="141" t="str">
        <f>'36. Generic chemical products'!M4</f>
        <v>Formaldehyde</v>
      </c>
      <c r="N25" s="141" t="str">
        <f>'36. Generic chemical products'!N4</f>
        <v>river</v>
      </c>
      <c r="O25" s="141">
        <f>'36. Generic chemical products'!O4</f>
        <v>3.0000000000000001E-6</v>
      </c>
      <c r="P25" s="141" t="str">
        <f>'36. Generic chemical products'!P4</f>
        <v>kg</v>
      </c>
      <c r="Q25" s="141" t="str">
        <f>'36. Generic chemical products'!Q4</f>
        <v xml:space="preserve">0.1 % of the content is degraded to common breakdown products. 90% of reactive chemicals are degraded during operations. </v>
      </c>
      <c r="R25" s="141">
        <f>'36. Generic chemical products'!R4</f>
        <v>0</v>
      </c>
      <c r="S25" s="141">
        <f>'36. Generic chemical products'!S4</f>
        <v>0</v>
      </c>
      <c r="T25" s="141" t="str">
        <f>'36. Generic chemical products'!T4</f>
        <v>50-00-0</v>
      </c>
      <c r="U25" s="388">
        <f>'36. Generic chemical products'!U4</f>
        <v>2.5208446330720887E-5</v>
      </c>
      <c r="V25" s="388">
        <f>'36. Generic chemical products'!V4</f>
        <v>2.6504960021309262E-7</v>
      </c>
      <c r="W25" s="388">
        <f>'36. Generic chemical products'!W4</f>
        <v>1.4222228897488039E-7</v>
      </c>
      <c r="X25" s="388">
        <f>'36. Generic chemical products'!X4</f>
        <v>3.170874313501273E-7</v>
      </c>
      <c r="Y25" s="388">
        <f>'36. Generic chemical products'!Y4</f>
        <v>17.989178582912412</v>
      </c>
      <c r="Z25" s="388">
        <f>'36. Generic chemical products'!Z4</f>
        <v>290.05086067463066</v>
      </c>
      <c r="AA25" s="388" t="str">
        <f>'36. Generic chemical products'!AA4</f>
        <v>USEtox</v>
      </c>
      <c r="AB25" s="28">
        <f>$C$6*I25</f>
        <v>2.4E-8</v>
      </c>
      <c r="AC25" s="469">
        <v>0</v>
      </c>
      <c r="AD25" s="147">
        <f t="shared" si="1"/>
        <v>6.050027119373013E-13</v>
      </c>
      <c r="AE25" s="147">
        <f t="shared" si="2"/>
        <v>6.3611904051142226E-15</v>
      </c>
      <c r="AF25" s="25">
        <f t="shared" si="3"/>
        <v>4.3174028598989792E-7</v>
      </c>
      <c r="AG25" s="25">
        <f t="shared" si="4"/>
        <v>6.050027119373013E-13</v>
      </c>
      <c r="AH25" s="25">
        <f t="shared" si="5"/>
        <v>6.3611904051142226E-15</v>
      </c>
      <c r="AI25" s="25">
        <f t="shared" si="6"/>
        <v>4.3174028598989792E-7</v>
      </c>
      <c r="AJ25" s="25">
        <f t="shared" si="7"/>
        <v>0</v>
      </c>
      <c r="AK25" s="25">
        <f t="shared" si="8"/>
        <v>0</v>
      </c>
      <c r="AL25" s="25">
        <f t="shared" si="9"/>
        <v>0</v>
      </c>
      <c r="AM25" s="163">
        <f t="shared" si="10"/>
        <v>6.050027119373013E-13</v>
      </c>
      <c r="AN25" s="164">
        <f t="shared" si="0"/>
        <v>6.3611904051142226E-15</v>
      </c>
      <c r="AO25" s="165">
        <f t="shared" si="0"/>
        <v>4.3174028598989792E-7</v>
      </c>
    </row>
    <row r="26" spans="1:41" x14ac:dyDescent="0.2">
      <c r="AD26" s="177">
        <f>SUM(AD23:AD25)</f>
        <v>7.8106102528854355E-12</v>
      </c>
      <c r="AE26" s="177">
        <f t="shared" ref="AE26:AF26" si="11">SUM(AE23:AE25)</f>
        <v>2.9961063894888472E-11</v>
      </c>
      <c r="AF26" s="177">
        <f t="shared" si="11"/>
        <v>2.8407400895323498E-6</v>
      </c>
    </row>
    <row r="27" spans="1:41" x14ac:dyDescent="0.2">
      <c r="A27" s="47" t="s">
        <v>736</v>
      </c>
    </row>
    <row r="30" spans="1:41" x14ac:dyDescent="0.2">
      <c r="AE30" s="40"/>
    </row>
    <row r="31" spans="1:41" x14ac:dyDescent="0.2">
      <c r="A31" s="35" t="s">
        <v>687</v>
      </c>
      <c r="AE31" s="40"/>
    </row>
    <row r="32" spans="1:41" x14ac:dyDescent="0.2">
      <c r="A32" t="s">
        <v>1068</v>
      </c>
      <c r="AD32" s="40"/>
      <c r="AE32" s="40"/>
      <c r="AF32" s="40"/>
    </row>
    <row r="33" spans="1:32" x14ac:dyDescent="0.2">
      <c r="A33" t="s">
        <v>1069</v>
      </c>
      <c r="AD33" s="40"/>
      <c r="AE33" s="40"/>
    </row>
    <row r="34" spans="1:32" x14ac:dyDescent="0.2">
      <c r="A34" t="s">
        <v>1083</v>
      </c>
      <c r="AE34" s="40"/>
      <c r="AF34" s="40"/>
    </row>
    <row r="35" spans="1:32" x14ac:dyDescent="0.2">
      <c r="A35" t="s">
        <v>1087</v>
      </c>
    </row>
    <row r="36" spans="1:32" x14ac:dyDescent="0.2">
      <c r="A36" t="s">
        <v>1070</v>
      </c>
    </row>
    <row r="37" spans="1:32" x14ac:dyDescent="0.2">
      <c r="A37" t="s">
        <v>1071</v>
      </c>
    </row>
    <row r="38" spans="1:32" x14ac:dyDescent="0.2">
      <c r="A38" t="s">
        <v>1072</v>
      </c>
    </row>
    <row r="39" spans="1:32" x14ac:dyDescent="0.2">
      <c r="A39" t="s">
        <v>1073</v>
      </c>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42"/>
  <sheetViews>
    <sheetView zoomScale="60" zoomScaleNormal="60" workbookViewId="0">
      <selection activeCell="K7" sqref="K7:L7"/>
    </sheetView>
  </sheetViews>
  <sheetFormatPr defaultRowHeight="12.75" x14ac:dyDescent="0.2"/>
  <cols>
    <col min="1" max="1" width="69.42578125" customWidth="1"/>
    <col min="5" max="5" width="11" customWidth="1"/>
    <col min="32" max="32" width="9.85546875" bestFit="1" customWidth="1"/>
  </cols>
  <sheetData>
    <row r="1" spans="1:33" ht="16.5" thickBot="1" x14ac:dyDescent="0.3">
      <c r="A1" s="82" t="s">
        <v>841</v>
      </c>
      <c r="B1" s="83"/>
      <c r="C1" s="83" t="s">
        <v>217</v>
      </c>
      <c r="D1" s="83" t="s">
        <v>11</v>
      </c>
      <c r="E1" s="84" t="s">
        <v>180</v>
      </c>
      <c r="F1" s="34"/>
      <c r="G1" s="92" t="s">
        <v>842</v>
      </c>
      <c r="H1" s="93"/>
      <c r="I1" s="93" t="s">
        <v>217</v>
      </c>
      <c r="J1" s="93" t="s">
        <v>11</v>
      </c>
      <c r="K1" s="94" t="s">
        <v>180</v>
      </c>
      <c r="L1" s="34"/>
      <c r="M1" s="95" t="s">
        <v>843</v>
      </c>
      <c r="N1" s="96"/>
      <c r="O1" s="97" t="s">
        <v>217</v>
      </c>
      <c r="P1" s="97" t="s">
        <v>11</v>
      </c>
      <c r="Q1" s="98" t="s">
        <v>180</v>
      </c>
      <c r="R1" s="34"/>
      <c r="S1" s="44" t="s">
        <v>844</v>
      </c>
      <c r="T1" s="45"/>
      <c r="U1" s="45" t="s">
        <v>217</v>
      </c>
      <c r="V1" s="45" t="s">
        <v>11</v>
      </c>
      <c r="W1" s="46" t="s">
        <v>180</v>
      </c>
      <c r="X1" s="34"/>
      <c r="Y1" s="41" t="s">
        <v>845</v>
      </c>
      <c r="Z1" s="42"/>
      <c r="AA1" s="42" t="s">
        <v>217</v>
      </c>
      <c r="AB1" s="42" t="s">
        <v>11</v>
      </c>
      <c r="AC1" s="43" t="s">
        <v>180</v>
      </c>
      <c r="AD1" s="40"/>
      <c r="AE1" s="40"/>
      <c r="AF1" s="48" t="s">
        <v>710</v>
      </c>
      <c r="AG1" s="40"/>
    </row>
    <row r="2" spans="1:33"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E2" s="40"/>
      <c r="AF2" s="226" t="s">
        <v>954</v>
      </c>
      <c r="AG2" s="40" t="s">
        <v>916</v>
      </c>
    </row>
    <row r="3" spans="1:33" x14ac:dyDescent="0.2">
      <c r="A3" s="88" t="s">
        <v>511</v>
      </c>
      <c r="B3" s="89"/>
      <c r="C3" s="89">
        <v>1</v>
      </c>
      <c r="D3" s="89" t="s">
        <v>2</v>
      </c>
      <c r="E3" s="90"/>
      <c r="F3" s="34"/>
      <c r="G3" s="88" t="s">
        <v>511</v>
      </c>
      <c r="H3" s="89"/>
      <c r="I3" s="89">
        <v>1</v>
      </c>
      <c r="J3" s="89" t="s">
        <v>2</v>
      </c>
      <c r="K3" s="90"/>
      <c r="L3" s="34"/>
      <c r="M3" s="88" t="s">
        <v>511</v>
      </c>
      <c r="N3" s="89"/>
      <c r="O3" s="89">
        <v>1</v>
      </c>
      <c r="P3" s="89" t="s">
        <v>2</v>
      </c>
      <c r="Q3" s="90"/>
      <c r="R3" s="34"/>
      <c r="S3" s="88" t="s">
        <v>511</v>
      </c>
      <c r="T3" s="89"/>
      <c r="U3" s="89">
        <v>1</v>
      </c>
      <c r="V3" s="89" t="s">
        <v>2</v>
      </c>
      <c r="W3" s="90"/>
      <c r="X3" s="34"/>
      <c r="Y3" s="88" t="s">
        <v>511</v>
      </c>
      <c r="Z3" s="89"/>
      <c r="AA3" s="89">
        <v>1</v>
      </c>
      <c r="AB3" s="89" t="s">
        <v>2</v>
      </c>
      <c r="AC3" s="90"/>
      <c r="AD3" s="40"/>
      <c r="AE3" s="40" t="s">
        <v>260</v>
      </c>
      <c r="AF3" s="226">
        <v>10.088492464620799</v>
      </c>
      <c r="AG3" s="40"/>
    </row>
    <row r="4" spans="1:33" x14ac:dyDescent="0.2">
      <c r="A4" s="85" t="s">
        <v>187</v>
      </c>
      <c r="B4" s="89"/>
      <c r="C4" s="89"/>
      <c r="D4" s="89"/>
      <c r="E4" s="90"/>
      <c r="F4" s="35"/>
      <c r="G4" s="85" t="s">
        <v>187</v>
      </c>
      <c r="H4" s="89"/>
      <c r="I4" s="89"/>
      <c r="J4" s="89"/>
      <c r="K4" s="90"/>
      <c r="L4" s="35"/>
      <c r="M4" s="85" t="s">
        <v>187</v>
      </c>
      <c r="N4" s="89"/>
      <c r="O4" s="89"/>
      <c r="P4" s="89"/>
      <c r="Q4" s="90"/>
      <c r="R4" s="35"/>
      <c r="S4" s="85" t="s">
        <v>187</v>
      </c>
      <c r="T4" s="89"/>
      <c r="U4" s="89"/>
      <c r="V4" s="89"/>
      <c r="W4" s="90"/>
      <c r="X4" s="35"/>
      <c r="Y4" s="85" t="s">
        <v>187</v>
      </c>
      <c r="Z4" s="89"/>
      <c r="AA4" s="89"/>
      <c r="AB4" s="89"/>
      <c r="AC4" s="90"/>
      <c r="AD4" s="99"/>
      <c r="AE4" s="40" t="s">
        <v>261</v>
      </c>
      <c r="AF4" s="226">
        <v>1.2254527914467E-3</v>
      </c>
      <c r="AG4" s="99"/>
    </row>
    <row r="5" spans="1:33" x14ac:dyDescent="0.2">
      <c r="A5" s="88" t="s">
        <v>483</v>
      </c>
      <c r="B5" s="89"/>
      <c r="C5" s="89">
        <v>3.0499999999999999E-2</v>
      </c>
      <c r="D5" s="89" t="s">
        <v>2</v>
      </c>
      <c r="E5" s="90" t="s">
        <v>179</v>
      </c>
      <c r="F5" s="34" t="s">
        <v>179</v>
      </c>
      <c r="G5" s="88" t="s">
        <v>483</v>
      </c>
      <c r="H5" s="89"/>
      <c r="I5" s="89">
        <v>3.0499999999999999E-2</v>
      </c>
      <c r="J5" s="89" t="s">
        <v>2</v>
      </c>
      <c r="K5" s="90" t="s">
        <v>179</v>
      </c>
      <c r="L5" s="34"/>
      <c r="M5" s="88" t="s">
        <v>483</v>
      </c>
      <c r="N5" s="89"/>
      <c r="O5" s="89">
        <v>3.0499999999999999E-2</v>
      </c>
      <c r="P5" s="89" t="s">
        <v>2</v>
      </c>
      <c r="Q5" s="90" t="s">
        <v>179</v>
      </c>
      <c r="R5" s="34"/>
      <c r="S5" s="88" t="s">
        <v>483</v>
      </c>
      <c r="T5" s="89"/>
      <c r="U5" s="89">
        <v>3.0499999999999999E-2</v>
      </c>
      <c r="V5" s="89" t="s">
        <v>2</v>
      </c>
      <c r="W5" s="90" t="s">
        <v>179</v>
      </c>
      <c r="X5" s="34"/>
      <c r="Y5" s="88" t="s">
        <v>483</v>
      </c>
      <c r="Z5" s="89"/>
      <c r="AA5" s="89">
        <v>3.0499999999999999E-2</v>
      </c>
      <c r="AB5" s="89" t="s">
        <v>2</v>
      </c>
      <c r="AC5" s="90" t="s">
        <v>179</v>
      </c>
      <c r="AD5" s="40"/>
      <c r="AE5" s="40" t="s">
        <v>262</v>
      </c>
      <c r="AF5" s="226">
        <v>9.3617612467263106E-2</v>
      </c>
      <c r="AG5" s="40"/>
    </row>
    <row r="6" spans="1:33" x14ac:dyDescent="0.2">
      <c r="A6" s="85" t="s">
        <v>205</v>
      </c>
      <c r="B6" s="89"/>
      <c r="C6" s="89"/>
      <c r="D6" s="89"/>
      <c r="E6" s="91"/>
      <c r="G6" s="85" t="s">
        <v>205</v>
      </c>
      <c r="H6" s="89"/>
      <c r="I6" s="89"/>
      <c r="J6" s="89"/>
      <c r="K6" s="91"/>
      <c r="M6" s="85" t="s">
        <v>205</v>
      </c>
      <c r="N6" s="89"/>
      <c r="O6" s="89"/>
      <c r="P6" s="89"/>
      <c r="Q6" s="91"/>
      <c r="S6" s="85" t="s">
        <v>205</v>
      </c>
      <c r="T6" s="89"/>
      <c r="U6" s="89"/>
      <c r="V6" s="89"/>
      <c r="W6" s="91"/>
      <c r="Y6" s="85" t="s">
        <v>205</v>
      </c>
      <c r="Z6" s="89"/>
      <c r="AA6" s="89"/>
      <c r="AB6" s="89"/>
      <c r="AC6" s="91"/>
      <c r="AE6" s="40" t="s">
        <v>263</v>
      </c>
      <c r="AF6" s="226">
        <v>3.3569280143547799E-2</v>
      </c>
    </row>
    <row r="7" spans="1:33" x14ac:dyDescent="0.2">
      <c r="A7" s="88" t="s">
        <v>206</v>
      </c>
      <c r="B7" s="89"/>
      <c r="C7" s="89">
        <v>9.8699999999999992</v>
      </c>
      <c r="D7" s="89" t="s">
        <v>207</v>
      </c>
      <c r="E7" s="213" t="s">
        <v>1076</v>
      </c>
      <c r="G7" s="88" t="s">
        <v>206</v>
      </c>
      <c r="H7" s="89"/>
      <c r="I7" s="89">
        <v>2.08</v>
      </c>
      <c r="J7" s="89" t="s">
        <v>207</v>
      </c>
      <c r="K7" s="213" t="s">
        <v>1093</v>
      </c>
      <c r="L7" t="s">
        <v>87</v>
      </c>
      <c r="M7" s="88" t="s">
        <v>206</v>
      </c>
      <c r="N7" s="89"/>
      <c r="O7" s="89">
        <v>10.88</v>
      </c>
      <c r="P7" s="89" t="s">
        <v>207</v>
      </c>
      <c r="Q7" s="213" t="s">
        <v>1080</v>
      </c>
      <c r="R7" t="s">
        <v>87</v>
      </c>
      <c r="S7" s="88" t="s">
        <v>206</v>
      </c>
      <c r="T7" s="89"/>
      <c r="U7" s="89">
        <v>9.8699999999999992</v>
      </c>
      <c r="V7" s="89" t="s">
        <v>207</v>
      </c>
      <c r="W7" s="91" t="s">
        <v>179</v>
      </c>
      <c r="Y7" s="88" t="s">
        <v>206</v>
      </c>
      <c r="Z7" s="89"/>
      <c r="AA7" s="89">
        <v>9.8699999999999992</v>
      </c>
      <c r="AB7" s="89" t="s">
        <v>207</v>
      </c>
      <c r="AC7" s="91" t="s">
        <v>179</v>
      </c>
      <c r="AE7" s="40" t="s">
        <v>264</v>
      </c>
      <c r="AF7" s="5">
        <v>4.4223686507606101E-2</v>
      </c>
    </row>
    <row r="8" spans="1:33" ht="15" x14ac:dyDescent="0.2">
      <c r="A8" s="88" t="s">
        <v>517</v>
      </c>
      <c r="B8" s="89"/>
      <c r="C8" s="89">
        <v>0</v>
      </c>
      <c r="D8" s="89" t="s">
        <v>185</v>
      </c>
      <c r="E8" s="91"/>
      <c r="G8" s="88" t="s">
        <v>517</v>
      </c>
      <c r="H8" s="89"/>
      <c r="I8" s="89">
        <v>25</v>
      </c>
      <c r="J8" s="89" t="s">
        <v>185</v>
      </c>
      <c r="K8" s="91"/>
      <c r="M8" s="88" t="s">
        <v>517</v>
      </c>
      <c r="N8" s="89"/>
      <c r="O8" s="89">
        <v>0</v>
      </c>
      <c r="P8" s="89" t="s">
        <v>185</v>
      </c>
      <c r="Q8" s="91"/>
      <c r="S8" s="88" t="s">
        <v>517</v>
      </c>
      <c r="T8" s="89"/>
      <c r="U8" s="89">
        <v>0</v>
      </c>
      <c r="V8" s="89" t="s">
        <v>185</v>
      </c>
      <c r="W8" s="91"/>
      <c r="Y8" s="88" t="s">
        <v>517</v>
      </c>
      <c r="Z8" s="89"/>
      <c r="AA8" s="89">
        <v>0</v>
      </c>
      <c r="AB8" s="89" t="s">
        <v>185</v>
      </c>
      <c r="AC8" s="91"/>
      <c r="AE8" s="40" t="s">
        <v>675</v>
      </c>
      <c r="AF8" s="5">
        <v>6.5027752178379297</v>
      </c>
    </row>
    <row r="9" spans="1:33" x14ac:dyDescent="0.2">
      <c r="A9" s="85" t="s">
        <v>212</v>
      </c>
      <c r="B9" s="89"/>
      <c r="C9" s="89"/>
      <c r="D9" s="89"/>
      <c r="E9" s="90"/>
      <c r="G9" s="85" t="s">
        <v>212</v>
      </c>
      <c r="H9" s="89"/>
      <c r="I9" s="89"/>
      <c r="J9" s="89"/>
      <c r="K9" s="90"/>
      <c r="M9" s="85" t="s">
        <v>212</v>
      </c>
      <c r="N9" s="89"/>
      <c r="O9" s="89"/>
      <c r="P9" s="89"/>
      <c r="Q9" s="90"/>
      <c r="S9" s="85" t="s">
        <v>212</v>
      </c>
      <c r="T9" s="89"/>
      <c r="U9" s="89"/>
      <c r="V9" s="89"/>
      <c r="W9" s="90"/>
      <c r="Y9" s="85" t="s">
        <v>212</v>
      </c>
      <c r="Z9" s="89"/>
      <c r="AA9" s="89"/>
      <c r="AB9" s="89"/>
      <c r="AC9" s="90"/>
      <c r="AE9" s="40" t="s">
        <v>266</v>
      </c>
      <c r="AF9" s="5">
        <v>1.2804011523833301E-6</v>
      </c>
      <c r="AG9" s="4"/>
    </row>
    <row r="10" spans="1:33" ht="13.5" thickBot="1" x14ac:dyDescent="0.25">
      <c r="A10" s="100" t="s">
        <v>485</v>
      </c>
      <c r="B10" s="101"/>
      <c r="C10" s="101">
        <v>5.0000000000000001E-3</v>
      </c>
      <c r="D10" s="101" t="s">
        <v>2</v>
      </c>
      <c r="E10" s="112" t="s">
        <v>509</v>
      </c>
      <c r="G10" s="100" t="s">
        <v>485</v>
      </c>
      <c r="H10" s="101"/>
      <c r="I10" s="101">
        <v>5.0000000000000001E-3</v>
      </c>
      <c r="J10" s="101" t="s">
        <v>2</v>
      </c>
      <c r="K10" s="112" t="s">
        <v>509</v>
      </c>
      <c r="M10" s="100" t="s">
        <v>485</v>
      </c>
      <c r="N10" s="101"/>
      <c r="O10" s="101">
        <v>5.0000000000000001E-3</v>
      </c>
      <c r="P10" s="101" t="s">
        <v>2</v>
      </c>
      <c r="Q10" s="112" t="s">
        <v>509</v>
      </c>
      <c r="S10" s="100" t="s">
        <v>485</v>
      </c>
      <c r="T10" s="101"/>
      <c r="U10" s="101">
        <v>5.0000000000000001E-3</v>
      </c>
      <c r="V10" s="101" t="s">
        <v>2</v>
      </c>
      <c r="W10" s="112" t="s">
        <v>509</v>
      </c>
      <c r="Y10" s="100" t="s">
        <v>485</v>
      </c>
      <c r="Z10" s="101"/>
      <c r="AA10" s="101">
        <v>5.0000000000000001E-3</v>
      </c>
      <c r="AB10" s="101" t="s">
        <v>2</v>
      </c>
      <c r="AC10" s="112" t="s">
        <v>509</v>
      </c>
      <c r="AE10" s="40" t="s">
        <v>267</v>
      </c>
      <c r="AF10" s="5">
        <v>2.55995960239161E-7</v>
      </c>
      <c r="AG10" s="4"/>
    </row>
    <row r="11" spans="1:33" x14ac:dyDescent="0.2">
      <c r="AE11" s="40" t="s">
        <v>268</v>
      </c>
      <c r="AF11" s="5">
        <v>20.147023811767198</v>
      </c>
      <c r="AG11" s="4"/>
    </row>
    <row r="12" spans="1:33" x14ac:dyDescent="0.2">
      <c r="A12" s="89" t="s">
        <v>1090</v>
      </c>
      <c r="AE12" s="40"/>
    </row>
    <row r="33" spans="1:1" x14ac:dyDescent="0.2">
      <c r="A33" s="35" t="s">
        <v>687</v>
      </c>
    </row>
    <row r="34" spans="1:1" x14ac:dyDescent="0.2">
      <c r="A34" t="s">
        <v>1068</v>
      </c>
    </row>
    <row r="35" spans="1:1" x14ac:dyDescent="0.2">
      <c r="A35" t="s">
        <v>1069</v>
      </c>
    </row>
    <row r="36" spans="1:1" x14ac:dyDescent="0.2">
      <c r="A36" t="s">
        <v>1083</v>
      </c>
    </row>
    <row r="37" spans="1:1" x14ac:dyDescent="0.2">
      <c r="A37" t="s">
        <v>1092</v>
      </c>
    </row>
    <row r="38" spans="1:1" x14ac:dyDescent="0.2">
      <c r="A38" t="s">
        <v>1087</v>
      </c>
    </row>
    <row r="39" spans="1:1" x14ac:dyDescent="0.2">
      <c r="A39" t="s">
        <v>1091</v>
      </c>
    </row>
    <row r="40" spans="1:1" x14ac:dyDescent="0.2">
      <c r="A40" t="s">
        <v>1070</v>
      </c>
    </row>
    <row r="41" spans="1:1" x14ac:dyDescent="0.2">
      <c r="A41" t="s">
        <v>1071</v>
      </c>
    </row>
    <row r="42" spans="1:1" x14ac:dyDescent="0.2">
      <c r="A42" t="s">
        <v>1072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43"/>
  <sheetViews>
    <sheetView zoomScale="60" zoomScaleNormal="60" workbookViewId="0">
      <selection activeCell="K15" sqref="K15"/>
    </sheetView>
  </sheetViews>
  <sheetFormatPr defaultRowHeight="12.75" x14ac:dyDescent="0.2"/>
  <cols>
    <col min="1" max="1" width="70.7109375" customWidth="1"/>
    <col min="5" max="5" width="11" customWidth="1"/>
    <col min="32" max="32" width="10.140625" bestFit="1" customWidth="1"/>
  </cols>
  <sheetData>
    <row r="1" spans="1:33" ht="16.5" thickBot="1" x14ac:dyDescent="0.3">
      <c r="A1" s="82" t="s">
        <v>846</v>
      </c>
      <c r="B1" s="83"/>
      <c r="C1" s="83" t="s">
        <v>217</v>
      </c>
      <c r="D1" s="83" t="s">
        <v>11</v>
      </c>
      <c r="E1" s="84" t="s">
        <v>180</v>
      </c>
      <c r="F1" s="34"/>
      <c r="G1" s="92" t="s">
        <v>847</v>
      </c>
      <c r="H1" s="93"/>
      <c r="I1" s="93" t="s">
        <v>217</v>
      </c>
      <c r="J1" s="93" t="s">
        <v>11</v>
      </c>
      <c r="K1" s="94" t="s">
        <v>180</v>
      </c>
      <c r="L1" s="34"/>
      <c r="M1" s="95" t="s">
        <v>848</v>
      </c>
      <c r="N1" s="96"/>
      <c r="O1" s="97" t="s">
        <v>217</v>
      </c>
      <c r="P1" s="97" t="s">
        <v>11</v>
      </c>
      <c r="Q1" s="98" t="s">
        <v>180</v>
      </c>
      <c r="R1" s="34"/>
      <c r="S1" s="44" t="s">
        <v>849</v>
      </c>
      <c r="T1" s="45"/>
      <c r="U1" s="45" t="s">
        <v>217</v>
      </c>
      <c r="V1" s="45" t="s">
        <v>11</v>
      </c>
      <c r="W1" s="46" t="s">
        <v>180</v>
      </c>
      <c r="X1" s="34"/>
      <c r="Y1" s="41" t="s">
        <v>850</v>
      </c>
      <c r="Z1" s="42"/>
      <c r="AA1" s="42" t="s">
        <v>217</v>
      </c>
      <c r="AB1" s="42" t="s">
        <v>11</v>
      </c>
      <c r="AC1" s="43" t="s">
        <v>180</v>
      </c>
      <c r="AD1" s="40"/>
      <c r="AE1" s="40"/>
      <c r="AF1" s="48" t="s">
        <v>710</v>
      </c>
      <c r="AG1" s="40"/>
    </row>
    <row r="2" spans="1:33"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E2" s="40"/>
      <c r="AF2" s="226" t="s">
        <v>955</v>
      </c>
      <c r="AG2" s="40" t="s">
        <v>916</v>
      </c>
    </row>
    <row r="3" spans="1:33" x14ac:dyDescent="0.2">
      <c r="A3" s="88" t="s">
        <v>511</v>
      </c>
      <c r="B3" s="89"/>
      <c r="C3" s="89">
        <v>1</v>
      </c>
      <c r="D3" s="89" t="s">
        <v>2</v>
      </c>
      <c r="E3" s="90"/>
      <c r="F3" s="34"/>
      <c r="G3" s="88" t="s">
        <v>511</v>
      </c>
      <c r="H3" s="89"/>
      <c r="I3" s="89">
        <v>1</v>
      </c>
      <c r="J3" s="89" t="s">
        <v>2</v>
      </c>
      <c r="K3" s="90"/>
      <c r="L3" s="34"/>
      <c r="M3" s="88" t="s">
        <v>511</v>
      </c>
      <c r="N3" s="89"/>
      <c r="O3" s="89">
        <v>1</v>
      </c>
      <c r="P3" s="89" t="s">
        <v>2</v>
      </c>
      <c r="Q3" s="90"/>
      <c r="R3" s="34"/>
      <c r="S3" s="88" t="s">
        <v>511</v>
      </c>
      <c r="T3" s="89"/>
      <c r="U3" s="89">
        <v>1</v>
      </c>
      <c r="V3" s="89" t="s">
        <v>2</v>
      </c>
      <c r="W3" s="90"/>
      <c r="X3" s="34"/>
      <c r="Y3" s="88" t="s">
        <v>511</v>
      </c>
      <c r="Z3" s="89"/>
      <c r="AA3" s="89">
        <v>1</v>
      </c>
      <c r="AB3" s="89" t="s">
        <v>2</v>
      </c>
      <c r="AC3" s="90"/>
      <c r="AD3" s="40"/>
      <c r="AE3" s="40" t="s">
        <v>260</v>
      </c>
      <c r="AF3" s="226">
        <v>5.08101437467091</v>
      </c>
      <c r="AG3" s="40"/>
    </row>
    <row r="4" spans="1:33" x14ac:dyDescent="0.2">
      <c r="A4" s="85" t="s">
        <v>187</v>
      </c>
      <c r="B4" s="89"/>
      <c r="C4" s="89"/>
      <c r="D4" s="89"/>
      <c r="E4" s="90"/>
      <c r="F4" s="35"/>
      <c r="G4" s="85" t="s">
        <v>187</v>
      </c>
      <c r="H4" s="89"/>
      <c r="I4" s="89"/>
      <c r="J4" s="89"/>
      <c r="K4" s="90"/>
      <c r="L4" s="35"/>
      <c r="M4" s="85" t="s">
        <v>187</v>
      </c>
      <c r="N4" s="89"/>
      <c r="O4" s="89"/>
      <c r="P4" s="89"/>
      <c r="Q4" s="90"/>
      <c r="R4" s="35"/>
      <c r="S4" s="85" t="s">
        <v>187</v>
      </c>
      <c r="T4" s="89"/>
      <c r="U4" s="89"/>
      <c r="V4" s="89"/>
      <c r="W4" s="90"/>
      <c r="X4" s="35"/>
      <c r="Y4" s="85" t="s">
        <v>187</v>
      </c>
      <c r="Z4" s="89"/>
      <c r="AA4" s="89"/>
      <c r="AB4" s="89"/>
      <c r="AC4" s="90"/>
      <c r="AD4" s="99"/>
      <c r="AE4" s="40" t="s">
        <v>261</v>
      </c>
      <c r="AF4" s="226">
        <v>6.25595671639287E-4</v>
      </c>
      <c r="AG4" s="99"/>
    </row>
    <row r="5" spans="1:33" x14ac:dyDescent="0.2">
      <c r="A5" s="88" t="s">
        <v>483</v>
      </c>
      <c r="B5" s="89"/>
      <c r="C5" s="89">
        <v>3.0499999999999999E-2</v>
      </c>
      <c r="D5" s="89" t="s">
        <v>2</v>
      </c>
      <c r="E5" s="90" t="s">
        <v>179</v>
      </c>
      <c r="F5" s="34" t="s">
        <v>179</v>
      </c>
      <c r="G5" s="88" t="s">
        <v>483</v>
      </c>
      <c r="H5" s="89"/>
      <c r="I5" s="89">
        <v>3.0499999999999999E-2</v>
      </c>
      <c r="J5" s="89" t="s">
        <v>2</v>
      </c>
      <c r="K5" s="90" t="s">
        <v>179</v>
      </c>
      <c r="L5" s="34"/>
      <c r="M5" s="88" t="s">
        <v>483</v>
      </c>
      <c r="N5" s="89"/>
      <c r="O5" s="89">
        <v>3.0499999999999999E-2</v>
      </c>
      <c r="P5" s="89" t="s">
        <v>2</v>
      </c>
      <c r="Q5" s="90" t="s">
        <v>179</v>
      </c>
      <c r="R5" s="34"/>
      <c r="S5" s="88" t="s">
        <v>483</v>
      </c>
      <c r="T5" s="89"/>
      <c r="U5" s="89">
        <v>3.0499999999999999E-2</v>
      </c>
      <c r="V5" s="89" t="s">
        <v>2</v>
      </c>
      <c r="W5" s="90" t="s">
        <v>179</v>
      </c>
      <c r="X5" s="34"/>
      <c r="Y5" s="88" t="s">
        <v>483</v>
      </c>
      <c r="Z5" s="89"/>
      <c r="AA5" s="89">
        <v>3.0499999999999999E-2</v>
      </c>
      <c r="AB5" s="89" t="s">
        <v>2</v>
      </c>
      <c r="AC5" s="90" t="s">
        <v>179</v>
      </c>
      <c r="AD5" s="40"/>
      <c r="AE5" s="40" t="s">
        <v>262</v>
      </c>
      <c r="AF5" s="226">
        <v>4.7060658104411401E-2</v>
      </c>
      <c r="AG5" s="40"/>
    </row>
    <row r="6" spans="1:33" x14ac:dyDescent="0.2">
      <c r="A6" s="85" t="s">
        <v>205</v>
      </c>
      <c r="B6" s="89"/>
      <c r="C6" s="89"/>
      <c r="D6" s="89"/>
      <c r="E6" s="91"/>
      <c r="G6" s="85" t="s">
        <v>205</v>
      </c>
      <c r="H6" s="89"/>
      <c r="I6" s="89"/>
      <c r="J6" s="89"/>
      <c r="K6" s="91"/>
      <c r="M6" s="85" t="s">
        <v>205</v>
      </c>
      <c r="N6" s="89"/>
      <c r="O6" s="89"/>
      <c r="P6" s="89"/>
      <c r="Q6" s="91"/>
      <c r="S6" s="85" t="s">
        <v>205</v>
      </c>
      <c r="T6" s="89"/>
      <c r="U6" s="89"/>
      <c r="V6" s="89"/>
      <c r="W6" s="91"/>
      <c r="Y6" s="85" t="s">
        <v>205</v>
      </c>
      <c r="Z6" s="89"/>
      <c r="AA6" s="89"/>
      <c r="AB6" s="89"/>
      <c r="AC6" s="91"/>
      <c r="AE6" s="40" t="s">
        <v>263</v>
      </c>
      <c r="AF6" s="226">
        <v>1.6924516211226402E-2</v>
      </c>
    </row>
    <row r="7" spans="1:33" x14ac:dyDescent="0.2">
      <c r="A7" s="88" t="s">
        <v>206</v>
      </c>
      <c r="B7" s="89"/>
      <c r="C7" s="89">
        <v>4.93</v>
      </c>
      <c r="D7" s="89" t="s">
        <v>207</v>
      </c>
      <c r="E7" s="213" t="s">
        <v>1076</v>
      </c>
      <c r="G7" s="88" t="s">
        <v>206</v>
      </c>
      <c r="H7" s="89"/>
      <c r="I7" s="89">
        <v>2.08</v>
      </c>
      <c r="J7" s="89" t="s">
        <v>207</v>
      </c>
      <c r="K7" s="213" t="s">
        <v>1093</v>
      </c>
      <c r="L7" t="s">
        <v>87</v>
      </c>
      <c r="M7" s="88" t="s">
        <v>206</v>
      </c>
      <c r="N7" s="89"/>
      <c r="O7" s="89">
        <v>6.73</v>
      </c>
      <c r="P7" s="89" t="s">
        <v>207</v>
      </c>
      <c r="Q7" s="213" t="s">
        <v>1086</v>
      </c>
      <c r="S7" s="88" t="s">
        <v>206</v>
      </c>
      <c r="T7" s="89"/>
      <c r="U7" s="89">
        <v>4.93</v>
      </c>
      <c r="V7" s="89" t="s">
        <v>207</v>
      </c>
      <c r="W7" s="91" t="s">
        <v>179</v>
      </c>
      <c r="Y7" s="88" t="s">
        <v>206</v>
      </c>
      <c r="Z7" s="89"/>
      <c r="AA7" s="89">
        <v>4.93</v>
      </c>
      <c r="AB7" s="89" t="s">
        <v>207</v>
      </c>
      <c r="AC7" s="91" t="s">
        <v>179</v>
      </c>
      <c r="AE7" s="40" t="s">
        <v>264</v>
      </c>
      <c r="AF7" s="5">
        <v>2.2183540996967399E-2</v>
      </c>
    </row>
    <row r="8" spans="1:33" ht="15" x14ac:dyDescent="0.2">
      <c r="A8" s="88" t="s">
        <v>517</v>
      </c>
      <c r="B8" s="89"/>
      <c r="C8" s="89">
        <v>0</v>
      </c>
      <c r="D8" s="89" t="s">
        <v>185</v>
      </c>
      <c r="E8" s="91"/>
      <c r="G8" s="88" t="s">
        <v>517</v>
      </c>
      <c r="H8" s="89"/>
      <c r="I8" s="89">
        <v>25</v>
      </c>
      <c r="J8" s="89" t="s">
        <v>185</v>
      </c>
      <c r="K8" s="91"/>
      <c r="M8" s="88" t="s">
        <v>517</v>
      </c>
      <c r="N8" s="89"/>
      <c r="O8" s="89">
        <v>0</v>
      </c>
      <c r="P8" s="89" t="s">
        <v>185</v>
      </c>
      <c r="Q8" s="91"/>
      <c r="S8" s="88" t="s">
        <v>517</v>
      </c>
      <c r="T8" s="89"/>
      <c r="U8" s="89">
        <v>0</v>
      </c>
      <c r="V8" s="89" t="s">
        <v>185</v>
      </c>
      <c r="W8" s="91"/>
      <c r="Y8" s="88" t="s">
        <v>517</v>
      </c>
      <c r="Z8" s="89"/>
      <c r="AA8" s="89">
        <v>0</v>
      </c>
      <c r="AB8" s="89" t="s">
        <v>185</v>
      </c>
      <c r="AC8" s="91"/>
      <c r="AE8" s="40" t="s">
        <v>675</v>
      </c>
      <c r="AF8" s="5">
        <v>3.4889182463637298</v>
      </c>
    </row>
    <row r="9" spans="1:33" x14ac:dyDescent="0.2">
      <c r="A9" s="85" t="s">
        <v>212</v>
      </c>
      <c r="B9" s="89"/>
      <c r="C9" s="89"/>
      <c r="D9" s="89"/>
      <c r="E9" s="90"/>
      <c r="G9" s="85" t="s">
        <v>212</v>
      </c>
      <c r="H9" s="89"/>
      <c r="I9" s="89"/>
      <c r="J9" s="89"/>
      <c r="K9" s="90"/>
      <c r="M9" s="85" t="s">
        <v>212</v>
      </c>
      <c r="N9" s="89"/>
      <c r="O9" s="89"/>
      <c r="P9" s="89"/>
      <c r="Q9" s="90"/>
      <c r="S9" s="85" t="s">
        <v>212</v>
      </c>
      <c r="T9" s="89"/>
      <c r="U9" s="89"/>
      <c r="V9" s="89"/>
      <c r="W9" s="90"/>
      <c r="Y9" s="85" t="s">
        <v>212</v>
      </c>
      <c r="Z9" s="89"/>
      <c r="AA9" s="89"/>
      <c r="AB9" s="89"/>
      <c r="AC9" s="90"/>
      <c r="AE9" s="40" t="s">
        <v>266</v>
      </c>
      <c r="AF9" s="5">
        <v>6.6230140886813499E-7</v>
      </c>
      <c r="AG9" s="4"/>
    </row>
    <row r="10" spans="1:33" ht="13.5" thickBot="1" x14ac:dyDescent="0.25">
      <c r="A10" s="100" t="s">
        <v>485</v>
      </c>
      <c r="B10" s="101"/>
      <c r="C10" s="101">
        <v>5.0000000000000001E-3</v>
      </c>
      <c r="D10" s="101" t="s">
        <v>2</v>
      </c>
      <c r="E10" s="112" t="s">
        <v>509</v>
      </c>
      <c r="G10" s="100" t="s">
        <v>485</v>
      </c>
      <c r="H10" s="101"/>
      <c r="I10" s="101">
        <v>5.0000000000000001E-3</v>
      </c>
      <c r="J10" s="101" t="s">
        <v>2</v>
      </c>
      <c r="K10" s="112" t="s">
        <v>509</v>
      </c>
      <c r="M10" s="100" t="s">
        <v>485</v>
      </c>
      <c r="N10" s="101"/>
      <c r="O10" s="101">
        <v>5.0000000000000001E-3</v>
      </c>
      <c r="P10" s="101" t="s">
        <v>2</v>
      </c>
      <c r="Q10" s="112" t="s">
        <v>509</v>
      </c>
      <c r="S10" s="100" t="s">
        <v>485</v>
      </c>
      <c r="T10" s="101"/>
      <c r="U10" s="101">
        <v>5.0000000000000001E-3</v>
      </c>
      <c r="V10" s="101" t="s">
        <v>2</v>
      </c>
      <c r="W10" s="112" t="s">
        <v>509</v>
      </c>
      <c r="Y10" s="100" t="s">
        <v>485</v>
      </c>
      <c r="Z10" s="101"/>
      <c r="AA10" s="101">
        <v>5.0000000000000001E-3</v>
      </c>
      <c r="AB10" s="101" t="s">
        <v>2</v>
      </c>
      <c r="AC10" s="112" t="s">
        <v>509</v>
      </c>
      <c r="AE10" s="40" t="s">
        <v>267</v>
      </c>
      <c r="AF10" s="5">
        <v>1.3016310834990401E-7</v>
      </c>
      <c r="AG10" s="4"/>
    </row>
    <row r="11" spans="1:33" x14ac:dyDescent="0.2">
      <c r="AE11" s="40" t="s">
        <v>268</v>
      </c>
      <c r="AF11" s="5">
        <v>10.3094750360774</v>
      </c>
      <c r="AG11" s="4"/>
    </row>
    <row r="12" spans="1:33" x14ac:dyDescent="0.2">
      <c r="A12" s="89" t="s">
        <v>1090</v>
      </c>
      <c r="AE12" s="40"/>
    </row>
    <row r="34" spans="1:1" x14ac:dyDescent="0.2">
      <c r="A34" s="35" t="s">
        <v>687</v>
      </c>
    </row>
    <row r="35" spans="1:1" x14ac:dyDescent="0.2">
      <c r="A35" t="s">
        <v>1068</v>
      </c>
    </row>
    <row r="36" spans="1:1" x14ac:dyDescent="0.2">
      <c r="A36" t="s">
        <v>1069</v>
      </c>
    </row>
    <row r="37" spans="1:1" x14ac:dyDescent="0.2">
      <c r="A37" t="s">
        <v>1083</v>
      </c>
    </row>
    <row r="38" spans="1:1" x14ac:dyDescent="0.2">
      <c r="A38" t="s">
        <v>1092</v>
      </c>
    </row>
    <row r="39" spans="1:1" x14ac:dyDescent="0.2">
      <c r="A39" t="s">
        <v>1087</v>
      </c>
    </row>
    <row r="40" spans="1:1" x14ac:dyDescent="0.2">
      <c r="A40" t="s">
        <v>1091</v>
      </c>
    </row>
    <row r="41" spans="1:1" x14ac:dyDescent="0.2">
      <c r="A41" t="s">
        <v>1070</v>
      </c>
    </row>
    <row r="42" spans="1:1" x14ac:dyDescent="0.2">
      <c r="A42" t="s">
        <v>1071</v>
      </c>
    </row>
    <row r="43" spans="1:1" x14ac:dyDescent="0.2">
      <c r="A43" t="s">
        <v>1072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G32"/>
  <sheetViews>
    <sheetView zoomScale="70" zoomScaleNormal="70" workbookViewId="0"/>
  </sheetViews>
  <sheetFormatPr defaultRowHeight="12.75" x14ac:dyDescent="0.2"/>
  <cols>
    <col min="1" max="1" width="70" customWidth="1"/>
    <col min="5" max="5" width="11" customWidth="1"/>
    <col min="32" max="32" width="10.140625" bestFit="1" customWidth="1"/>
  </cols>
  <sheetData>
    <row r="1" spans="1:33" s="218" customFormat="1" ht="16.5" thickBot="1" x14ac:dyDescent="0.3">
      <c r="A1" s="470" t="s">
        <v>1386</v>
      </c>
      <c r="B1" s="470"/>
      <c r="C1" s="470" t="s">
        <v>217</v>
      </c>
      <c r="D1" s="470" t="s">
        <v>11</v>
      </c>
      <c r="E1" s="471" t="s">
        <v>180</v>
      </c>
      <c r="F1" s="216"/>
      <c r="G1" s="472" t="s">
        <v>1387</v>
      </c>
      <c r="H1" s="472"/>
      <c r="I1" s="472" t="s">
        <v>217</v>
      </c>
      <c r="J1" s="472" t="s">
        <v>11</v>
      </c>
      <c r="K1" s="473" t="s">
        <v>180</v>
      </c>
      <c r="L1" s="216"/>
      <c r="M1" s="475" t="s">
        <v>1388</v>
      </c>
      <c r="N1" s="474"/>
      <c r="O1" s="475" t="s">
        <v>217</v>
      </c>
      <c r="P1" s="475" t="s">
        <v>11</v>
      </c>
      <c r="Q1" s="476" t="s">
        <v>180</v>
      </c>
      <c r="R1" s="216"/>
      <c r="S1" s="477" t="s">
        <v>1389</v>
      </c>
      <c r="T1" s="477"/>
      <c r="U1" s="477" t="s">
        <v>217</v>
      </c>
      <c r="V1" s="477" t="s">
        <v>11</v>
      </c>
      <c r="W1" s="478" t="s">
        <v>180</v>
      </c>
      <c r="X1" s="216"/>
      <c r="Y1" s="479" t="s">
        <v>1390</v>
      </c>
      <c r="Z1" s="479"/>
      <c r="AA1" s="479" t="s">
        <v>217</v>
      </c>
      <c r="AB1" s="479" t="s">
        <v>11</v>
      </c>
      <c r="AC1" s="480" t="s">
        <v>180</v>
      </c>
      <c r="AD1" s="217"/>
      <c r="AE1" s="217"/>
      <c r="AF1" s="481" t="s">
        <v>710</v>
      </c>
      <c r="AG1" s="217"/>
    </row>
    <row r="2" spans="1:33"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E2" s="40"/>
      <c r="AF2" s="226" t="s">
        <v>948</v>
      </c>
      <c r="AG2" s="40" t="s">
        <v>916</v>
      </c>
    </row>
    <row r="3" spans="1:33" x14ac:dyDescent="0.2">
      <c r="A3" s="88" t="s">
        <v>511</v>
      </c>
      <c r="B3" s="89"/>
      <c r="C3" s="89">
        <v>1</v>
      </c>
      <c r="D3" s="89" t="s">
        <v>2</v>
      </c>
      <c r="E3" s="90"/>
      <c r="F3" s="34"/>
      <c r="G3" s="88" t="s">
        <v>511</v>
      </c>
      <c r="H3" s="89"/>
      <c r="I3" s="89">
        <v>1</v>
      </c>
      <c r="J3" s="89" t="s">
        <v>2</v>
      </c>
      <c r="K3" s="90"/>
      <c r="L3" s="34"/>
      <c r="M3" s="88" t="s">
        <v>511</v>
      </c>
      <c r="N3" s="89"/>
      <c r="O3" s="89">
        <v>1</v>
      </c>
      <c r="P3" s="89" t="s">
        <v>2</v>
      </c>
      <c r="Q3" s="90"/>
      <c r="R3" s="34"/>
      <c r="S3" s="88" t="s">
        <v>511</v>
      </c>
      <c r="T3" s="89"/>
      <c r="U3" s="89">
        <v>1</v>
      </c>
      <c r="V3" s="89" t="s">
        <v>2</v>
      </c>
      <c r="W3" s="90"/>
      <c r="X3" s="34"/>
      <c r="Y3" s="88" t="s">
        <v>511</v>
      </c>
      <c r="Z3" s="89"/>
      <c r="AA3" s="89">
        <v>1</v>
      </c>
      <c r="AB3" s="89" t="s">
        <v>2</v>
      </c>
      <c r="AC3" s="90"/>
      <c r="AD3" s="40"/>
      <c r="AE3" s="40" t="s">
        <v>260</v>
      </c>
      <c r="AF3" s="226">
        <v>5.4452100646819703</v>
      </c>
      <c r="AG3" s="40"/>
    </row>
    <row r="4" spans="1:33" x14ac:dyDescent="0.2">
      <c r="A4" s="85" t="s">
        <v>187</v>
      </c>
      <c r="B4" s="89"/>
      <c r="C4" s="89"/>
      <c r="D4" s="89"/>
      <c r="E4" s="90"/>
      <c r="F4" s="35"/>
      <c r="G4" s="85" t="s">
        <v>187</v>
      </c>
      <c r="H4" s="89"/>
      <c r="I4" s="89"/>
      <c r="J4" s="89"/>
      <c r="K4" s="90"/>
      <c r="L4" s="35"/>
      <c r="M4" s="85" t="s">
        <v>187</v>
      </c>
      <c r="N4" s="89"/>
      <c r="O4" s="89"/>
      <c r="P4" s="89"/>
      <c r="Q4" s="90"/>
      <c r="R4" s="35"/>
      <c r="S4" s="85" t="s">
        <v>187</v>
      </c>
      <c r="T4" s="89"/>
      <c r="U4" s="89"/>
      <c r="V4" s="89"/>
      <c r="W4" s="90"/>
      <c r="X4" s="35"/>
      <c r="Y4" s="85" t="s">
        <v>187</v>
      </c>
      <c r="Z4" s="89"/>
      <c r="AA4" s="89"/>
      <c r="AB4" s="89"/>
      <c r="AC4" s="90"/>
      <c r="AD4" s="99"/>
      <c r="AE4" s="40" t="s">
        <v>261</v>
      </c>
      <c r="AF4" s="226">
        <v>6.5229402255441102E-4</v>
      </c>
      <c r="AG4" s="99"/>
    </row>
    <row r="5" spans="1:33" x14ac:dyDescent="0.2">
      <c r="A5" s="88" t="s">
        <v>483</v>
      </c>
      <c r="B5" s="89"/>
      <c r="C5" s="89">
        <v>3.0499999999999999E-2</v>
      </c>
      <c r="D5" s="89" t="s">
        <v>2</v>
      </c>
      <c r="E5" s="90" t="s">
        <v>179</v>
      </c>
      <c r="F5" s="34" t="s">
        <v>179</v>
      </c>
      <c r="G5" s="88" t="s">
        <v>483</v>
      </c>
      <c r="H5" s="89"/>
      <c r="I5" s="89">
        <v>3.0499999999999999E-2</v>
      </c>
      <c r="J5" s="89" t="s">
        <v>2</v>
      </c>
      <c r="K5" s="90" t="s">
        <v>179</v>
      </c>
      <c r="L5" s="34"/>
      <c r="M5" s="88" t="s">
        <v>483</v>
      </c>
      <c r="N5" s="89"/>
      <c r="O5" s="89">
        <v>3.0499999999999999E-2</v>
      </c>
      <c r="P5" s="89" t="s">
        <v>2</v>
      </c>
      <c r="Q5" s="90" t="s">
        <v>179</v>
      </c>
      <c r="R5" s="34"/>
      <c r="S5" s="88" t="s">
        <v>483</v>
      </c>
      <c r="T5" s="89"/>
      <c r="U5" s="89">
        <v>3.0499999999999999E-2</v>
      </c>
      <c r="V5" s="89" t="s">
        <v>2</v>
      </c>
      <c r="W5" s="90" t="s">
        <v>179</v>
      </c>
      <c r="X5" s="34"/>
      <c r="Y5" s="88" t="s">
        <v>483</v>
      </c>
      <c r="Z5" s="89"/>
      <c r="AA5" s="89">
        <v>3.0499999999999999E-2</v>
      </c>
      <c r="AB5" s="89" t="s">
        <v>2</v>
      </c>
      <c r="AC5" s="90" t="s">
        <v>179</v>
      </c>
      <c r="AD5" s="40"/>
      <c r="AE5" s="40" t="s">
        <v>262</v>
      </c>
      <c r="AF5" s="226">
        <v>5.0626761000980902E-2</v>
      </c>
      <c r="AG5" s="40"/>
    </row>
    <row r="6" spans="1:33" x14ac:dyDescent="0.2">
      <c r="A6" s="85" t="s">
        <v>205</v>
      </c>
      <c r="B6" s="89"/>
      <c r="C6" s="89"/>
      <c r="D6" s="89"/>
      <c r="E6" s="91"/>
      <c r="G6" s="85" t="s">
        <v>205</v>
      </c>
      <c r="H6" s="89"/>
      <c r="I6" s="89"/>
      <c r="J6" s="89"/>
      <c r="K6" s="91"/>
      <c r="M6" s="85" t="s">
        <v>205</v>
      </c>
      <c r="N6" s="89"/>
      <c r="O6" s="89"/>
      <c r="P6" s="89"/>
      <c r="Q6" s="91"/>
      <c r="S6" s="85" t="s">
        <v>205</v>
      </c>
      <c r="T6" s="89"/>
      <c r="U6" s="89"/>
      <c r="V6" s="89"/>
      <c r="W6" s="91"/>
      <c r="Y6" s="85" t="s">
        <v>205</v>
      </c>
      <c r="Z6" s="89"/>
      <c r="AA6" s="89"/>
      <c r="AB6" s="89"/>
      <c r="AC6" s="91"/>
      <c r="AE6" s="40" t="s">
        <v>263</v>
      </c>
      <c r="AF6" s="226">
        <v>1.80997768658115E-2</v>
      </c>
    </row>
    <row r="7" spans="1:33" x14ac:dyDescent="0.2">
      <c r="A7" s="88" t="s">
        <v>206</v>
      </c>
      <c r="B7" s="89"/>
      <c r="C7" s="89">
        <v>2.7</v>
      </c>
      <c r="D7" s="89" t="s">
        <v>207</v>
      </c>
      <c r="E7" s="213" t="s">
        <v>1095</v>
      </c>
      <c r="G7" s="88" t="s">
        <v>206</v>
      </c>
      <c r="H7" s="89"/>
      <c r="I7" s="89">
        <v>2.7</v>
      </c>
      <c r="J7" s="89" t="s">
        <v>207</v>
      </c>
      <c r="K7" s="91" t="s">
        <v>179</v>
      </c>
      <c r="M7" s="88" t="s">
        <v>206</v>
      </c>
      <c r="N7" s="89"/>
      <c r="O7" s="89">
        <v>2.7</v>
      </c>
      <c r="P7" s="89" t="s">
        <v>207</v>
      </c>
      <c r="Q7" s="91" t="s">
        <v>179</v>
      </c>
      <c r="S7" s="88" t="s">
        <v>206</v>
      </c>
      <c r="T7" s="89"/>
      <c r="U7" s="89">
        <v>2.7</v>
      </c>
      <c r="V7" s="89" t="s">
        <v>207</v>
      </c>
      <c r="W7" s="91" t="s">
        <v>179</v>
      </c>
      <c r="Y7" s="88" t="s">
        <v>206</v>
      </c>
      <c r="Z7" s="89"/>
      <c r="AA7" s="89">
        <v>2.7</v>
      </c>
      <c r="AB7" s="89" t="s">
        <v>207</v>
      </c>
      <c r="AC7" s="91" t="s">
        <v>179</v>
      </c>
      <c r="AE7" s="40" t="s">
        <v>264</v>
      </c>
      <c r="AF7" s="5">
        <v>2.3966799256187499E-2</v>
      </c>
    </row>
    <row r="8" spans="1:33" ht="15" x14ac:dyDescent="0.2">
      <c r="A8" s="85" t="s">
        <v>212</v>
      </c>
      <c r="B8" s="89"/>
      <c r="C8" s="89"/>
      <c r="D8" s="89"/>
      <c r="E8" s="90"/>
      <c r="G8" s="85" t="s">
        <v>212</v>
      </c>
      <c r="H8" s="89"/>
      <c r="I8" s="89"/>
      <c r="J8" s="89"/>
      <c r="K8" s="90"/>
      <c r="M8" s="85" t="s">
        <v>212</v>
      </c>
      <c r="N8" s="89"/>
      <c r="O8" s="89"/>
      <c r="P8" s="89"/>
      <c r="Q8" s="90"/>
      <c r="S8" s="85" t="s">
        <v>212</v>
      </c>
      <c r="T8" s="89"/>
      <c r="U8" s="89"/>
      <c r="V8" s="89"/>
      <c r="W8" s="90"/>
      <c r="Y8" s="85" t="s">
        <v>212</v>
      </c>
      <c r="Z8" s="89"/>
      <c r="AA8" s="89"/>
      <c r="AB8" s="89"/>
      <c r="AC8" s="90"/>
      <c r="AE8" s="40" t="s">
        <v>675</v>
      </c>
      <c r="AF8" s="5">
        <v>3.2773152512680501</v>
      </c>
      <c r="AG8" s="4"/>
    </row>
    <row r="9" spans="1:33" ht="13.5" thickBot="1" x14ac:dyDescent="0.25">
      <c r="A9" s="100" t="s">
        <v>485</v>
      </c>
      <c r="B9" s="101"/>
      <c r="C9" s="101">
        <v>5.0000000000000001E-3</v>
      </c>
      <c r="D9" s="101" t="s">
        <v>2</v>
      </c>
      <c r="E9" s="112" t="s">
        <v>509</v>
      </c>
      <c r="G9" s="100" t="s">
        <v>485</v>
      </c>
      <c r="H9" s="101"/>
      <c r="I9" s="101">
        <v>5.0000000000000001E-3</v>
      </c>
      <c r="J9" s="101" t="s">
        <v>2</v>
      </c>
      <c r="K9" s="112" t="s">
        <v>509</v>
      </c>
      <c r="M9" s="100" t="s">
        <v>485</v>
      </c>
      <c r="N9" s="101"/>
      <c r="O9" s="101">
        <v>5.0000000000000001E-3</v>
      </c>
      <c r="P9" s="101" t="s">
        <v>2</v>
      </c>
      <c r="Q9" s="112" t="s">
        <v>509</v>
      </c>
      <c r="S9" s="100" t="s">
        <v>485</v>
      </c>
      <c r="T9" s="101"/>
      <c r="U9" s="101">
        <v>5.0000000000000001E-3</v>
      </c>
      <c r="V9" s="101" t="s">
        <v>2</v>
      </c>
      <c r="W9" s="112" t="s">
        <v>509</v>
      </c>
      <c r="Y9" s="100" t="s">
        <v>485</v>
      </c>
      <c r="Z9" s="101"/>
      <c r="AA9" s="101">
        <v>5.0000000000000001E-3</v>
      </c>
      <c r="AB9" s="101" t="s">
        <v>2</v>
      </c>
      <c r="AC9" s="112" t="s">
        <v>509</v>
      </c>
      <c r="AE9" s="40" t="s">
        <v>266</v>
      </c>
      <c r="AF9" s="5">
        <v>6.7213133715378704E-7</v>
      </c>
      <c r="AG9" s="4"/>
    </row>
    <row r="10" spans="1:33" x14ac:dyDescent="0.2">
      <c r="AE10" s="40" t="s">
        <v>267</v>
      </c>
      <c r="AF10" s="5">
        <v>1.3683261299738999E-7</v>
      </c>
      <c r="AG10" s="4"/>
    </row>
    <row r="11" spans="1:33" x14ac:dyDescent="0.2">
      <c r="AE11" s="40" t="s">
        <v>268</v>
      </c>
      <c r="AF11" s="5">
        <v>10.6975045407981</v>
      </c>
    </row>
    <row r="28" spans="1:1" x14ac:dyDescent="0.2">
      <c r="A28" s="35" t="s">
        <v>687</v>
      </c>
    </row>
    <row r="29" spans="1:1" x14ac:dyDescent="0.2">
      <c r="A29" t="s">
        <v>926</v>
      </c>
    </row>
    <row r="30" spans="1:1" x14ac:dyDescent="0.2">
      <c r="A30" t="s">
        <v>1094</v>
      </c>
    </row>
    <row r="31" spans="1:1" x14ac:dyDescent="0.2">
      <c r="A31" s="34" t="s">
        <v>895</v>
      </c>
    </row>
    <row r="32" spans="1:1" x14ac:dyDescent="0.2">
      <c r="A32" t="s">
        <v>896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O100"/>
  <sheetViews>
    <sheetView zoomScale="60" zoomScaleNormal="60" workbookViewId="0">
      <selection activeCell="A16" sqref="A16"/>
    </sheetView>
  </sheetViews>
  <sheetFormatPr defaultRowHeight="12.75" x14ac:dyDescent="0.2"/>
  <cols>
    <col min="1" max="1" width="51.5703125" style="244" customWidth="1"/>
    <col min="2" max="2" width="24.85546875" style="244" customWidth="1"/>
    <col min="3" max="3" width="14.7109375" style="244" customWidth="1"/>
    <col min="4" max="4" width="9.140625" style="244" customWidth="1"/>
    <col min="5" max="5" width="38.140625" style="244" customWidth="1"/>
    <col min="6" max="6" width="9.140625" style="244" customWidth="1"/>
    <col min="7" max="7" width="62" style="244" customWidth="1"/>
    <col min="8" max="8" width="28" style="244" customWidth="1"/>
    <col min="9" max="10" width="9.140625" style="244" customWidth="1"/>
    <col min="11" max="11" width="22.85546875" style="244" customWidth="1"/>
    <col min="12" max="12" width="9.140625" style="244" customWidth="1"/>
    <col min="13" max="13" width="62" style="244" customWidth="1"/>
    <col min="14" max="14" width="18.85546875" style="244" customWidth="1"/>
    <col min="15" max="15" width="9.5703125" style="244" customWidth="1"/>
    <col min="16" max="16" width="10" style="244" customWidth="1"/>
    <col min="17" max="17" width="38.140625" style="244" customWidth="1"/>
    <col min="18" max="18" width="20.140625" style="244" customWidth="1"/>
    <col min="19" max="19" width="20.28515625" style="244" customWidth="1"/>
    <col min="20" max="22" width="16.28515625" style="244" customWidth="1"/>
    <col min="23" max="23" width="21" style="244" customWidth="1"/>
    <col min="24" max="24" width="16.28515625" style="244" customWidth="1"/>
    <col min="25" max="25" width="16.7109375" style="260" customWidth="1"/>
    <col min="26" max="27" width="9.140625" style="260" customWidth="1"/>
    <col min="28" max="28" width="9.140625" style="260"/>
    <col min="29" max="29" width="25.5703125" style="260" customWidth="1"/>
    <col min="30" max="32" width="12.85546875" style="260" customWidth="1"/>
    <col min="33" max="37" width="9.140625" style="260"/>
    <col min="38" max="16384" width="9.140625" style="244"/>
  </cols>
  <sheetData>
    <row r="1" spans="1:37" ht="16.5" thickBot="1" x14ac:dyDescent="0.3">
      <c r="A1" s="37" t="s">
        <v>182</v>
      </c>
      <c r="B1" s="38"/>
      <c r="C1" s="38" t="s">
        <v>217</v>
      </c>
      <c r="D1" s="38" t="s">
        <v>11</v>
      </c>
      <c r="E1" s="39" t="s">
        <v>180</v>
      </c>
      <c r="G1" s="263" t="s">
        <v>279</v>
      </c>
      <c r="H1" s="264"/>
      <c r="I1" s="264" t="s">
        <v>217</v>
      </c>
      <c r="J1" s="264" t="s">
        <v>11</v>
      </c>
      <c r="K1" s="265" t="s">
        <v>180</v>
      </c>
      <c r="M1" s="266" t="s">
        <v>280</v>
      </c>
      <c r="N1" s="267"/>
      <c r="O1" s="268" t="s">
        <v>217</v>
      </c>
      <c r="P1" s="268" t="s">
        <v>11</v>
      </c>
      <c r="Q1" s="269" t="s">
        <v>180</v>
      </c>
      <c r="S1" s="270" t="s">
        <v>286</v>
      </c>
      <c r="T1" s="271"/>
      <c r="U1" s="271" t="s">
        <v>217</v>
      </c>
      <c r="V1" s="271" t="s">
        <v>11</v>
      </c>
      <c r="W1" s="272" t="s">
        <v>180</v>
      </c>
      <c r="Y1" s="273" t="s">
        <v>281</v>
      </c>
      <c r="Z1" s="274"/>
      <c r="AA1" s="274" t="s">
        <v>217</v>
      </c>
      <c r="AB1" s="274" t="s">
        <v>11</v>
      </c>
      <c r="AC1" s="275" t="s">
        <v>180</v>
      </c>
      <c r="AF1" s="276" t="s">
        <v>710</v>
      </c>
    </row>
    <row r="2" spans="1:37" x14ac:dyDescent="0.2">
      <c r="A2" s="277" t="s">
        <v>218</v>
      </c>
      <c r="B2" s="278"/>
      <c r="C2" s="278"/>
      <c r="D2" s="278"/>
      <c r="E2" s="279"/>
      <c r="G2" s="319" t="s">
        <v>218</v>
      </c>
      <c r="H2" s="320"/>
      <c r="I2" s="320"/>
      <c r="J2" s="320"/>
      <c r="K2" s="321"/>
      <c r="M2" s="277" t="s">
        <v>218</v>
      </c>
      <c r="N2" s="278"/>
      <c r="O2" s="278"/>
      <c r="P2" s="278"/>
      <c r="Q2" s="279"/>
      <c r="S2" s="319" t="s">
        <v>218</v>
      </c>
      <c r="T2" s="320"/>
      <c r="U2" s="320"/>
      <c r="V2" s="320"/>
      <c r="W2" s="321"/>
      <c r="Y2" s="319" t="s">
        <v>218</v>
      </c>
      <c r="Z2" s="320"/>
      <c r="AA2" s="320"/>
      <c r="AB2" s="320"/>
      <c r="AC2" s="321"/>
      <c r="AF2" s="244" t="s">
        <v>930</v>
      </c>
      <c r="AG2" s="260" t="s">
        <v>709</v>
      </c>
      <c r="AI2" s="244"/>
      <c r="AJ2" s="244"/>
      <c r="AK2" s="244"/>
    </row>
    <row r="3" spans="1:37" x14ac:dyDescent="0.2">
      <c r="A3" s="280" t="s">
        <v>219</v>
      </c>
      <c r="B3" s="281"/>
      <c r="C3" s="281">
        <v>1</v>
      </c>
      <c r="D3" s="281" t="s">
        <v>2</v>
      </c>
      <c r="E3" s="282"/>
      <c r="G3" s="280" t="s">
        <v>219</v>
      </c>
      <c r="H3" s="281"/>
      <c r="I3" s="281">
        <v>1</v>
      </c>
      <c r="J3" s="281" t="s">
        <v>2</v>
      </c>
      <c r="K3" s="282"/>
      <c r="M3" s="280" t="s">
        <v>219</v>
      </c>
      <c r="N3" s="281"/>
      <c r="O3" s="281">
        <v>1</v>
      </c>
      <c r="P3" s="281" t="s">
        <v>2</v>
      </c>
      <c r="Q3" s="282"/>
      <c r="S3" s="280" t="s">
        <v>219</v>
      </c>
      <c r="T3" s="281"/>
      <c r="U3" s="281">
        <v>1</v>
      </c>
      <c r="V3" s="281" t="s">
        <v>2</v>
      </c>
      <c r="W3" s="282"/>
      <c r="Y3" s="280" t="s">
        <v>219</v>
      </c>
      <c r="Z3" s="281"/>
      <c r="AA3" s="281">
        <v>1</v>
      </c>
      <c r="AB3" s="281" t="s">
        <v>2</v>
      </c>
      <c r="AC3" s="282"/>
      <c r="AE3" s="260" t="s">
        <v>260</v>
      </c>
      <c r="AF3" s="283">
        <v>1.84640035400366</v>
      </c>
      <c r="AG3" s="283"/>
    </row>
    <row r="4" spans="1:37" s="1" customFormat="1" x14ac:dyDescent="0.2">
      <c r="A4" s="277" t="s">
        <v>183</v>
      </c>
      <c r="B4" s="278"/>
      <c r="C4" s="278"/>
      <c r="D4" s="278"/>
      <c r="E4" s="279"/>
      <c r="G4" s="277" t="s">
        <v>183</v>
      </c>
      <c r="H4" s="278"/>
      <c r="I4" s="278"/>
      <c r="J4" s="278"/>
      <c r="K4" s="279"/>
      <c r="M4" s="277" t="s">
        <v>183</v>
      </c>
      <c r="N4" s="278"/>
      <c r="O4" s="278"/>
      <c r="P4" s="278"/>
      <c r="Q4" s="279"/>
      <c r="S4" s="277" t="s">
        <v>183</v>
      </c>
      <c r="T4" s="278"/>
      <c r="U4" s="278"/>
      <c r="V4" s="278"/>
      <c r="W4" s="279"/>
      <c r="Y4" s="277" t="s">
        <v>183</v>
      </c>
      <c r="Z4" s="278"/>
      <c r="AA4" s="278"/>
      <c r="AB4" s="278"/>
      <c r="AC4" s="279"/>
      <c r="AD4" s="18"/>
      <c r="AE4" s="260" t="s">
        <v>261</v>
      </c>
      <c r="AF4" s="322">
        <v>3.7376934468803103E-4</v>
      </c>
      <c r="AG4" s="323"/>
      <c r="AH4" s="18"/>
      <c r="AI4" s="18"/>
      <c r="AJ4" s="18"/>
      <c r="AK4" s="18"/>
    </row>
    <row r="5" spans="1:37" x14ac:dyDescent="0.2">
      <c r="A5" s="280" t="s">
        <v>184</v>
      </c>
      <c r="B5" s="281"/>
      <c r="C5" s="281">
        <f>6*10/1000</f>
        <v>0.06</v>
      </c>
      <c r="D5" s="281" t="s">
        <v>185</v>
      </c>
      <c r="E5" s="282" t="s">
        <v>186</v>
      </c>
      <c r="F5" s="244" t="s">
        <v>179</v>
      </c>
      <c r="G5" s="280" t="s">
        <v>184</v>
      </c>
      <c r="H5" s="281"/>
      <c r="I5" s="281">
        <f>6*5/1000</f>
        <v>0.03</v>
      </c>
      <c r="J5" s="281" t="s">
        <v>185</v>
      </c>
      <c r="K5" s="282" t="s">
        <v>282</v>
      </c>
      <c r="L5" s="244" t="s">
        <v>87</v>
      </c>
      <c r="M5" s="280" t="s">
        <v>184</v>
      </c>
      <c r="N5" s="281"/>
      <c r="O5" s="281">
        <f>6*20/1000</f>
        <v>0.12</v>
      </c>
      <c r="P5" s="281" t="s">
        <v>185</v>
      </c>
      <c r="Q5" s="282" t="s">
        <v>284</v>
      </c>
      <c r="S5" s="280" t="s">
        <v>184</v>
      </c>
      <c r="T5" s="281"/>
      <c r="U5" s="281">
        <f>6*10/1000</f>
        <v>0.06</v>
      </c>
      <c r="V5" s="281" t="s">
        <v>185</v>
      </c>
      <c r="W5" s="282" t="s">
        <v>186</v>
      </c>
      <c r="X5" s="244" t="s">
        <v>87</v>
      </c>
      <c r="Y5" s="280" t="s">
        <v>184</v>
      </c>
      <c r="Z5" s="281"/>
      <c r="AA5" s="281">
        <f>6*10/1000</f>
        <v>0.06</v>
      </c>
      <c r="AB5" s="281" t="s">
        <v>185</v>
      </c>
      <c r="AC5" s="282" t="s">
        <v>186</v>
      </c>
      <c r="AD5" s="260" t="s">
        <v>87</v>
      </c>
      <c r="AE5" s="260" t="s">
        <v>262</v>
      </c>
      <c r="AF5" s="283">
        <v>1.45487764897197E-2</v>
      </c>
      <c r="AG5" s="283"/>
    </row>
    <row r="6" spans="1:37" s="1" customFormat="1" x14ac:dyDescent="0.2">
      <c r="A6" s="277" t="s">
        <v>187</v>
      </c>
      <c r="B6" s="278"/>
      <c r="C6" s="278"/>
      <c r="D6" s="278"/>
      <c r="E6" s="279"/>
      <c r="G6" s="277" t="s">
        <v>187</v>
      </c>
      <c r="H6" s="278"/>
      <c r="I6" s="278"/>
      <c r="J6" s="278"/>
      <c r="K6" s="279"/>
      <c r="M6" s="277" t="s">
        <v>187</v>
      </c>
      <c r="N6" s="278"/>
      <c r="O6" s="278"/>
      <c r="P6" s="278"/>
      <c r="Q6" s="279"/>
      <c r="S6" s="277" t="s">
        <v>187</v>
      </c>
      <c r="T6" s="278"/>
      <c r="U6" s="278"/>
      <c r="V6" s="278"/>
      <c r="W6" s="279"/>
      <c r="Y6" s="277" t="s">
        <v>187</v>
      </c>
      <c r="Z6" s="278"/>
      <c r="AA6" s="278"/>
      <c r="AB6" s="278"/>
      <c r="AC6" s="279"/>
      <c r="AD6" s="18"/>
      <c r="AE6" s="260" t="s">
        <v>263</v>
      </c>
      <c r="AF6" s="322">
        <v>5.4231958544372801E-3</v>
      </c>
      <c r="AG6" s="323"/>
      <c r="AH6" s="18"/>
      <c r="AI6" s="18"/>
      <c r="AJ6" s="18"/>
      <c r="AK6" s="18"/>
    </row>
    <row r="7" spans="1:37" x14ac:dyDescent="0.2">
      <c r="A7" s="280" t="s">
        <v>141</v>
      </c>
      <c r="B7" s="281"/>
      <c r="C7" s="281">
        <f>0.004*10*2</f>
        <v>0.08</v>
      </c>
      <c r="D7" s="281" t="s">
        <v>2</v>
      </c>
      <c r="E7" s="282" t="s">
        <v>179</v>
      </c>
      <c r="F7" s="244" t="s">
        <v>179</v>
      </c>
      <c r="G7" s="280" t="s">
        <v>141</v>
      </c>
      <c r="H7" s="281"/>
      <c r="I7" s="281">
        <f>0.004*10*2</f>
        <v>0.08</v>
      </c>
      <c r="J7" s="281" t="s">
        <v>2</v>
      </c>
      <c r="K7" s="282" t="s">
        <v>179</v>
      </c>
      <c r="M7" s="280" t="s">
        <v>141</v>
      </c>
      <c r="N7" s="281"/>
      <c r="O7" s="281">
        <f>0.004*10*2</f>
        <v>0.08</v>
      </c>
      <c r="P7" s="281" t="s">
        <v>2</v>
      </c>
      <c r="Q7" s="282" t="s">
        <v>179</v>
      </c>
      <c r="S7" s="280" t="s">
        <v>1110</v>
      </c>
      <c r="T7" s="281"/>
      <c r="U7" s="281">
        <f>0.004*10*2</f>
        <v>0.08</v>
      </c>
      <c r="V7" s="281" t="s">
        <v>2</v>
      </c>
      <c r="W7" s="282" t="s">
        <v>179</v>
      </c>
      <c r="Y7" s="280" t="s">
        <v>1135</v>
      </c>
      <c r="Z7" s="281"/>
      <c r="AA7" s="281">
        <f>0.004*10*2</f>
        <v>0.08</v>
      </c>
      <c r="AB7" s="281" t="s">
        <v>2</v>
      </c>
      <c r="AC7" s="282" t="s">
        <v>179</v>
      </c>
      <c r="AE7" s="260" t="s">
        <v>264</v>
      </c>
      <c r="AF7" s="283">
        <v>1.70549146437078E-2</v>
      </c>
      <c r="AG7" s="283"/>
    </row>
    <row r="8" spans="1:37" ht="15" x14ac:dyDescent="0.2">
      <c r="A8" s="280" t="s">
        <v>45</v>
      </c>
      <c r="B8" s="281"/>
      <c r="C8" s="281">
        <f>0.002*10*2</f>
        <v>0.04</v>
      </c>
      <c r="D8" s="281" t="s">
        <v>2</v>
      </c>
      <c r="E8" s="282" t="s">
        <v>179</v>
      </c>
      <c r="F8" s="244" t="s">
        <v>179</v>
      </c>
      <c r="G8" s="280" t="s">
        <v>45</v>
      </c>
      <c r="H8" s="281"/>
      <c r="I8" s="281">
        <f>0.002*10*2</f>
        <v>0.04</v>
      </c>
      <c r="J8" s="281" t="s">
        <v>2</v>
      </c>
      <c r="K8" s="282" t="s">
        <v>179</v>
      </c>
      <c r="M8" s="280" t="s">
        <v>45</v>
      </c>
      <c r="N8" s="281"/>
      <c r="O8" s="281">
        <f>0.002*10*2</f>
        <v>0.04</v>
      </c>
      <c r="P8" s="281" t="s">
        <v>2</v>
      </c>
      <c r="Q8" s="282" t="s">
        <v>179</v>
      </c>
      <c r="S8" s="280" t="s">
        <v>152</v>
      </c>
      <c r="T8" s="281"/>
      <c r="U8" s="281">
        <f>0.002*10*2</f>
        <v>0.04</v>
      </c>
      <c r="V8" s="281" t="s">
        <v>2</v>
      </c>
      <c r="W8" s="282" t="s">
        <v>179</v>
      </c>
      <c r="Y8" s="280" t="s">
        <v>1136</v>
      </c>
      <c r="Z8" s="281"/>
      <c r="AA8" s="281">
        <f>0.002*10*2</f>
        <v>0.04</v>
      </c>
      <c r="AB8" s="281" t="s">
        <v>2</v>
      </c>
      <c r="AC8" s="282" t="s">
        <v>179</v>
      </c>
      <c r="AE8" s="260" t="s">
        <v>675</v>
      </c>
      <c r="AF8" s="283">
        <v>0.82989317687305197</v>
      </c>
      <c r="AG8" s="283"/>
    </row>
    <row r="9" spans="1:37" x14ac:dyDescent="0.2">
      <c r="A9" s="280" t="s">
        <v>142</v>
      </c>
      <c r="B9" s="281"/>
      <c r="C9" s="281">
        <f>0.001*10</f>
        <v>0.01</v>
      </c>
      <c r="D9" s="281" t="s">
        <v>2</v>
      </c>
      <c r="E9" s="282" t="s">
        <v>179</v>
      </c>
      <c r="F9" s="244" t="s">
        <v>179</v>
      </c>
      <c r="G9" s="280" t="s">
        <v>142</v>
      </c>
      <c r="H9" s="281"/>
      <c r="I9" s="281">
        <f>0.001*10</f>
        <v>0.01</v>
      </c>
      <c r="J9" s="281" t="s">
        <v>2</v>
      </c>
      <c r="K9" s="282" t="s">
        <v>179</v>
      </c>
      <c r="M9" s="280" t="s">
        <v>142</v>
      </c>
      <c r="N9" s="281"/>
      <c r="O9" s="281">
        <f>0.001*10</f>
        <v>0.01</v>
      </c>
      <c r="P9" s="281" t="s">
        <v>2</v>
      </c>
      <c r="Q9" s="282" t="s">
        <v>179</v>
      </c>
      <c r="S9" s="280" t="s">
        <v>1111</v>
      </c>
      <c r="T9" s="281"/>
      <c r="U9" s="281">
        <f>0.001*10</f>
        <v>0.01</v>
      </c>
      <c r="V9" s="281" t="s">
        <v>2</v>
      </c>
      <c r="W9" s="282" t="s">
        <v>179</v>
      </c>
      <c r="Y9" s="280" t="s">
        <v>1137</v>
      </c>
      <c r="Z9" s="281"/>
      <c r="AA9" s="281">
        <f>0.001*10</f>
        <v>0.01</v>
      </c>
      <c r="AB9" s="281" t="s">
        <v>2</v>
      </c>
      <c r="AC9" s="282" t="s">
        <v>179</v>
      </c>
      <c r="AE9" s="260" t="s">
        <v>266</v>
      </c>
      <c r="AF9" s="283">
        <v>3.0023653392682199E-7</v>
      </c>
      <c r="AG9" s="283">
        <f>AE70</f>
        <v>4.7824145984378548E-10</v>
      </c>
    </row>
    <row r="10" spans="1:37" x14ac:dyDescent="0.2">
      <c r="A10" s="280" t="s">
        <v>46</v>
      </c>
      <c r="B10" s="281"/>
      <c r="C10" s="281">
        <f>0.0002*10</f>
        <v>2E-3</v>
      </c>
      <c r="D10" s="281" t="s">
        <v>2</v>
      </c>
      <c r="E10" s="282"/>
      <c r="F10" s="244" t="s">
        <v>179</v>
      </c>
      <c r="G10" s="280" t="s">
        <v>46</v>
      </c>
      <c r="H10" s="281"/>
      <c r="I10" s="281">
        <f>0.0002*10</f>
        <v>2E-3</v>
      </c>
      <c r="J10" s="281" t="s">
        <v>2</v>
      </c>
      <c r="K10" s="282"/>
      <c r="M10" s="280" t="s">
        <v>46</v>
      </c>
      <c r="N10" s="281"/>
      <c r="O10" s="281">
        <f>0.0002*10</f>
        <v>2E-3</v>
      </c>
      <c r="P10" s="281" t="s">
        <v>2</v>
      </c>
      <c r="Q10" s="282"/>
      <c r="S10" s="280" t="s">
        <v>1112</v>
      </c>
      <c r="T10" s="281"/>
      <c r="U10" s="281">
        <f>0.0002*10</f>
        <v>2E-3</v>
      </c>
      <c r="V10" s="281" t="s">
        <v>2</v>
      </c>
      <c r="W10" s="282"/>
      <c r="Y10" s="280" t="s">
        <v>1138</v>
      </c>
      <c r="Z10" s="281"/>
      <c r="AA10" s="281">
        <f>0.0002*10</f>
        <v>2E-3</v>
      </c>
      <c r="AB10" s="281" t="s">
        <v>2</v>
      </c>
      <c r="AC10" s="282"/>
      <c r="AE10" s="260" t="s">
        <v>267</v>
      </c>
      <c r="AF10" s="283">
        <v>1.0356279536937899E-7</v>
      </c>
      <c r="AG10" s="283">
        <f>AD70</f>
        <v>3.700906021334717E-11</v>
      </c>
    </row>
    <row r="11" spans="1:37" x14ac:dyDescent="0.2">
      <c r="A11" s="280" t="s">
        <v>47</v>
      </c>
      <c r="B11" s="281"/>
      <c r="C11" s="281">
        <f>0.0025*10</f>
        <v>2.5000000000000001E-2</v>
      </c>
      <c r="D11" s="281" t="s">
        <v>2</v>
      </c>
      <c r="E11" s="282"/>
      <c r="F11" s="244" t="s">
        <v>179</v>
      </c>
      <c r="G11" s="280" t="s">
        <v>47</v>
      </c>
      <c r="H11" s="281"/>
      <c r="I11" s="281">
        <f>0.0025*10</f>
        <v>2.5000000000000001E-2</v>
      </c>
      <c r="J11" s="281" t="s">
        <v>2</v>
      </c>
      <c r="K11" s="282"/>
      <c r="M11" s="280" t="s">
        <v>47</v>
      </c>
      <c r="N11" s="281"/>
      <c r="O11" s="281">
        <f>0.0025*10</f>
        <v>2.5000000000000001E-2</v>
      </c>
      <c r="P11" s="281" t="s">
        <v>2</v>
      </c>
      <c r="Q11" s="282"/>
      <c r="S11" s="280" t="s">
        <v>1113</v>
      </c>
      <c r="T11" s="281"/>
      <c r="U11" s="281">
        <f>0.0025*10</f>
        <v>2.5000000000000001E-2</v>
      </c>
      <c r="V11" s="281" t="s">
        <v>2</v>
      </c>
      <c r="W11" s="282"/>
      <c r="Y11" s="280" t="s">
        <v>1139</v>
      </c>
      <c r="Z11" s="281"/>
      <c r="AA11" s="281">
        <f>0.0025*10</f>
        <v>2.5000000000000001E-2</v>
      </c>
      <c r="AB11" s="281" t="s">
        <v>2</v>
      </c>
      <c r="AC11" s="282"/>
      <c r="AE11" s="260" t="s">
        <v>268</v>
      </c>
      <c r="AF11" s="283">
        <v>11.0320154251381</v>
      </c>
      <c r="AG11" s="283">
        <f>AF70</f>
        <v>2.8869111016277276</v>
      </c>
    </row>
    <row r="12" spans="1:37" x14ac:dyDescent="0.2">
      <c r="A12" s="280" t="s">
        <v>48</v>
      </c>
      <c r="B12" s="281"/>
      <c r="C12" s="281">
        <f>0.007*10</f>
        <v>7.0000000000000007E-2</v>
      </c>
      <c r="D12" s="281" t="s">
        <v>2</v>
      </c>
      <c r="E12" s="282"/>
      <c r="F12" s="244" t="s">
        <v>179</v>
      </c>
      <c r="G12" s="280" t="s">
        <v>48</v>
      </c>
      <c r="H12" s="281"/>
      <c r="I12" s="281">
        <f>0.007*10</f>
        <v>7.0000000000000007E-2</v>
      </c>
      <c r="J12" s="281" t="s">
        <v>2</v>
      </c>
      <c r="K12" s="282"/>
      <c r="M12" s="280" t="s">
        <v>48</v>
      </c>
      <c r="N12" s="281"/>
      <c r="O12" s="281">
        <f>0.007*10</f>
        <v>7.0000000000000007E-2</v>
      </c>
      <c r="P12" s="281" t="s">
        <v>2</v>
      </c>
      <c r="Q12" s="282"/>
      <c r="S12" s="280" t="s">
        <v>1114</v>
      </c>
      <c r="T12" s="281"/>
      <c r="U12" s="281">
        <f>0.007*10</f>
        <v>7.0000000000000007E-2</v>
      </c>
      <c r="V12" s="281" t="s">
        <v>2</v>
      </c>
      <c r="W12" s="282"/>
      <c r="Y12" s="280" t="s">
        <v>1140</v>
      </c>
      <c r="Z12" s="281"/>
      <c r="AA12" s="281">
        <f>0.007*10</f>
        <v>7.0000000000000007E-2</v>
      </c>
      <c r="AB12" s="281" t="s">
        <v>2</v>
      </c>
      <c r="AC12" s="282"/>
      <c r="AF12" s="283"/>
      <c r="AG12" s="283"/>
    </row>
    <row r="13" spans="1:37" x14ac:dyDescent="0.2">
      <c r="A13" s="280" t="s">
        <v>143</v>
      </c>
      <c r="B13" s="281"/>
      <c r="C13" s="281">
        <v>0.06</v>
      </c>
      <c r="D13" s="281" t="s">
        <v>2</v>
      </c>
      <c r="E13" s="286"/>
      <c r="F13" s="244" t="s">
        <v>179</v>
      </c>
      <c r="G13" s="280" t="s">
        <v>143</v>
      </c>
      <c r="H13" s="281"/>
      <c r="I13" s="281">
        <v>0.06</v>
      </c>
      <c r="J13" s="281" t="s">
        <v>2</v>
      </c>
      <c r="K13" s="282" t="s">
        <v>188</v>
      </c>
      <c r="M13" s="280" t="s">
        <v>143</v>
      </c>
      <c r="N13" s="281"/>
      <c r="O13" s="281">
        <v>0.06</v>
      </c>
      <c r="P13" s="281" t="s">
        <v>2</v>
      </c>
      <c r="Q13" s="282" t="s">
        <v>188</v>
      </c>
      <c r="S13" s="280" t="s">
        <v>1115</v>
      </c>
      <c r="T13" s="281"/>
      <c r="U13" s="281">
        <v>0</v>
      </c>
      <c r="V13" s="281" t="s">
        <v>2</v>
      </c>
      <c r="W13" s="324" t="s">
        <v>287</v>
      </c>
      <c r="Y13" s="280" t="s">
        <v>1141</v>
      </c>
      <c r="Z13" s="281"/>
      <c r="AA13" s="281">
        <v>0.06</v>
      </c>
      <c r="AB13" s="281" t="s">
        <v>2</v>
      </c>
      <c r="AC13" s="282" t="s">
        <v>188</v>
      </c>
    </row>
    <row r="14" spans="1:37" x14ac:dyDescent="0.2">
      <c r="A14" s="280" t="s">
        <v>54</v>
      </c>
      <c r="B14" s="281"/>
      <c r="C14" s="281">
        <f>0.001*10*2</f>
        <v>0.02</v>
      </c>
      <c r="D14" s="281" t="s">
        <v>2</v>
      </c>
      <c r="E14" s="282"/>
      <c r="F14" s="244" t="s">
        <v>179</v>
      </c>
      <c r="G14" s="280" t="s">
        <v>54</v>
      </c>
      <c r="H14" s="281"/>
      <c r="I14" s="281">
        <f>0.001*10*2</f>
        <v>0.02</v>
      </c>
      <c r="J14" s="281" t="s">
        <v>2</v>
      </c>
      <c r="K14" s="282"/>
      <c r="M14" s="280" t="s">
        <v>54</v>
      </c>
      <c r="N14" s="281"/>
      <c r="O14" s="281">
        <f>0.001*10*2</f>
        <v>0.02</v>
      </c>
      <c r="P14" s="281" t="s">
        <v>2</v>
      </c>
      <c r="Q14" s="282"/>
      <c r="S14" s="280" t="s">
        <v>1116</v>
      </c>
      <c r="T14" s="281"/>
      <c r="U14" s="281">
        <f>0.001*10*2</f>
        <v>0.02</v>
      </c>
      <c r="V14" s="281" t="s">
        <v>2</v>
      </c>
      <c r="W14" s="282"/>
      <c r="Y14" s="280" t="s">
        <v>1142</v>
      </c>
      <c r="Z14" s="281"/>
      <c r="AA14" s="281">
        <f>0.001*10*2</f>
        <v>0.02</v>
      </c>
      <c r="AB14" s="281" t="s">
        <v>2</v>
      </c>
      <c r="AC14" s="282"/>
    </row>
    <row r="15" spans="1:37" x14ac:dyDescent="0.2">
      <c r="A15" s="280" t="s">
        <v>144</v>
      </c>
      <c r="B15" s="281"/>
      <c r="C15" s="281">
        <v>0.03</v>
      </c>
      <c r="D15" s="281" t="s">
        <v>2</v>
      </c>
      <c r="E15" s="286"/>
      <c r="F15" s="244" t="s">
        <v>179</v>
      </c>
      <c r="G15" s="280" t="s">
        <v>144</v>
      </c>
      <c r="H15" s="281"/>
      <c r="I15" s="281">
        <v>0.03</v>
      </c>
      <c r="J15" s="281" t="s">
        <v>2</v>
      </c>
      <c r="K15" s="282" t="s">
        <v>189</v>
      </c>
      <c r="M15" s="280" t="s">
        <v>144</v>
      </c>
      <c r="N15" s="281"/>
      <c r="O15" s="281">
        <v>0.03</v>
      </c>
      <c r="P15" s="281" t="s">
        <v>2</v>
      </c>
      <c r="Q15" s="282" t="s">
        <v>189</v>
      </c>
      <c r="S15" s="280" t="s">
        <v>1117</v>
      </c>
      <c r="T15" s="281"/>
      <c r="U15" s="281">
        <v>0.03</v>
      </c>
      <c r="V15" s="281" t="s">
        <v>2</v>
      </c>
      <c r="W15" s="282" t="s">
        <v>189</v>
      </c>
      <c r="Y15" s="280" t="s">
        <v>1143</v>
      </c>
      <c r="Z15" s="281"/>
      <c r="AA15" s="281">
        <v>0.03</v>
      </c>
      <c r="AB15" s="281" t="s">
        <v>2</v>
      </c>
      <c r="AC15" s="282" t="s">
        <v>189</v>
      </c>
    </row>
    <row r="16" spans="1:37" x14ac:dyDescent="0.2">
      <c r="A16" s="280" t="s">
        <v>190</v>
      </c>
      <c r="B16" s="281"/>
      <c r="C16" s="281">
        <v>0.08</v>
      </c>
      <c r="D16" s="281" t="s">
        <v>2</v>
      </c>
      <c r="E16" s="286"/>
      <c r="F16" s="244" t="s">
        <v>179</v>
      </c>
      <c r="G16" s="280" t="s">
        <v>190</v>
      </c>
      <c r="H16" s="281"/>
      <c r="I16" s="281">
        <v>0.08</v>
      </c>
      <c r="J16" s="281" t="s">
        <v>2</v>
      </c>
      <c r="K16" s="324" t="s">
        <v>283</v>
      </c>
      <c r="M16" s="280" t="s">
        <v>190</v>
      </c>
      <c r="N16" s="281"/>
      <c r="O16" s="281">
        <v>0.08</v>
      </c>
      <c r="P16" s="281" t="s">
        <v>2</v>
      </c>
      <c r="Q16" s="324" t="s">
        <v>1237</v>
      </c>
      <c r="S16" s="280" t="s">
        <v>1118</v>
      </c>
      <c r="T16" s="281"/>
      <c r="U16" s="281">
        <v>0.08</v>
      </c>
      <c r="V16" s="281" t="s">
        <v>2</v>
      </c>
      <c r="W16" s="324"/>
      <c r="Y16" s="280" t="s">
        <v>1144</v>
      </c>
      <c r="Z16" s="281"/>
      <c r="AA16" s="281">
        <v>0.08</v>
      </c>
      <c r="AB16" s="281" t="s">
        <v>2</v>
      </c>
      <c r="AC16" s="324"/>
    </row>
    <row r="17" spans="1:29" x14ac:dyDescent="0.2">
      <c r="A17" s="280" t="s">
        <v>191</v>
      </c>
      <c r="B17" s="281"/>
      <c r="C17" s="281">
        <v>0.04</v>
      </c>
      <c r="D17" s="281" t="s">
        <v>2</v>
      </c>
      <c r="E17" s="282"/>
      <c r="F17" s="244" t="s">
        <v>179</v>
      </c>
      <c r="G17" s="280" t="s">
        <v>191</v>
      </c>
      <c r="H17" s="281"/>
      <c r="I17" s="281">
        <v>0.04</v>
      </c>
      <c r="J17" s="281" t="s">
        <v>2</v>
      </c>
      <c r="K17" s="324" t="s">
        <v>283</v>
      </c>
      <c r="M17" s="280" t="s">
        <v>191</v>
      </c>
      <c r="N17" s="281"/>
      <c r="O17" s="281">
        <v>0.04</v>
      </c>
      <c r="P17" s="281" t="s">
        <v>2</v>
      </c>
      <c r="Q17" s="324" t="s">
        <v>1237</v>
      </c>
      <c r="S17" s="280" t="s">
        <v>285</v>
      </c>
      <c r="T17" s="281"/>
      <c r="U17" s="281">
        <v>0.04</v>
      </c>
      <c r="V17" s="281" t="s">
        <v>2</v>
      </c>
      <c r="W17" s="324"/>
      <c r="Y17" s="280" t="s">
        <v>1145</v>
      </c>
      <c r="Z17" s="281"/>
      <c r="AA17" s="281">
        <v>0.04</v>
      </c>
      <c r="AB17" s="281" t="s">
        <v>2</v>
      </c>
      <c r="AC17" s="324"/>
    </row>
    <row r="18" spans="1:29" x14ac:dyDescent="0.2">
      <c r="A18" s="280" t="s">
        <v>192</v>
      </c>
      <c r="B18" s="281"/>
      <c r="C18" s="281">
        <v>0.01</v>
      </c>
      <c r="D18" s="281" t="s">
        <v>2</v>
      </c>
      <c r="E18" s="282"/>
      <c r="F18" s="244" t="s">
        <v>179</v>
      </c>
      <c r="G18" s="280" t="s">
        <v>192</v>
      </c>
      <c r="H18" s="281"/>
      <c r="I18" s="281">
        <v>0.01</v>
      </c>
      <c r="J18" s="281" t="s">
        <v>2</v>
      </c>
      <c r="K18" s="324" t="s">
        <v>283</v>
      </c>
      <c r="M18" s="280" t="s">
        <v>192</v>
      </c>
      <c r="N18" s="281"/>
      <c r="O18" s="281">
        <v>0.01</v>
      </c>
      <c r="P18" s="281" t="s">
        <v>2</v>
      </c>
      <c r="Q18" s="324" t="s">
        <v>1237</v>
      </c>
      <c r="S18" s="280" t="s">
        <v>1119</v>
      </c>
      <c r="T18" s="281"/>
      <c r="U18" s="281">
        <v>0.01</v>
      </c>
      <c r="V18" s="281" t="s">
        <v>2</v>
      </c>
      <c r="W18" s="324"/>
      <c r="Y18" s="280" t="s">
        <v>1146</v>
      </c>
      <c r="Z18" s="281"/>
      <c r="AA18" s="281">
        <v>0.01</v>
      </c>
      <c r="AB18" s="281" t="s">
        <v>2</v>
      </c>
      <c r="AC18" s="324"/>
    </row>
    <row r="19" spans="1:29" x14ac:dyDescent="0.2">
      <c r="A19" s="280" t="s">
        <v>193</v>
      </c>
      <c r="B19" s="281"/>
      <c r="C19" s="281">
        <v>2E-3</v>
      </c>
      <c r="D19" s="281" t="s">
        <v>2</v>
      </c>
      <c r="E19" s="282"/>
      <c r="F19" s="244" t="s">
        <v>179</v>
      </c>
      <c r="G19" s="280" t="s">
        <v>193</v>
      </c>
      <c r="H19" s="281"/>
      <c r="I19" s="281">
        <v>2E-3</v>
      </c>
      <c r="J19" s="281" t="s">
        <v>2</v>
      </c>
      <c r="K19" s="324" t="s">
        <v>283</v>
      </c>
      <c r="M19" s="280" t="s">
        <v>193</v>
      </c>
      <c r="N19" s="281"/>
      <c r="O19" s="281">
        <v>2E-3</v>
      </c>
      <c r="P19" s="281" t="s">
        <v>2</v>
      </c>
      <c r="Q19" s="324" t="s">
        <v>1237</v>
      </c>
      <c r="S19" s="280" t="s">
        <v>1120</v>
      </c>
      <c r="T19" s="281"/>
      <c r="U19" s="281">
        <v>2E-3</v>
      </c>
      <c r="V19" s="281" t="s">
        <v>2</v>
      </c>
      <c r="W19" s="324"/>
      <c r="Y19" s="280" t="s">
        <v>1147</v>
      </c>
      <c r="Z19" s="281"/>
      <c r="AA19" s="281">
        <v>2E-3</v>
      </c>
      <c r="AB19" s="281" t="s">
        <v>2</v>
      </c>
      <c r="AC19" s="324"/>
    </row>
    <row r="20" spans="1:29" x14ac:dyDescent="0.2">
      <c r="A20" s="280" t="s">
        <v>703</v>
      </c>
      <c r="B20" s="281"/>
      <c r="C20" s="281">
        <v>0</v>
      </c>
      <c r="D20" s="281" t="s">
        <v>2</v>
      </c>
      <c r="E20" s="337" t="s">
        <v>271</v>
      </c>
      <c r="F20" s="244" t="s">
        <v>179</v>
      </c>
      <c r="G20" s="280" t="s">
        <v>703</v>
      </c>
      <c r="H20" s="281"/>
      <c r="I20" s="281">
        <v>0</v>
      </c>
      <c r="J20" s="281" t="s">
        <v>2</v>
      </c>
      <c r="K20" s="324" t="s">
        <v>283</v>
      </c>
      <c r="M20" s="280" t="s">
        <v>703</v>
      </c>
      <c r="N20" s="281"/>
      <c r="O20" s="281">
        <v>0</v>
      </c>
      <c r="P20" s="281" t="s">
        <v>2</v>
      </c>
      <c r="Q20" s="324" t="s">
        <v>1237</v>
      </c>
      <c r="S20" s="280" t="s">
        <v>1121</v>
      </c>
      <c r="T20" s="281"/>
      <c r="U20" s="281">
        <v>0</v>
      </c>
      <c r="V20" s="281" t="s">
        <v>2</v>
      </c>
      <c r="W20" s="324"/>
      <c r="Y20" s="280" t="s">
        <v>1148</v>
      </c>
      <c r="Z20" s="281"/>
      <c r="AA20" s="281">
        <v>0</v>
      </c>
      <c r="AB20" s="281" t="s">
        <v>2</v>
      </c>
      <c r="AC20" s="324"/>
    </row>
    <row r="21" spans="1:29" x14ac:dyDescent="0.2">
      <c r="A21" s="280" t="s">
        <v>194</v>
      </c>
      <c r="B21" s="281"/>
      <c r="C21" s="281">
        <v>7.0000000000000007E-2</v>
      </c>
      <c r="D21" s="281" t="s">
        <v>2</v>
      </c>
      <c r="E21" s="337"/>
      <c r="F21" s="244" t="s">
        <v>179</v>
      </c>
      <c r="G21" s="280" t="s">
        <v>194</v>
      </c>
      <c r="H21" s="281"/>
      <c r="I21" s="281">
        <v>7.0000000000000007E-2</v>
      </c>
      <c r="J21" s="281" t="s">
        <v>2</v>
      </c>
      <c r="K21" s="324" t="s">
        <v>283</v>
      </c>
      <c r="M21" s="280" t="s">
        <v>194</v>
      </c>
      <c r="N21" s="281"/>
      <c r="O21" s="281">
        <v>7.0000000000000007E-2</v>
      </c>
      <c r="P21" s="281" t="s">
        <v>2</v>
      </c>
      <c r="Q21" s="324" t="s">
        <v>1237</v>
      </c>
      <c r="S21" s="280" t="s">
        <v>1122</v>
      </c>
      <c r="T21" s="281"/>
      <c r="U21" s="281">
        <v>7.0000000000000007E-2</v>
      </c>
      <c r="V21" s="281" t="s">
        <v>2</v>
      </c>
      <c r="W21" s="324"/>
      <c r="Y21" s="280" t="s">
        <v>1149</v>
      </c>
      <c r="Z21" s="281"/>
      <c r="AA21" s="281">
        <v>7.0000000000000007E-2</v>
      </c>
      <c r="AB21" s="281" t="s">
        <v>2</v>
      </c>
      <c r="AC21" s="324"/>
    </row>
    <row r="22" spans="1:29" x14ac:dyDescent="0.2">
      <c r="A22" s="280" t="s">
        <v>704</v>
      </c>
      <c r="B22" s="281"/>
      <c r="C22" s="281">
        <v>0</v>
      </c>
      <c r="D22" s="281" t="s">
        <v>2</v>
      </c>
      <c r="E22" s="337" t="s">
        <v>272</v>
      </c>
      <c r="F22" s="244" t="s">
        <v>179</v>
      </c>
      <c r="G22" s="280" t="s">
        <v>704</v>
      </c>
      <c r="H22" s="281"/>
      <c r="I22" s="281">
        <v>0</v>
      </c>
      <c r="J22" s="281" t="s">
        <v>2</v>
      </c>
      <c r="K22" s="324" t="s">
        <v>283</v>
      </c>
      <c r="M22" s="280" t="s">
        <v>704</v>
      </c>
      <c r="N22" s="281"/>
      <c r="O22" s="281">
        <v>0</v>
      </c>
      <c r="P22" s="281" t="s">
        <v>2</v>
      </c>
      <c r="Q22" s="324" t="s">
        <v>1237</v>
      </c>
      <c r="S22" s="280" t="s">
        <v>1123</v>
      </c>
      <c r="T22" s="281"/>
      <c r="U22" s="281">
        <v>0</v>
      </c>
      <c r="V22" s="281" t="s">
        <v>2</v>
      </c>
      <c r="W22" s="324"/>
      <c r="Y22" s="280" t="s">
        <v>1150</v>
      </c>
      <c r="Z22" s="281"/>
      <c r="AA22" s="281">
        <v>0</v>
      </c>
      <c r="AB22" s="281" t="s">
        <v>2</v>
      </c>
      <c r="AC22" s="324"/>
    </row>
    <row r="23" spans="1:29" x14ac:dyDescent="0.2">
      <c r="A23" s="280" t="s">
        <v>195</v>
      </c>
      <c r="B23" s="281"/>
      <c r="C23" s="281">
        <v>7.0000000000000007E-2</v>
      </c>
      <c r="D23" s="281" t="s">
        <v>2</v>
      </c>
      <c r="E23" s="337"/>
      <c r="F23" s="244" t="s">
        <v>179</v>
      </c>
      <c r="G23" s="280" t="s">
        <v>195</v>
      </c>
      <c r="H23" s="281"/>
      <c r="I23" s="281">
        <v>7.0000000000000007E-2</v>
      </c>
      <c r="J23" s="281" t="s">
        <v>2</v>
      </c>
      <c r="K23" s="324" t="s">
        <v>283</v>
      </c>
      <c r="M23" s="280" t="s">
        <v>195</v>
      </c>
      <c r="N23" s="281"/>
      <c r="O23" s="281">
        <v>7.0000000000000007E-2</v>
      </c>
      <c r="P23" s="281" t="s">
        <v>2</v>
      </c>
      <c r="Q23" s="324" t="s">
        <v>1237</v>
      </c>
      <c r="S23" s="280" t="s">
        <v>1124</v>
      </c>
      <c r="T23" s="281"/>
      <c r="U23" s="281">
        <v>7.0000000000000007E-2</v>
      </c>
      <c r="V23" s="281" t="s">
        <v>2</v>
      </c>
      <c r="W23" s="324"/>
      <c r="Y23" s="280" t="s">
        <v>1151</v>
      </c>
      <c r="Z23" s="281"/>
      <c r="AA23" s="281">
        <v>7.0000000000000007E-2</v>
      </c>
      <c r="AB23" s="281" t="s">
        <v>2</v>
      </c>
      <c r="AC23" s="324"/>
    </row>
    <row r="24" spans="1:29" x14ac:dyDescent="0.2">
      <c r="A24" s="280" t="s">
        <v>705</v>
      </c>
      <c r="B24" s="281"/>
      <c r="C24" s="281">
        <v>0</v>
      </c>
      <c r="D24" s="281" t="s">
        <v>2</v>
      </c>
      <c r="E24" s="337" t="s">
        <v>273</v>
      </c>
      <c r="F24" s="244" t="s">
        <v>179</v>
      </c>
      <c r="G24" s="280" t="s">
        <v>705</v>
      </c>
      <c r="H24" s="281"/>
      <c r="I24" s="281">
        <v>0</v>
      </c>
      <c r="J24" s="281" t="s">
        <v>2</v>
      </c>
      <c r="K24" s="324" t="s">
        <v>283</v>
      </c>
      <c r="M24" s="280" t="s">
        <v>705</v>
      </c>
      <c r="N24" s="281"/>
      <c r="O24" s="281">
        <v>0</v>
      </c>
      <c r="P24" s="281" t="s">
        <v>2</v>
      </c>
      <c r="Q24" s="324" t="s">
        <v>1237</v>
      </c>
      <c r="S24" s="280" t="s">
        <v>1125</v>
      </c>
      <c r="T24" s="281"/>
      <c r="U24" s="281">
        <v>0</v>
      </c>
      <c r="V24" s="281" t="s">
        <v>2</v>
      </c>
      <c r="W24" s="324"/>
      <c r="Y24" s="280" t="s">
        <v>1152</v>
      </c>
      <c r="Z24" s="281"/>
      <c r="AA24" s="281">
        <v>0</v>
      </c>
      <c r="AB24" s="281" t="s">
        <v>2</v>
      </c>
      <c r="AC24" s="324"/>
    </row>
    <row r="25" spans="1:29" x14ac:dyDescent="0.2">
      <c r="A25" s="280" t="s">
        <v>196</v>
      </c>
      <c r="B25" s="281"/>
      <c r="C25" s="281">
        <v>0.08</v>
      </c>
      <c r="D25" s="281" t="s">
        <v>2</v>
      </c>
      <c r="E25" s="337"/>
      <c r="F25" s="244" t="s">
        <v>179</v>
      </c>
      <c r="G25" s="280" t="s">
        <v>196</v>
      </c>
      <c r="H25" s="281"/>
      <c r="I25" s="281">
        <v>0.08</v>
      </c>
      <c r="J25" s="281" t="s">
        <v>2</v>
      </c>
      <c r="K25" s="324" t="s">
        <v>283</v>
      </c>
      <c r="M25" s="280" t="s">
        <v>196</v>
      </c>
      <c r="N25" s="281"/>
      <c r="O25" s="281">
        <v>0.08</v>
      </c>
      <c r="P25" s="281" t="s">
        <v>2</v>
      </c>
      <c r="Q25" s="324" t="s">
        <v>1237</v>
      </c>
      <c r="S25" s="280" t="s">
        <v>1126</v>
      </c>
      <c r="T25" s="281"/>
      <c r="U25" s="281">
        <v>0.08</v>
      </c>
      <c r="V25" s="281" t="s">
        <v>2</v>
      </c>
      <c r="W25" s="324"/>
      <c r="Y25" s="280" t="s">
        <v>1153</v>
      </c>
      <c r="Z25" s="281"/>
      <c r="AA25" s="281">
        <v>0.08</v>
      </c>
      <c r="AB25" s="281" t="s">
        <v>2</v>
      </c>
      <c r="AC25" s="324"/>
    </row>
    <row r="26" spans="1:29" x14ac:dyDescent="0.2">
      <c r="A26" s="280" t="s">
        <v>197</v>
      </c>
      <c r="B26" s="281"/>
      <c r="C26" s="281">
        <v>0.04</v>
      </c>
      <c r="D26" s="281" t="s">
        <v>2</v>
      </c>
      <c r="E26" s="337"/>
      <c r="F26" s="244" t="s">
        <v>179</v>
      </c>
      <c r="G26" s="280" t="s">
        <v>197</v>
      </c>
      <c r="H26" s="281"/>
      <c r="I26" s="281">
        <v>0.04</v>
      </c>
      <c r="J26" s="281" t="s">
        <v>2</v>
      </c>
      <c r="K26" s="324" t="s">
        <v>283</v>
      </c>
      <c r="M26" s="280" t="s">
        <v>197</v>
      </c>
      <c r="N26" s="281"/>
      <c r="O26" s="281">
        <v>0.04</v>
      </c>
      <c r="P26" s="281" t="s">
        <v>2</v>
      </c>
      <c r="Q26" s="324" t="s">
        <v>1237</v>
      </c>
      <c r="S26" s="280" t="s">
        <v>1127</v>
      </c>
      <c r="T26" s="281"/>
      <c r="U26" s="281">
        <v>0.04</v>
      </c>
      <c r="V26" s="281" t="s">
        <v>2</v>
      </c>
      <c r="W26" s="324"/>
      <c r="Y26" s="280" t="s">
        <v>1154</v>
      </c>
      <c r="Z26" s="281"/>
      <c r="AA26" s="281">
        <v>0.04</v>
      </c>
      <c r="AB26" s="281" t="s">
        <v>2</v>
      </c>
      <c r="AC26" s="324"/>
    </row>
    <row r="27" spans="1:29" x14ac:dyDescent="0.2">
      <c r="A27" s="280" t="s">
        <v>198</v>
      </c>
      <c r="B27" s="281"/>
      <c r="C27" s="281">
        <v>0.01</v>
      </c>
      <c r="D27" s="281" t="s">
        <v>2</v>
      </c>
      <c r="E27" s="337"/>
      <c r="F27" s="244" t="s">
        <v>179</v>
      </c>
      <c r="G27" s="280" t="s">
        <v>198</v>
      </c>
      <c r="H27" s="281"/>
      <c r="I27" s="281">
        <v>0.01</v>
      </c>
      <c r="J27" s="281" t="s">
        <v>2</v>
      </c>
      <c r="K27" s="324" t="s">
        <v>283</v>
      </c>
      <c r="M27" s="280" t="s">
        <v>198</v>
      </c>
      <c r="N27" s="281"/>
      <c r="O27" s="281">
        <v>0.01</v>
      </c>
      <c r="P27" s="281" t="s">
        <v>2</v>
      </c>
      <c r="Q27" s="324" t="s">
        <v>1237</v>
      </c>
      <c r="S27" s="280" t="s">
        <v>1128</v>
      </c>
      <c r="T27" s="281"/>
      <c r="U27" s="281">
        <v>0.01</v>
      </c>
      <c r="V27" s="281" t="s">
        <v>2</v>
      </c>
      <c r="W27" s="324"/>
      <c r="Y27" s="280" t="s">
        <v>1155</v>
      </c>
      <c r="Z27" s="281"/>
      <c r="AA27" s="281">
        <v>0.01</v>
      </c>
      <c r="AB27" s="281" t="s">
        <v>2</v>
      </c>
      <c r="AC27" s="324"/>
    </row>
    <row r="28" spans="1:29" x14ac:dyDescent="0.2">
      <c r="A28" s="280" t="s">
        <v>199</v>
      </c>
      <c r="B28" s="281"/>
      <c r="C28" s="281">
        <v>2E-3</v>
      </c>
      <c r="D28" s="281" t="s">
        <v>2</v>
      </c>
      <c r="E28" s="337"/>
      <c r="F28" s="244" t="s">
        <v>179</v>
      </c>
      <c r="G28" s="280" t="s">
        <v>199</v>
      </c>
      <c r="H28" s="281"/>
      <c r="I28" s="281">
        <v>2E-3</v>
      </c>
      <c r="J28" s="281" t="s">
        <v>2</v>
      </c>
      <c r="K28" s="324" t="s">
        <v>283</v>
      </c>
      <c r="M28" s="280" t="s">
        <v>199</v>
      </c>
      <c r="N28" s="281"/>
      <c r="O28" s="281">
        <v>2E-3</v>
      </c>
      <c r="P28" s="281" t="s">
        <v>2</v>
      </c>
      <c r="Q28" s="324" t="s">
        <v>1237</v>
      </c>
      <c r="S28" s="280" t="s">
        <v>1129</v>
      </c>
      <c r="T28" s="281"/>
      <c r="U28" s="281">
        <v>2E-3</v>
      </c>
      <c r="V28" s="281" t="s">
        <v>2</v>
      </c>
      <c r="W28" s="324"/>
      <c r="Y28" s="280" t="s">
        <v>1156</v>
      </c>
      <c r="Z28" s="281"/>
      <c r="AA28" s="281">
        <v>2E-3</v>
      </c>
      <c r="AB28" s="281" t="s">
        <v>2</v>
      </c>
      <c r="AC28" s="324"/>
    </row>
    <row r="29" spans="1:29" x14ac:dyDescent="0.2">
      <c r="A29" s="280" t="s">
        <v>200</v>
      </c>
      <c r="B29" s="281"/>
      <c r="C29" s="281">
        <v>2.5000000000000001E-2</v>
      </c>
      <c r="D29" s="281" t="s">
        <v>2</v>
      </c>
      <c r="E29" s="337"/>
      <c r="F29" s="244" t="s">
        <v>179</v>
      </c>
      <c r="G29" s="280" t="s">
        <v>200</v>
      </c>
      <c r="H29" s="281"/>
      <c r="I29" s="281">
        <v>2.5000000000000001E-2</v>
      </c>
      <c r="J29" s="281" t="s">
        <v>2</v>
      </c>
      <c r="K29" s="324" t="s">
        <v>283</v>
      </c>
      <c r="M29" s="280" t="s">
        <v>200</v>
      </c>
      <c r="N29" s="281"/>
      <c r="O29" s="281">
        <v>2.5000000000000001E-2</v>
      </c>
      <c r="P29" s="281" t="s">
        <v>2</v>
      </c>
      <c r="Q29" s="324" t="s">
        <v>1237</v>
      </c>
      <c r="S29" s="280" t="s">
        <v>1130</v>
      </c>
      <c r="T29" s="281"/>
      <c r="U29" s="281">
        <v>2.5000000000000001E-2</v>
      </c>
      <c r="V29" s="281" t="s">
        <v>2</v>
      </c>
      <c r="W29" s="324"/>
      <c r="Y29" s="280" t="s">
        <v>1157</v>
      </c>
      <c r="Z29" s="281"/>
      <c r="AA29" s="281">
        <v>2.5000000000000001E-2</v>
      </c>
      <c r="AB29" s="281" t="s">
        <v>2</v>
      </c>
      <c r="AC29" s="324"/>
    </row>
    <row r="30" spans="1:29" x14ac:dyDescent="0.2">
      <c r="A30" s="280" t="s">
        <v>201</v>
      </c>
      <c r="B30" s="281"/>
      <c r="C30" s="281">
        <v>7.0000000000000007E-2</v>
      </c>
      <c r="D30" s="281" t="s">
        <v>2</v>
      </c>
      <c r="E30" s="282"/>
      <c r="F30" s="244" t="s">
        <v>179</v>
      </c>
      <c r="G30" s="280" t="s">
        <v>201</v>
      </c>
      <c r="H30" s="281"/>
      <c r="I30" s="281">
        <v>7.0000000000000007E-2</v>
      </c>
      <c r="J30" s="281" t="s">
        <v>2</v>
      </c>
      <c r="K30" s="324" t="s">
        <v>283</v>
      </c>
      <c r="M30" s="280" t="s">
        <v>201</v>
      </c>
      <c r="N30" s="281"/>
      <c r="O30" s="281">
        <v>7.0000000000000007E-2</v>
      </c>
      <c r="P30" s="281" t="s">
        <v>2</v>
      </c>
      <c r="Q30" s="324" t="s">
        <v>1237</v>
      </c>
      <c r="S30" s="280" t="s">
        <v>1131</v>
      </c>
      <c r="T30" s="281"/>
      <c r="U30" s="281">
        <v>7.0000000000000007E-2</v>
      </c>
      <c r="V30" s="281" t="s">
        <v>2</v>
      </c>
      <c r="W30" s="324"/>
      <c r="Y30" s="280" t="s">
        <v>1158</v>
      </c>
      <c r="Z30" s="281"/>
      <c r="AA30" s="281">
        <v>7.0000000000000007E-2</v>
      </c>
      <c r="AB30" s="281" t="s">
        <v>2</v>
      </c>
      <c r="AC30" s="324"/>
    </row>
    <row r="31" spans="1:29" x14ac:dyDescent="0.2">
      <c r="A31" s="280" t="s">
        <v>202</v>
      </c>
      <c r="B31" s="281"/>
      <c r="C31" s="281">
        <v>0.06</v>
      </c>
      <c r="D31" s="281" t="s">
        <v>2</v>
      </c>
      <c r="E31" s="282"/>
      <c r="F31" s="244" t="s">
        <v>179</v>
      </c>
      <c r="G31" s="280" t="s">
        <v>202</v>
      </c>
      <c r="H31" s="281"/>
      <c r="I31" s="281">
        <v>0.06</v>
      </c>
      <c r="J31" s="281" t="s">
        <v>2</v>
      </c>
      <c r="K31" s="324" t="s">
        <v>283</v>
      </c>
      <c r="M31" s="280" t="s">
        <v>202</v>
      </c>
      <c r="N31" s="281"/>
      <c r="O31" s="281">
        <v>0.06</v>
      </c>
      <c r="P31" s="281" t="s">
        <v>2</v>
      </c>
      <c r="Q31" s="324" t="s">
        <v>1237</v>
      </c>
      <c r="S31" s="280" t="s">
        <v>1132</v>
      </c>
      <c r="T31" s="281"/>
      <c r="U31" s="281">
        <v>0.06</v>
      </c>
      <c r="V31" s="281" t="s">
        <v>2</v>
      </c>
      <c r="W31" s="324"/>
      <c r="Y31" s="280" t="s">
        <v>1159</v>
      </c>
      <c r="Z31" s="281"/>
      <c r="AA31" s="281">
        <v>0.06</v>
      </c>
      <c r="AB31" s="281" t="s">
        <v>2</v>
      </c>
      <c r="AC31" s="324"/>
    </row>
    <row r="32" spans="1:29" x14ac:dyDescent="0.2">
      <c r="A32" s="280" t="s">
        <v>203</v>
      </c>
      <c r="B32" s="281"/>
      <c r="C32" s="281">
        <v>0.02</v>
      </c>
      <c r="D32" s="281" t="s">
        <v>2</v>
      </c>
      <c r="E32" s="282"/>
      <c r="F32" s="244" t="s">
        <v>179</v>
      </c>
      <c r="G32" s="280" t="s">
        <v>203</v>
      </c>
      <c r="H32" s="281"/>
      <c r="I32" s="281">
        <v>0.02</v>
      </c>
      <c r="J32" s="281" t="s">
        <v>2</v>
      </c>
      <c r="K32" s="324" t="s">
        <v>283</v>
      </c>
      <c r="M32" s="280" t="s">
        <v>203</v>
      </c>
      <c r="N32" s="281"/>
      <c r="O32" s="281">
        <v>0.02</v>
      </c>
      <c r="P32" s="281" t="s">
        <v>2</v>
      </c>
      <c r="Q32" s="324" t="s">
        <v>1237</v>
      </c>
      <c r="S32" s="280" t="s">
        <v>1133</v>
      </c>
      <c r="T32" s="281"/>
      <c r="U32" s="281">
        <v>0.02</v>
      </c>
      <c r="V32" s="281" t="s">
        <v>2</v>
      </c>
      <c r="W32" s="324"/>
      <c r="Y32" s="280" t="s">
        <v>1160</v>
      </c>
      <c r="Z32" s="281"/>
      <c r="AA32" s="281">
        <v>0.02</v>
      </c>
      <c r="AB32" s="281" t="s">
        <v>2</v>
      </c>
      <c r="AC32" s="324"/>
    </row>
    <row r="33" spans="1:41" x14ac:dyDescent="0.2">
      <c r="A33" s="280" t="s">
        <v>204</v>
      </c>
      <c r="B33" s="281"/>
      <c r="C33" s="281">
        <v>0.03</v>
      </c>
      <c r="D33" s="281" t="s">
        <v>2</v>
      </c>
      <c r="E33" s="282"/>
      <c r="F33" s="244" t="s">
        <v>179</v>
      </c>
      <c r="G33" s="280" t="s">
        <v>204</v>
      </c>
      <c r="H33" s="281"/>
      <c r="I33" s="281">
        <v>0.03</v>
      </c>
      <c r="J33" s="281" t="s">
        <v>2</v>
      </c>
      <c r="K33" s="324" t="s">
        <v>283</v>
      </c>
      <c r="M33" s="280" t="s">
        <v>204</v>
      </c>
      <c r="N33" s="281"/>
      <c r="O33" s="281">
        <v>0.03</v>
      </c>
      <c r="P33" s="281" t="s">
        <v>2</v>
      </c>
      <c r="Q33" s="324" t="s">
        <v>1237</v>
      </c>
      <c r="S33" s="280" t="s">
        <v>1134</v>
      </c>
      <c r="T33" s="281"/>
      <c r="U33" s="281">
        <v>0.03</v>
      </c>
      <c r="V33" s="281" t="s">
        <v>2</v>
      </c>
      <c r="W33" s="324"/>
      <c r="Y33" s="280" t="s">
        <v>1161</v>
      </c>
      <c r="Z33" s="281"/>
      <c r="AA33" s="281">
        <v>0.03</v>
      </c>
      <c r="AB33" s="281" t="s">
        <v>2</v>
      </c>
      <c r="AC33" s="324"/>
    </row>
    <row r="34" spans="1:41" s="1" customFormat="1" x14ac:dyDescent="0.2">
      <c r="A34" s="277" t="s">
        <v>205</v>
      </c>
      <c r="B34" s="278"/>
      <c r="C34" s="278"/>
      <c r="D34" s="278"/>
      <c r="E34" s="279"/>
      <c r="G34" s="277" t="s">
        <v>205</v>
      </c>
      <c r="H34" s="278"/>
      <c r="I34" s="278"/>
      <c r="J34" s="278"/>
      <c r="K34" s="279"/>
      <c r="M34" s="277" t="s">
        <v>205</v>
      </c>
      <c r="N34" s="278"/>
      <c r="O34" s="278"/>
      <c r="P34" s="278"/>
      <c r="Q34" s="279"/>
      <c r="S34" s="277" t="s">
        <v>205</v>
      </c>
      <c r="T34" s="278"/>
      <c r="U34" s="278"/>
      <c r="V34" s="278"/>
      <c r="W34" s="279"/>
      <c r="Y34" s="277" t="s">
        <v>205</v>
      </c>
      <c r="Z34" s="278"/>
      <c r="AA34" s="278"/>
      <c r="AB34" s="278"/>
      <c r="AC34" s="279"/>
      <c r="AD34" s="18"/>
      <c r="AE34" s="18"/>
      <c r="AF34" s="18"/>
      <c r="AG34" s="18"/>
      <c r="AH34" s="18"/>
      <c r="AI34" s="18"/>
      <c r="AJ34" s="18"/>
      <c r="AK34" s="18"/>
    </row>
    <row r="35" spans="1:41" x14ac:dyDescent="0.2">
      <c r="A35" s="280" t="s">
        <v>206</v>
      </c>
      <c r="B35" s="281"/>
      <c r="C35" s="288">
        <v>0.7</v>
      </c>
      <c r="D35" s="281" t="s">
        <v>207</v>
      </c>
      <c r="E35" s="373" t="s">
        <v>1076</v>
      </c>
      <c r="F35" s="244" t="s">
        <v>179</v>
      </c>
      <c r="G35" s="280" t="s">
        <v>206</v>
      </c>
      <c r="H35" s="281"/>
      <c r="I35" s="288">
        <f>0.0933*0.8</f>
        <v>7.4639999999999998E-2</v>
      </c>
      <c r="J35" s="281" t="s">
        <v>207</v>
      </c>
      <c r="K35" s="373" t="s">
        <v>1163</v>
      </c>
      <c r="M35" s="280" t="s">
        <v>206</v>
      </c>
      <c r="N35" s="281"/>
      <c r="O35" s="288">
        <v>2.73</v>
      </c>
      <c r="P35" s="281" t="s">
        <v>207</v>
      </c>
      <c r="Q35" s="373" t="s">
        <v>1080</v>
      </c>
      <c r="S35" s="280" t="s">
        <v>206</v>
      </c>
      <c r="T35" s="281"/>
      <c r="U35" s="288">
        <v>0.7</v>
      </c>
      <c r="V35" s="281" t="s">
        <v>207</v>
      </c>
      <c r="W35" s="373" t="s">
        <v>1076</v>
      </c>
      <c r="Y35" s="280" t="s">
        <v>206</v>
      </c>
      <c r="Z35" s="281"/>
      <c r="AA35" s="288">
        <v>0.7</v>
      </c>
      <c r="AB35" s="281" t="s">
        <v>207</v>
      </c>
      <c r="AC35" s="373" t="s">
        <v>1076</v>
      </c>
    </row>
    <row r="36" spans="1:41" x14ac:dyDescent="0.2">
      <c r="A36" s="280" t="s">
        <v>208</v>
      </c>
      <c r="B36" s="281"/>
      <c r="C36" s="288">
        <f>30/3.6</f>
        <v>8.3333333333333339</v>
      </c>
      <c r="D36" s="281" t="s">
        <v>207</v>
      </c>
      <c r="E36" s="373"/>
      <c r="F36" s="244" t="s">
        <v>179</v>
      </c>
      <c r="G36" s="280" t="s">
        <v>208</v>
      </c>
      <c r="H36" s="281"/>
      <c r="I36" s="288">
        <f>123/350</f>
        <v>0.35142857142857142</v>
      </c>
      <c r="J36" s="281" t="s">
        <v>207</v>
      </c>
      <c r="K36" s="373"/>
      <c r="M36" s="280" t="s">
        <v>208</v>
      </c>
      <c r="N36" s="281"/>
      <c r="O36" s="288">
        <f>(69.9+0.38)/3.6</f>
        <v>19.522222222222222</v>
      </c>
      <c r="P36" s="281" t="s">
        <v>207</v>
      </c>
      <c r="Q36" s="373"/>
      <c r="S36" s="280" t="s">
        <v>208</v>
      </c>
      <c r="T36" s="281"/>
      <c r="U36" s="288">
        <f>30/3.6</f>
        <v>8.3333333333333339</v>
      </c>
      <c r="V36" s="281" t="s">
        <v>207</v>
      </c>
      <c r="W36" s="373"/>
      <c r="Y36" s="280" t="s">
        <v>208</v>
      </c>
      <c r="Z36" s="281"/>
      <c r="AA36" s="288">
        <f>30/3.6</f>
        <v>8.3333333333333339</v>
      </c>
      <c r="AB36" s="281" t="s">
        <v>207</v>
      </c>
      <c r="AC36" s="373"/>
    </row>
    <row r="37" spans="1:41" s="1" customFormat="1" x14ac:dyDescent="0.2">
      <c r="A37" s="277" t="s">
        <v>209</v>
      </c>
      <c r="B37" s="278"/>
      <c r="C37" s="278"/>
      <c r="D37" s="278"/>
      <c r="E37" s="279"/>
      <c r="G37" s="277" t="s">
        <v>209</v>
      </c>
      <c r="H37" s="278"/>
      <c r="I37" s="278"/>
      <c r="J37" s="278"/>
      <c r="K37" s="279"/>
      <c r="M37" s="277" t="s">
        <v>209</v>
      </c>
      <c r="N37" s="278"/>
      <c r="O37" s="278"/>
      <c r="P37" s="278"/>
      <c r="Q37" s="279"/>
      <c r="S37" s="277" t="s">
        <v>209</v>
      </c>
      <c r="T37" s="278"/>
      <c r="U37" s="278"/>
      <c r="V37" s="278"/>
      <c r="W37" s="279"/>
      <c r="Y37" s="277" t="s">
        <v>209</v>
      </c>
      <c r="Z37" s="278"/>
      <c r="AA37" s="278"/>
      <c r="AB37" s="278"/>
      <c r="AC37" s="279"/>
      <c r="AD37" s="18"/>
      <c r="AE37" s="18"/>
      <c r="AF37" s="18"/>
      <c r="AG37" s="18"/>
      <c r="AH37" s="18"/>
      <c r="AI37" s="18"/>
      <c r="AJ37" s="18"/>
      <c r="AK37" s="18"/>
    </row>
    <row r="38" spans="1:41" x14ac:dyDescent="0.2">
      <c r="A38" s="280" t="s">
        <v>210</v>
      </c>
      <c r="B38" s="281"/>
      <c r="C38" s="281">
        <v>2.0000000000000001E-4</v>
      </c>
      <c r="D38" s="281" t="s">
        <v>2</v>
      </c>
      <c r="E38" s="282" t="s">
        <v>211</v>
      </c>
      <c r="F38" s="244" t="s">
        <v>179</v>
      </c>
      <c r="G38" s="280" t="s">
        <v>210</v>
      </c>
      <c r="H38" s="281"/>
      <c r="I38" s="281">
        <v>2.0000000000000002E-5</v>
      </c>
      <c r="J38" s="281" t="s">
        <v>2</v>
      </c>
      <c r="K38" s="324" t="s">
        <v>283</v>
      </c>
      <c r="L38" t="s">
        <v>87</v>
      </c>
      <c r="M38" s="280" t="s">
        <v>210</v>
      </c>
      <c r="N38" s="281"/>
      <c r="O38" s="281">
        <v>2E-3</v>
      </c>
      <c r="P38" s="281" t="s">
        <v>2</v>
      </c>
      <c r="Q38" s="373" t="s">
        <v>1164</v>
      </c>
      <c r="S38" s="280" t="s">
        <v>210</v>
      </c>
      <c r="T38" s="281"/>
      <c r="U38" s="281">
        <v>2.0000000000000001E-4</v>
      </c>
      <c r="V38" s="281" t="s">
        <v>2</v>
      </c>
      <c r="W38" s="282" t="s">
        <v>211</v>
      </c>
      <c r="X38" t="s">
        <v>87</v>
      </c>
      <c r="Y38" s="280" t="s">
        <v>210</v>
      </c>
      <c r="Z38" s="281"/>
      <c r="AA38" s="281">
        <v>2.0000000000000001E-4</v>
      </c>
      <c r="AB38" s="281" t="s">
        <v>2</v>
      </c>
      <c r="AC38" s="282" t="s">
        <v>211</v>
      </c>
      <c r="AD38" s="3" t="s">
        <v>87</v>
      </c>
    </row>
    <row r="39" spans="1:41" s="1" customFormat="1" x14ac:dyDescent="0.2">
      <c r="A39" s="277" t="s">
        <v>212</v>
      </c>
      <c r="B39" s="278"/>
      <c r="C39" s="278"/>
      <c r="D39" s="278"/>
      <c r="E39" s="279"/>
      <c r="G39" s="277" t="s">
        <v>212</v>
      </c>
      <c r="H39" s="278"/>
      <c r="I39" s="278"/>
      <c r="J39" s="278"/>
      <c r="K39" s="279"/>
      <c r="M39" s="277" t="s">
        <v>212</v>
      </c>
      <c r="N39" s="278"/>
      <c r="O39" s="278"/>
      <c r="P39" s="278"/>
      <c r="Q39" s="279"/>
      <c r="S39" s="277" t="s">
        <v>212</v>
      </c>
      <c r="T39" s="278"/>
      <c r="U39" s="278"/>
      <c r="V39" s="278"/>
      <c r="W39" s="279"/>
      <c r="Y39" s="277" t="s">
        <v>212</v>
      </c>
      <c r="Z39" s="278"/>
      <c r="AA39" s="278"/>
      <c r="AB39" s="278"/>
      <c r="AC39" s="279"/>
      <c r="AD39" s="18"/>
      <c r="AE39" s="18"/>
      <c r="AF39" s="18"/>
      <c r="AG39" s="18"/>
      <c r="AH39" s="18"/>
      <c r="AI39" s="18"/>
      <c r="AJ39" s="18"/>
      <c r="AK39" s="18"/>
    </row>
    <row r="40" spans="1:41" ht="13.5" thickBot="1" x14ac:dyDescent="0.25">
      <c r="A40" s="289" t="s">
        <v>213</v>
      </c>
      <c r="B40" s="290"/>
      <c r="C40" s="290">
        <v>0.5</v>
      </c>
      <c r="D40" s="290" t="s">
        <v>2</v>
      </c>
      <c r="E40" s="292" t="s">
        <v>214</v>
      </c>
      <c r="F40" s="244" t="s">
        <v>179</v>
      </c>
      <c r="G40" s="289" t="s">
        <v>213</v>
      </c>
      <c r="H40" s="290"/>
      <c r="I40" s="290">
        <v>0.5</v>
      </c>
      <c r="J40" s="290" t="s">
        <v>2</v>
      </c>
      <c r="K40" s="292" t="s">
        <v>214</v>
      </c>
      <c r="M40" s="289" t="s">
        <v>213</v>
      </c>
      <c r="N40" s="290"/>
      <c r="O40" s="290">
        <v>0.5</v>
      </c>
      <c r="P40" s="290" t="s">
        <v>2</v>
      </c>
      <c r="Q40" s="292" t="s">
        <v>214</v>
      </c>
      <c r="S40" s="289" t="s">
        <v>213</v>
      </c>
      <c r="T40" s="290"/>
      <c r="U40" s="290">
        <v>0.5</v>
      </c>
      <c r="V40" s="290" t="s">
        <v>2</v>
      </c>
      <c r="W40" s="292" t="s">
        <v>214</v>
      </c>
      <c r="Y40" s="289" t="s">
        <v>213</v>
      </c>
      <c r="Z40" s="290"/>
      <c r="AA40" s="290">
        <v>0.5</v>
      </c>
      <c r="AB40" s="290" t="s">
        <v>2</v>
      </c>
      <c r="AC40" s="292" t="s">
        <v>214</v>
      </c>
    </row>
    <row r="44" spans="1:41" x14ac:dyDescent="0.2">
      <c r="Y44" s="244"/>
      <c r="Z44" s="244"/>
    </row>
    <row r="45" spans="1:41" x14ac:dyDescent="0.2">
      <c r="Y45" s="244"/>
      <c r="Z45" s="244"/>
    </row>
    <row r="46" spans="1:41" x14ac:dyDescent="0.2">
      <c r="Y46" s="244"/>
      <c r="Z46" s="244"/>
    </row>
    <row r="47" spans="1:41" s="293" customFormat="1" x14ac:dyDescent="0.2">
      <c r="A47" s="17"/>
      <c r="B47" s="17"/>
    </row>
    <row r="48" spans="1:41" s="293" customFormat="1" x14ac:dyDescent="0.2">
      <c r="A48" s="17" t="s">
        <v>708</v>
      </c>
      <c r="T48" s="325"/>
      <c r="U48" s="239" t="s">
        <v>550</v>
      </c>
      <c r="V48" s="240" t="s">
        <v>551</v>
      </c>
      <c r="W48" s="240" t="s">
        <v>550</v>
      </c>
      <c r="X48" s="240" t="s">
        <v>551</v>
      </c>
      <c r="Y48" s="241" t="s">
        <v>552</v>
      </c>
      <c r="Z48" s="325"/>
      <c r="AA48" s="295"/>
      <c r="AB48" s="17" t="s">
        <v>105</v>
      </c>
      <c r="AC48" s="17"/>
      <c r="AD48" s="148" t="s">
        <v>549</v>
      </c>
      <c r="AE48" s="149"/>
      <c r="AF48" s="149"/>
      <c r="AG48" s="149" t="s">
        <v>548</v>
      </c>
      <c r="AH48" s="149"/>
      <c r="AI48" s="149"/>
      <c r="AJ48" s="149" t="s">
        <v>547</v>
      </c>
      <c r="AK48" s="149"/>
      <c r="AL48" s="149"/>
      <c r="AM48" s="296" t="s">
        <v>553</v>
      </c>
      <c r="AN48" s="294"/>
      <c r="AO48" s="295"/>
    </row>
    <row r="49" spans="1:41" s="195" customFormat="1" ht="15" customHeight="1" x14ac:dyDescent="0.2">
      <c r="A49" s="389" t="s">
        <v>58</v>
      </c>
      <c r="B49" s="390" t="s">
        <v>289</v>
      </c>
      <c r="C49" s="391" t="s">
        <v>100</v>
      </c>
      <c r="D49" s="391" t="s">
        <v>11</v>
      </c>
      <c r="E49" s="392" t="s">
        <v>291</v>
      </c>
      <c r="F49" s="392"/>
      <c r="G49" s="393" t="s">
        <v>292</v>
      </c>
      <c r="H49" s="393" t="s">
        <v>8</v>
      </c>
      <c r="I49" s="393" t="s">
        <v>217</v>
      </c>
      <c r="J49" s="393" t="s">
        <v>11</v>
      </c>
      <c r="K49" s="393" t="s">
        <v>291</v>
      </c>
      <c r="L49" s="392"/>
      <c r="M49" s="394" t="s">
        <v>293</v>
      </c>
      <c r="N49" s="394" t="s">
        <v>8</v>
      </c>
      <c r="O49" s="394" t="s">
        <v>217</v>
      </c>
      <c r="P49" s="394" t="s">
        <v>11</v>
      </c>
      <c r="Q49" s="394" t="s">
        <v>291</v>
      </c>
      <c r="R49" s="392"/>
      <c r="S49" s="392"/>
      <c r="T49" s="395" t="s">
        <v>275</v>
      </c>
      <c r="U49" s="396" t="s">
        <v>530</v>
      </c>
      <c r="V49" s="390" t="s">
        <v>531</v>
      </c>
      <c r="W49" s="390" t="s">
        <v>532</v>
      </c>
      <c r="X49" s="390" t="s">
        <v>533</v>
      </c>
      <c r="Y49" s="390" t="s">
        <v>534</v>
      </c>
      <c r="Z49" s="390" t="s">
        <v>535</v>
      </c>
      <c r="AA49" s="397" t="s">
        <v>536</v>
      </c>
      <c r="AB49" s="22" t="s">
        <v>545</v>
      </c>
      <c r="AC49" s="23" t="s">
        <v>546</v>
      </c>
      <c r="AD49" s="32" t="s">
        <v>31</v>
      </c>
      <c r="AE49" s="33" t="s">
        <v>32</v>
      </c>
      <c r="AF49" s="398" t="s">
        <v>33</v>
      </c>
      <c r="AG49" s="32" t="s">
        <v>31</v>
      </c>
      <c r="AH49" s="33" t="s">
        <v>32</v>
      </c>
      <c r="AI49" s="398" t="s">
        <v>33</v>
      </c>
      <c r="AJ49" s="32" t="s">
        <v>31</v>
      </c>
      <c r="AK49" s="33" t="s">
        <v>32</v>
      </c>
      <c r="AL49" s="33" t="s">
        <v>33</v>
      </c>
      <c r="AM49" s="399"/>
      <c r="AN49" s="400"/>
      <c r="AO49" s="370"/>
    </row>
    <row r="50" spans="1:41" s="51" customFormat="1" ht="15" customHeight="1" x14ac:dyDescent="0.2">
      <c r="A50" s="54" t="str">
        <f>'36. Generic chemical products'!A2</f>
        <v>Lubricant, average (Albafluid CD)</v>
      </c>
      <c r="B50" s="54" t="str">
        <f>'36. Generic chemical products'!B2</f>
        <v>Acrylamide/sodium acrylate copolymer</v>
      </c>
      <c r="C50" s="54">
        <f>'36. Generic chemical products'!C2</f>
        <v>0.3</v>
      </c>
      <c r="D50" s="54" t="str">
        <f>'36. Generic chemical products'!D2</f>
        <v>kg</v>
      </c>
      <c r="E50" s="54" t="str">
        <f>'36. Generic chemical products'!E2</f>
        <v>MSDS + Expert estimation for concentration</v>
      </c>
      <c r="F50" s="54"/>
      <c r="G50" s="54" t="str">
        <f>'36. Generic chemical products'!G2</f>
        <v>-</v>
      </c>
      <c r="H50" s="54"/>
      <c r="I50" s="54"/>
      <c r="J50" s="54"/>
      <c r="K50" s="54"/>
      <c r="L50" s="54"/>
      <c r="M50" s="54" t="str">
        <f>'36. Generic chemical products'!M2</f>
        <v>Acrylamide/sodium acrylate copolymer</v>
      </c>
      <c r="N50" s="54" t="str">
        <f>'36. Generic chemical products'!N2</f>
        <v>river</v>
      </c>
      <c r="O50" s="54">
        <f>'36. Generic chemical products'!O2</f>
        <v>2.9700000000000001E-2</v>
      </c>
      <c r="P50" s="54" t="str">
        <f>'36. Generic chemical products'!P2</f>
        <v>kg</v>
      </c>
      <c r="Q50" s="54" t="str">
        <f>'36. Generic chemical products'!Q2</f>
        <v>1% of polymer content remains as monomers from the production process.</v>
      </c>
      <c r="R50" s="54">
        <f>'36. Generic chemical products'!R2</f>
        <v>0</v>
      </c>
      <c r="S50" s="54">
        <f>'36. Generic chemical products'!S2</f>
        <v>0</v>
      </c>
      <c r="T50" s="54" t="str">
        <f>'36. Generic chemical products'!T2</f>
        <v>25085-02-3</v>
      </c>
      <c r="U50" s="54">
        <f>'36. Generic chemical products'!U2</f>
        <v>0</v>
      </c>
      <c r="V50" s="54">
        <f>'36. Generic chemical products'!V2</f>
        <v>1.318367210059499E-10</v>
      </c>
      <c r="W50" s="54">
        <f>'36. Generic chemical products'!W2</f>
        <v>0</v>
      </c>
      <c r="X50" s="54">
        <f>'36. Generic chemical products'!X2</f>
        <v>1.3016448977650344E-10</v>
      </c>
      <c r="Y50" s="54">
        <f>'36. Generic chemical products'!Y2</f>
        <v>1.1181204517092254</v>
      </c>
      <c r="Z50" s="54">
        <f>'36. Generic chemical products'!Z2</f>
        <v>78.957506928451508</v>
      </c>
      <c r="AA50" s="54" t="str">
        <f>'36. Generic chemical products'!AA2</f>
        <v>Roos 2017</v>
      </c>
      <c r="AB50" s="300">
        <f>$C$16*I50</f>
        <v>0</v>
      </c>
      <c r="AC50" s="301">
        <f>$C$25*O50</f>
        <v>2.3760000000000001E-3</v>
      </c>
      <c r="AD50" s="303">
        <f>AB50*U50+AC50*W50</f>
        <v>0</v>
      </c>
      <c r="AE50" s="302">
        <f>AB50*V50+AC50*X50</f>
        <v>3.0927082770897215E-13</v>
      </c>
      <c r="AF50" s="303">
        <f>AB50*Y50+AC50*Z50</f>
        <v>0.1876030364620008</v>
      </c>
      <c r="AG50" s="303">
        <f>AB50*U50</f>
        <v>0</v>
      </c>
      <c r="AH50" s="303">
        <f>AB50*V50</f>
        <v>0</v>
      </c>
      <c r="AI50" s="303">
        <f>AB50*Y50</f>
        <v>0</v>
      </c>
      <c r="AJ50" s="303">
        <f>AC50*W50</f>
        <v>0</v>
      </c>
      <c r="AK50" s="303">
        <f>AC50*X50</f>
        <v>3.0927082770897215E-13</v>
      </c>
      <c r="AL50" s="303">
        <f>AC50*Z50</f>
        <v>0.1876030364620008</v>
      </c>
      <c r="AM50" s="304">
        <f>AG50+AJ50</f>
        <v>0</v>
      </c>
      <c r="AN50" s="305">
        <f t="shared" ref="AN50:AO65" si="0">AH50+AK50</f>
        <v>3.0927082770897215E-13</v>
      </c>
      <c r="AO50" s="306">
        <f t="shared" si="0"/>
        <v>0.1876030364620008</v>
      </c>
    </row>
    <row r="51" spans="1:41" s="51" customFormat="1" ht="15" customHeight="1" x14ac:dyDescent="0.2">
      <c r="A51" s="54" t="str">
        <f>'36. Generic chemical products'!A3</f>
        <v>Lubricant, average (Albafluid CD)</v>
      </c>
      <c r="B51" s="54" t="str">
        <f>'36. Generic chemical products'!B3</f>
        <v>Acrylamide</v>
      </c>
      <c r="C51" s="54"/>
      <c r="D51" s="54"/>
      <c r="E51" s="54" t="str">
        <f>'36. Generic chemical products'!E3</f>
        <v>Breakdown product (Caulfield, 2002)</v>
      </c>
      <c r="F51" s="54"/>
      <c r="G51" s="54" t="str">
        <f>'36. Generic chemical products'!G3</f>
        <v>Acrylamide</v>
      </c>
      <c r="H51" s="54" t="str">
        <f>'36. Generic chemical products'!H3</f>
        <v>high. pop.</v>
      </c>
      <c r="I51" s="54">
        <f>'36. Generic chemical products'!I3</f>
        <v>3.0000000000000001E-6</v>
      </c>
      <c r="J51" s="54" t="str">
        <f>'36. Generic chemical products'!J3</f>
        <v>kg</v>
      </c>
      <c r="K51" s="54"/>
      <c r="L51" s="54"/>
      <c r="M51" s="54" t="str">
        <f>'36. Generic chemical products'!M3</f>
        <v>Acrylamide</v>
      </c>
      <c r="N51" s="54" t="str">
        <f>'36. Generic chemical products'!N3</f>
        <v>river</v>
      </c>
      <c r="O51" s="54">
        <f>'36. Generic chemical products'!O3</f>
        <v>3.0000000000000004E-5</v>
      </c>
      <c r="P51" s="54" t="str">
        <f>'36. Generic chemical products'!P3</f>
        <v>kg</v>
      </c>
      <c r="Q51" s="54" t="str">
        <f>'36. Generic chemical products'!Q3</f>
        <v xml:space="preserve">90% of reactive chemicals are degraded during operations. </v>
      </c>
      <c r="R51" s="54">
        <f>'36. Generic chemical products'!R3</f>
        <v>0</v>
      </c>
      <c r="S51" s="54">
        <f>'36. Generic chemical products'!S3</f>
        <v>0</v>
      </c>
      <c r="T51" s="54" t="str">
        <f>'36. Generic chemical products'!T3</f>
        <v>79-06-1</v>
      </c>
      <c r="U51" s="54">
        <f>'36. Generic chemical products'!U3</f>
        <v>3.0023364753950555E-5</v>
      </c>
      <c r="V51" s="54">
        <f>'36. Generic chemical products'!V3</f>
        <v>1.2481126126868064E-4</v>
      </c>
      <c r="W51" s="54">
        <f>'36. Generic chemical products'!W3</f>
        <v>1.1959264101490567E-5</v>
      </c>
      <c r="X51" s="54">
        <f>'36. Generic chemical products'!X3</f>
        <v>4.9716307568620708E-5</v>
      </c>
      <c r="Y51" s="54">
        <f>'36. Generic chemical products'!Y3</f>
        <v>10.037499181426883</v>
      </c>
      <c r="Z51" s="54">
        <f>'36. Generic chemical products'!Z3</f>
        <v>119.14199796898779</v>
      </c>
      <c r="AA51" s="54" t="str">
        <f>'36. Generic chemical products'!AA3</f>
        <v>USEtox</v>
      </c>
      <c r="AB51" s="300">
        <f>$C$16*I51</f>
        <v>2.4000000000000003E-7</v>
      </c>
      <c r="AC51" s="301">
        <f>$C$25*O51</f>
        <v>2.4000000000000003E-6</v>
      </c>
      <c r="AD51" s="302">
        <f t="shared" ref="AD51:AD69" si="1">AB51*U51+AC51*W51</f>
        <v>3.5907841384525496E-11</v>
      </c>
      <c r="AE51" s="302">
        <f t="shared" ref="AE51:AE69" si="2">AB51*V51+AC51*X51</f>
        <v>1.4927384086917307E-10</v>
      </c>
      <c r="AF51" s="303">
        <f t="shared" ref="AF51:AF69" si="3">AB51*Y51+AC51*Z51</f>
        <v>2.8834979492911318E-4</v>
      </c>
      <c r="AG51" s="303">
        <f t="shared" ref="AG51:AG69" si="4">AB51*U51</f>
        <v>7.2056075409481337E-12</v>
      </c>
      <c r="AH51" s="303">
        <f t="shared" ref="AH51:AH69" si="5">AB51*V51</f>
        <v>2.9954702704483359E-11</v>
      </c>
      <c r="AI51" s="303">
        <f t="shared" ref="AI51:AI69" si="6">AB51*Y51</f>
        <v>2.4089998035424521E-6</v>
      </c>
      <c r="AJ51" s="303">
        <f t="shared" ref="AJ51:AJ69" si="7">AC51*W51</f>
        <v>2.8702233843577363E-11</v>
      </c>
      <c r="AK51" s="303">
        <f t="shared" ref="AK51:AK69" si="8">AC51*X51</f>
        <v>1.1931913816468971E-10</v>
      </c>
      <c r="AL51" s="303">
        <f t="shared" ref="AL51:AL69" si="9">AC51*Z51</f>
        <v>2.8594079512557074E-4</v>
      </c>
      <c r="AM51" s="304">
        <f t="shared" ref="AM51:AO69" si="10">AG51+AJ51</f>
        <v>3.5907841384525496E-11</v>
      </c>
      <c r="AN51" s="305">
        <f t="shared" si="0"/>
        <v>1.4927384086917307E-10</v>
      </c>
      <c r="AO51" s="306">
        <f t="shared" si="0"/>
        <v>2.8834979492911318E-4</v>
      </c>
    </row>
    <row r="52" spans="1:41" s="139" customFormat="1" ht="15" customHeight="1" x14ac:dyDescent="0.2">
      <c r="A52" s="141" t="str">
        <f>'36. Generic chemical products'!A4</f>
        <v>Lubricant, average (Albafluid CD)</v>
      </c>
      <c r="B52" s="141"/>
      <c r="C52" s="141"/>
      <c r="D52" s="141"/>
      <c r="E52" s="141" t="str">
        <f>'36. Generic chemical products'!E4</f>
        <v>Common breakdown product of of acrylics, 0.001 % assumed</v>
      </c>
      <c r="F52" s="141"/>
      <c r="G52" s="141" t="str">
        <f>'36. Generic chemical products'!G4</f>
        <v>Formaldehyde</v>
      </c>
      <c r="H52" s="141" t="str">
        <f>'36. Generic chemical products'!H4</f>
        <v>high. pop.</v>
      </c>
      <c r="I52" s="141">
        <f>'36. Generic chemical products'!I4</f>
        <v>2.9999999999999999E-7</v>
      </c>
      <c r="J52" s="141" t="str">
        <f>'36. Generic chemical products'!J4</f>
        <v>kg</v>
      </c>
      <c r="K52" s="141"/>
      <c r="L52" s="141"/>
      <c r="M52" s="141" t="str">
        <f>'36. Generic chemical products'!M4</f>
        <v>Formaldehyde</v>
      </c>
      <c r="N52" s="141" t="str">
        <f>'36. Generic chemical products'!N4</f>
        <v>river</v>
      </c>
      <c r="O52" s="141">
        <f>'36. Generic chemical products'!O4</f>
        <v>3.0000000000000001E-6</v>
      </c>
      <c r="P52" s="141" t="str">
        <f>'36. Generic chemical products'!P4</f>
        <v>kg</v>
      </c>
      <c r="Q52" s="141" t="str">
        <f>'36. Generic chemical products'!Q4</f>
        <v xml:space="preserve">0.1 % of the content is degraded to common breakdown products. 90% of reactive chemicals are degraded during operations. </v>
      </c>
      <c r="R52" s="141">
        <f>'36. Generic chemical products'!R4</f>
        <v>0</v>
      </c>
      <c r="S52" s="141">
        <f>'36. Generic chemical products'!S4</f>
        <v>0</v>
      </c>
      <c r="T52" s="141" t="str">
        <f>'36. Generic chemical products'!T4</f>
        <v>50-00-0</v>
      </c>
      <c r="U52" s="141">
        <f>'36. Generic chemical products'!U4</f>
        <v>2.5208446330720887E-5</v>
      </c>
      <c r="V52" s="141">
        <f>'36. Generic chemical products'!V4</f>
        <v>2.6504960021309262E-7</v>
      </c>
      <c r="W52" s="141">
        <f>'36. Generic chemical products'!W4</f>
        <v>1.4222228897488039E-7</v>
      </c>
      <c r="X52" s="141">
        <f>'36. Generic chemical products'!X4</f>
        <v>3.170874313501273E-7</v>
      </c>
      <c r="Y52" s="141">
        <f>'36. Generic chemical products'!Y4</f>
        <v>17.989178582912412</v>
      </c>
      <c r="Z52" s="141">
        <f>'36. Generic chemical products'!Z4</f>
        <v>290.05086067463066</v>
      </c>
      <c r="AA52" s="141" t="str">
        <f>'36. Generic chemical products'!AA4</f>
        <v>USEtox</v>
      </c>
      <c r="AB52" s="307">
        <f>$C$16*I52</f>
        <v>2.4E-8</v>
      </c>
      <c r="AC52" s="308">
        <f>$C$25*O52</f>
        <v>2.4000000000000003E-7</v>
      </c>
      <c r="AD52" s="309">
        <f t="shared" si="1"/>
        <v>6.3913606129127263E-13</v>
      </c>
      <c r="AE52" s="309">
        <f t="shared" si="2"/>
        <v>8.2462173929144788E-14</v>
      </c>
      <c r="AF52" s="310">
        <f t="shared" si="3"/>
        <v>7.0043946847901266E-5</v>
      </c>
      <c r="AG52" s="310">
        <f t="shared" si="4"/>
        <v>6.050027119373013E-13</v>
      </c>
      <c r="AH52" s="310">
        <f t="shared" si="5"/>
        <v>6.3611904051142226E-15</v>
      </c>
      <c r="AI52" s="310">
        <f t="shared" si="6"/>
        <v>4.3174028598989792E-7</v>
      </c>
      <c r="AJ52" s="310">
        <f t="shared" si="7"/>
        <v>3.4133349353971296E-14</v>
      </c>
      <c r="AK52" s="310">
        <f t="shared" si="8"/>
        <v>7.610098352403056E-14</v>
      </c>
      <c r="AL52" s="310">
        <f t="shared" si="9"/>
        <v>6.9612206561911371E-5</v>
      </c>
      <c r="AM52" s="311">
        <f t="shared" si="10"/>
        <v>6.3913606129127263E-13</v>
      </c>
      <c r="AN52" s="312">
        <f t="shared" si="0"/>
        <v>8.2462173929144788E-14</v>
      </c>
      <c r="AO52" s="313">
        <f t="shared" si="0"/>
        <v>7.0043946847901266E-5</v>
      </c>
    </row>
    <row r="53" spans="1:41" s="51" customFormat="1" ht="15" customHeight="1" x14ac:dyDescent="0.2">
      <c r="A53" s="68" t="str">
        <f>'36. Generic chemical products'!A5</f>
        <v>Detergent, average (Ultravon EL)</v>
      </c>
      <c r="B53" s="68" t="str">
        <f>'36. Generic chemical products'!B5</f>
        <v>Polyacrylic acid, sodium salt</v>
      </c>
      <c r="C53" s="68">
        <f>'36. Generic chemical products'!C5</f>
        <v>0.1</v>
      </c>
      <c r="D53" s="68" t="str">
        <f>'36. Generic chemical products'!D5</f>
        <v>kg</v>
      </c>
      <c r="E53" s="68" t="str">
        <f>'36. Generic chemical products'!E5</f>
        <v>MSDS</v>
      </c>
      <c r="F53" s="68"/>
      <c r="G53" s="68" t="str">
        <f>'36. Generic chemical products'!G5</f>
        <v>-</v>
      </c>
      <c r="H53" s="68"/>
      <c r="I53" s="68"/>
      <c r="J53" s="68"/>
      <c r="K53" s="68"/>
      <c r="L53" s="68"/>
      <c r="M53" s="68" t="str">
        <f>'36. Generic chemical products'!M5</f>
        <v>Polyacrylic acid, sodium salt</v>
      </c>
      <c r="N53" s="68" t="str">
        <f>'36. Generic chemical products'!N5</f>
        <v>river</v>
      </c>
      <c r="O53" s="68">
        <f>'36. Generic chemical products'!O5</f>
        <v>9.9000000000000008E-3</v>
      </c>
      <c r="P53" s="68" t="str">
        <f>'36. Generic chemical products'!P5</f>
        <v>kg</v>
      </c>
      <c r="Q53" s="68" t="str">
        <f>'36. Generic chemical products'!Q5</f>
        <v>1% of polymer content remains as monomers from the production process.</v>
      </c>
      <c r="R53" s="68">
        <f>'36. Generic chemical products'!R5</f>
        <v>0</v>
      </c>
      <c r="S53" s="68">
        <f>'36. Generic chemical products'!S5</f>
        <v>0</v>
      </c>
      <c r="T53" s="68" t="str">
        <f>'36. Generic chemical products'!T5</f>
        <v>9003-04-7</v>
      </c>
      <c r="U53" s="68">
        <f>'36. Generic chemical products'!U5</f>
        <v>0</v>
      </c>
      <c r="V53" s="68">
        <f>'36. Generic chemical products'!V5</f>
        <v>0</v>
      </c>
      <c r="W53" s="68">
        <f>'36. Generic chemical products'!W5</f>
        <v>0</v>
      </c>
      <c r="X53" s="68">
        <f>'36. Generic chemical products'!X5</f>
        <v>0</v>
      </c>
      <c r="Y53" s="68">
        <f>'36. Generic chemical products'!Y5</f>
        <v>7.06</v>
      </c>
      <c r="Z53" s="68">
        <f>'36. Generic chemical products'!Z5</f>
        <v>78.599999999999994</v>
      </c>
      <c r="AA53" s="68" t="str">
        <f>'36. Generic chemical products'!AA5</f>
        <v>COSMEDE</v>
      </c>
      <c r="AB53" s="300">
        <f t="shared" ref="AB53:AB58" si="11">$C$17*I53</f>
        <v>0</v>
      </c>
      <c r="AC53" s="301">
        <f t="shared" ref="AC53:AC58" si="12">$C$26*O53</f>
        <v>3.9600000000000003E-4</v>
      </c>
      <c r="AD53" s="302">
        <f t="shared" si="1"/>
        <v>0</v>
      </c>
      <c r="AE53" s="302">
        <f t="shared" si="2"/>
        <v>0</v>
      </c>
      <c r="AF53" s="303">
        <f t="shared" si="3"/>
        <v>3.11256E-2</v>
      </c>
      <c r="AG53" s="303">
        <f t="shared" si="4"/>
        <v>0</v>
      </c>
      <c r="AH53" s="303">
        <f t="shared" si="5"/>
        <v>0</v>
      </c>
      <c r="AI53" s="303">
        <f t="shared" si="6"/>
        <v>0</v>
      </c>
      <c r="AJ53" s="303">
        <f t="shared" si="7"/>
        <v>0</v>
      </c>
      <c r="AK53" s="303">
        <f t="shared" si="8"/>
        <v>0</v>
      </c>
      <c r="AL53" s="303">
        <f t="shared" si="9"/>
        <v>3.11256E-2</v>
      </c>
      <c r="AM53" s="304">
        <f t="shared" si="10"/>
        <v>0</v>
      </c>
      <c r="AN53" s="305">
        <f t="shared" si="0"/>
        <v>0</v>
      </c>
      <c r="AO53" s="306">
        <f t="shared" si="0"/>
        <v>3.11256E-2</v>
      </c>
    </row>
    <row r="54" spans="1:41" s="51" customFormat="1" ht="15" customHeight="1" x14ac:dyDescent="0.2">
      <c r="A54" s="68" t="str">
        <f>'36. Generic chemical products'!A6</f>
        <v>Detergent, average (Ultravon EL)</v>
      </c>
      <c r="B54" s="68" t="str">
        <f>'36. Generic chemical products'!B6</f>
        <v>Oxirane, methyl-, polymer with oxirane, decyl ether</v>
      </c>
      <c r="C54" s="68">
        <f>'36. Generic chemical products'!C6</f>
        <v>0.25</v>
      </c>
      <c r="D54" s="68" t="str">
        <f>'36. Generic chemical products'!D6</f>
        <v>kg</v>
      </c>
      <c r="E54" s="68" t="str">
        <f>'36. Generic chemical products'!E6</f>
        <v>MSDS</v>
      </c>
      <c r="F54" s="68"/>
      <c r="G54" s="68" t="str">
        <f>'36. Generic chemical products'!G6</f>
        <v>-</v>
      </c>
      <c r="H54" s="68"/>
      <c r="I54" s="68"/>
      <c r="J54" s="68"/>
      <c r="K54" s="68"/>
      <c r="L54" s="68"/>
      <c r="M54" s="68" t="str">
        <f>'36. Generic chemical products'!M6</f>
        <v>Oxirane, methyl-, polymer with oxirane, decyl ether</v>
      </c>
      <c r="N54" s="68" t="str">
        <f>'36. Generic chemical products'!N6</f>
        <v>river</v>
      </c>
      <c r="O54" s="68">
        <f>'36. Generic chemical products'!O6</f>
        <v>2.5000000000000001E-2</v>
      </c>
      <c r="P54" s="68" t="str">
        <f>'36. Generic chemical products'!P6</f>
        <v>kg</v>
      </c>
      <c r="Q54" s="68">
        <f>'36. Generic chemical products'!Q6</f>
        <v>0</v>
      </c>
      <c r="R54" s="68">
        <f>'36. Generic chemical products'!R6</f>
        <v>0</v>
      </c>
      <c r="S54" s="68">
        <f>'36. Generic chemical products'!S6</f>
        <v>0</v>
      </c>
      <c r="T54" s="68" t="str">
        <f>'36. Generic chemical products'!T6</f>
        <v>37251-67-5</v>
      </c>
      <c r="U54" s="68">
        <f>'36. Generic chemical products'!U6</f>
        <v>0</v>
      </c>
      <c r="V54" s="68">
        <f>'36. Generic chemical products'!V6</f>
        <v>1.2009414857886904E-7</v>
      </c>
      <c r="W54" s="68">
        <f>'36. Generic chemical products'!W6</f>
        <v>0</v>
      </c>
      <c r="X54" s="68">
        <f>'36. Generic chemical products'!X6</f>
        <v>3.2843909509658706E-7</v>
      </c>
      <c r="Y54" s="68">
        <f>'36. Generic chemical products'!Y6</f>
        <v>14.526941022240393</v>
      </c>
      <c r="Z54" s="68">
        <f>'36. Generic chemical products'!Z6</f>
        <v>111.251141519207</v>
      </c>
      <c r="AA54" s="68" t="str">
        <f>'36. Generic chemical products'!AA6</f>
        <v>Roos 2017</v>
      </c>
      <c r="AB54" s="300">
        <f t="shared" si="11"/>
        <v>0</v>
      </c>
      <c r="AC54" s="301">
        <f t="shared" si="12"/>
        <v>1E-3</v>
      </c>
      <c r="AD54" s="302">
        <f t="shared" si="1"/>
        <v>0</v>
      </c>
      <c r="AE54" s="302">
        <f t="shared" si="2"/>
        <v>3.2843909509658704E-10</v>
      </c>
      <c r="AF54" s="303">
        <f t="shared" si="3"/>
        <v>0.11125114151920699</v>
      </c>
      <c r="AG54" s="303">
        <f t="shared" si="4"/>
        <v>0</v>
      </c>
      <c r="AH54" s="303">
        <f t="shared" si="5"/>
        <v>0</v>
      </c>
      <c r="AI54" s="303">
        <f t="shared" si="6"/>
        <v>0</v>
      </c>
      <c r="AJ54" s="303">
        <f t="shared" si="7"/>
        <v>0</v>
      </c>
      <c r="AK54" s="303">
        <f t="shared" si="8"/>
        <v>3.2843909509658704E-10</v>
      </c>
      <c r="AL54" s="303">
        <f t="shared" si="9"/>
        <v>0.11125114151920699</v>
      </c>
      <c r="AM54" s="304">
        <f t="shared" si="10"/>
        <v>0</v>
      </c>
      <c r="AN54" s="305">
        <f t="shared" si="0"/>
        <v>3.2843909509658704E-10</v>
      </c>
      <c r="AO54" s="306">
        <f t="shared" si="0"/>
        <v>0.11125114151920699</v>
      </c>
    </row>
    <row r="55" spans="1:41" s="51" customFormat="1" ht="15" customHeight="1" x14ac:dyDescent="0.2">
      <c r="A55" s="68" t="str">
        <f>'36. Generic chemical products'!A7</f>
        <v>Detergent, average (Ultravon EL)</v>
      </c>
      <c r="B55" s="68" t="str">
        <f>'36. Generic chemical products'!B7</f>
        <v>Ethoxylated fatty alcohol (&gt;6 EO)</v>
      </c>
      <c r="C55" s="68">
        <f>'36. Generic chemical products'!C7</f>
        <v>0.1</v>
      </c>
      <c r="D55" s="68" t="str">
        <f>'36. Generic chemical products'!D7</f>
        <v>kg</v>
      </c>
      <c r="E55" s="68" t="str">
        <f>'36. Generic chemical products'!E7</f>
        <v>MSDS</v>
      </c>
      <c r="F55" s="68"/>
      <c r="G55" s="68" t="str">
        <f>'36. Generic chemical products'!G7</f>
        <v>-</v>
      </c>
      <c r="H55" s="68"/>
      <c r="I55" s="68"/>
      <c r="J55" s="68"/>
      <c r="K55" s="68"/>
      <c r="L55" s="68"/>
      <c r="M55" s="68" t="str">
        <f>'36. Generic chemical products'!M7</f>
        <v>Alcohols, c12-14, ethoxylated</v>
      </c>
      <c r="N55" s="68" t="str">
        <f>'36. Generic chemical products'!N7</f>
        <v>river</v>
      </c>
      <c r="O55" s="68">
        <f>'36. Generic chemical products'!O7</f>
        <v>1.0000000000000002E-2</v>
      </c>
      <c r="P55" s="68" t="str">
        <f>'36. Generic chemical products'!P7</f>
        <v>kg</v>
      </c>
      <c r="Q55" s="68">
        <f>'36. Generic chemical products'!Q7</f>
        <v>0</v>
      </c>
      <c r="R55" s="68">
        <f>'36. Generic chemical products'!R7</f>
        <v>0</v>
      </c>
      <c r="S55" s="68">
        <f>'36. Generic chemical products'!S7</f>
        <v>0</v>
      </c>
      <c r="T55" s="68" t="str">
        <f>'36. Generic chemical products'!T7</f>
        <v>69011-36-5</v>
      </c>
      <c r="U55" s="68">
        <f>'36. Generic chemical products'!U7</f>
        <v>0</v>
      </c>
      <c r="V55" s="68">
        <f>'36. Generic chemical products'!V7</f>
        <v>0</v>
      </c>
      <c r="W55" s="68">
        <f>'36. Generic chemical products'!W7</f>
        <v>0</v>
      </c>
      <c r="X55" s="68">
        <f>'36. Generic chemical products'!X7</f>
        <v>0</v>
      </c>
      <c r="Y55" s="68">
        <f>'36. Generic chemical products'!Y7</f>
        <v>47</v>
      </c>
      <c r="Z55" s="68">
        <f>'36. Generic chemical products'!Z7</f>
        <v>913</v>
      </c>
      <c r="AA55" s="68" t="str">
        <f>'36. Generic chemical products'!AA7</f>
        <v>COSMEDE</v>
      </c>
      <c r="AB55" s="300">
        <f t="shared" si="11"/>
        <v>0</v>
      </c>
      <c r="AC55" s="301">
        <f t="shared" si="12"/>
        <v>4.0000000000000007E-4</v>
      </c>
      <c r="AD55" s="302">
        <f t="shared" si="1"/>
        <v>0</v>
      </c>
      <c r="AE55" s="302">
        <f t="shared" si="2"/>
        <v>0</v>
      </c>
      <c r="AF55" s="303">
        <f t="shared" si="3"/>
        <v>0.36520000000000008</v>
      </c>
      <c r="AG55" s="303">
        <f t="shared" si="4"/>
        <v>0</v>
      </c>
      <c r="AH55" s="303">
        <f t="shared" si="5"/>
        <v>0</v>
      </c>
      <c r="AI55" s="303">
        <f t="shared" si="6"/>
        <v>0</v>
      </c>
      <c r="AJ55" s="303">
        <f t="shared" si="7"/>
        <v>0</v>
      </c>
      <c r="AK55" s="303">
        <f t="shared" si="8"/>
        <v>0</v>
      </c>
      <c r="AL55" s="303">
        <f t="shared" si="9"/>
        <v>0.36520000000000008</v>
      </c>
      <c r="AM55" s="304">
        <f t="shared" si="10"/>
        <v>0</v>
      </c>
      <c r="AN55" s="305">
        <f t="shared" si="0"/>
        <v>0</v>
      </c>
      <c r="AO55" s="306">
        <f t="shared" si="0"/>
        <v>0.36520000000000008</v>
      </c>
    </row>
    <row r="56" spans="1:41" s="51" customFormat="1" ht="15" customHeight="1" x14ac:dyDescent="0.2">
      <c r="A56" s="68" t="str">
        <f>'36. Generic chemical products'!A8</f>
        <v>Detergent, average (Ultravon EL)</v>
      </c>
      <c r="B56" s="68" t="str">
        <f>'36. Generic chemical products'!B8</f>
        <v>Sodium mono(2-ethylhexyl)estersulfate</v>
      </c>
      <c r="C56" s="68">
        <f>'36. Generic chemical products'!C8</f>
        <v>0.05</v>
      </c>
      <c r="D56" s="68" t="str">
        <f>'36. Generic chemical products'!D8</f>
        <v>kg</v>
      </c>
      <c r="E56" s="68" t="str">
        <f>'36. Generic chemical products'!E8</f>
        <v>MSDS</v>
      </c>
      <c r="F56" s="68"/>
      <c r="G56" s="68" t="str">
        <f>'36. Generic chemical products'!G8</f>
        <v>-</v>
      </c>
      <c r="H56" s="68"/>
      <c r="I56" s="68"/>
      <c r="J56" s="68"/>
      <c r="K56" s="68"/>
      <c r="L56" s="68"/>
      <c r="M56" s="68" t="str">
        <f>'36. Generic chemical products'!M8</f>
        <v>Sodium mono(2-ethylhexyl)estersulfate</v>
      </c>
      <c r="N56" s="68" t="str">
        <f>'36. Generic chemical products'!N8</f>
        <v>river</v>
      </c>
      <c r="O56" s="68">
        <f>'36. Generic chemical products'!O8</f>
        <v>5.000000000000001E-3</v>
      </c>
      <c r="P56" s="68" t="str">
        <f>'36. Generic chemical products'!P8</f>
        <v>kg</v>
      </c>
      <c r="Q56" s="68">
        <f>'36. Generic chemical products'!Q8</f>
        <v>0</v>
      </c>
      <c r="R56" s="68">
        <f>'36. Generic chemical products'!R8</f>
        <v>0</v>
      </c>
      <c r="S56" s="68">
        <f>'36. Generic chemical products'!S8</f>
        <v>0</v>
      </c>
      <c r="T56" s="68" t="str">
        <f>'36. Generic chemical products'!T8</f>
        <v>126-92-1</v>
      </c>
      <c r="U56" s="68">
        <f>'36. Generic chemical products'!U8</f>
        <v>0</v>
      </c>
      <c r="V56" s="68">
        <f>'36. Generic chemical products'!V8</f>
        <v>0</v>
      </c>
      <c r="W56" s="68">
        <f>'36. Generic chemical products'!W8</f>
        <v>0</v>
      </c>
      <c r="X56" s="68">
        <f>'36. Generic chemical products'!X8</f>
        <v>0</v>
      </c>
      <c r="Y56" s="68">
        <f>'36. Generic chemical products'!Y8</f>
        <v>109.72</v>
      </c>
      <c r="Z56" s="68">
        <f>'36. Generic chemical products'!Z8</f>
        <v>110</v>
      </c>
      <c r="AA56" s="68" t="str">
        <f>'36. Generic chemical products'!AA8</f>
        <v>COSMEDE</v>
      </c>
      <c r="AB56" s="300">
        <f t="shared" si="11"/>
        <v>0</v>
      </c>
      <c r="AC56" s="301">
        <f t="shared" si="12"/>
        <v>2.0000000000000004E-4</v>
      </c>
      <c r="AD56" s="302">
        <f t="shared" si="1"/>
        <v>0</v>
      </c>
      <c r="AE56" s="302">
        <f t="shared" si="2"/>
        <v>0</v>
      </c>
      <c r="AF56" s="303">
        <f t="shared" si="3"/>
        <v>2.2000000000000006E-2</v>
      </c>
      <c r="AG56" s="303">
        <f t="shared" si="4"/>
        <v>0</v>
      </c>
      <c r="AH56" s="303">
        <f t="shared" si="5"/>
        <v>0</v>
      </c>
      <c r="AI56" s="303">
        <f t="shared" si="6"/>
        <v>0</v>
      </c>
      <c r="AJ56" s="303">
        <f t="shared" si="7"/>
        <v>0</v>
      </c>
      <c r="AK56" s="303">
        <f t="shared" si="8"/>
        <v>0</v>
      </c>
      <c r="AL56" s="303">
        <f t="shared" si="9"/>
        <v>2.2000000000000006E-2</v>
      </c>
      <c r="AM56" s="304">
        <f t="shared" si="10"/>
        <v>0</v>
      </c>
      <c r="AN56" s="305">
        <f t="shared" si="0"/>
        <v>0</v>
      </c>
      <c r="AO56" s="306">
        <f t="shared" si="0"/>
        <v>2.2000000000000006E-2</v>
      </c>
    </row>
    <row r="57" spans="1:41" s="51" customFormat="1" ht="15" customHeight="1" x14ac:dyDescent="0.2">
      <c r="A57" s="68" t="str">
        <f>'36. Generic chemical products'!A9</f>
        <v>Detergent, average (Ultravon EL)</v>
      </c>
      <c r="B57" s="68" t="str">
        <f>'36. Generic chemical products'!B9</f>
        <v>Ethylene oxide</v>
      </c>
      <c r="C57" s="68"/>
      <c r="D57" s="68"/>
      <c r="E57" s="68" t="str">
        <f>'36. Generic chemical products'!E9</f>
        <v>&lt;= 0.1% in alcohol ethoxylates</v>
      </c>
      <c r="F57" s="68"/>
      <c r="G57" s="68" t="str">
        <f>'36. Generic chemical products'!G9</f>
        <v>Ethylene oxide</v>
      </c>
      <c r="H57" s="68" t="str">
        <f>'36. Generic chemical products'!H9</f>
        <v>high. pop.</v>
      </c>
      <c r="I57" s="68">
        <f>'36. Generic chemical products'!I9</f>
        <v>1.0000000000000001E-7</v>
      </c>
      <c r="J57" s="68" t="str">
        <f>'36. Generic chemical products'!J9</f>
        <v>kg</v>
      </c>
      <c r="K57" s="68"/>
      <c r="L57" s="68"/>
      <c r="M57" s="68" t="str">
        <f>'36. Generic chemical products'!M9</f>
        <v>Ethylene oxide</v>
      </c>
      <c r="N57" s="68" t="str">
        <f>'36. Generic chemical products'!N9</f>
        <v>river</v>
      </c>
      <c r="O57" s="68">
        <f>'36. Generic chemical products'!O9</f>
        <v>1.0000000000000001E-5</v>
      </c>
      <c r="P57" s="68" t="str">
        <f>'36. Generic chemical products'!P9</f>
        <v>kg</v>
      </c>
      <c r="Q57" s="68" t="str">
        <f>'36. Generic chemical products'!Q9</f>
        <v>&lt;= 0.001 in alcohol ethoxylates</v>
      </c>
      <c r="R57" s="68">
        <f>'36. Generic chemical products'!R9</f>
        <v>0</v>
      </c>
      <c r="S57" s="68">
        <f>'36. Generic chemical products'!S9</f>
        <v>0</v>
      </c>
      <c r="T57" s="68" t="str">
        <f>'36. Generic chemical products'!T9</f>
        <v>75-21-8</v>
      </c>
      <c r="U57" s="68">
        <f>'36. Generic chemical products'!U9</f>
        <v>1.0252176328593382E-6</v>
      </c>
      <c r="V57" s="68">
        <f>'36. Generic chemical products'!V9</f>
        <v>0</v>
      </c>
      <c r="W57" s="68">
        <f>'36. Generic chemical products'!W9</f>
        <v>8.6533271568247147E-7</v>
      </c>
      <c r="X57" s="68">
        <f>'36. Generic chemical products'!X9</f>
        <v>0</v>
      </c>
      <c r="Y57" s="68">
        <f>'36. Generic chemical products'!Y9</f>
        <v>0.65406517859613422</v>
      </c>
      <c r="Z57" s="68">
        <f>'36. Generic chemical products'!Z9</f>
        <v>11.248588270889815</v>
      </c>
      <c r="AA57" s="68" t="str">
        <f>'36. Generic chemical products'!AA9</f>
        <v>USEtox</v>
      </c>
      <c r="AB57" s="300">
        <f t="shared" si="11"/>
        <v>4.0000000000000002E-9</v>
      </c>
      <c r="AC57" s="301">
        <f t="shared" si="12"/>
        <v>4.0000000000000003E-7</v>
      </c>
      <c r="AD57" s="302">
        <f t="shared" si="1"/>
        <v>3.5023395680442596E-13</v>
      </c>
      <c r="AE57" s="302">
        <f t="shared" si="2"/>
        <v>0</v>
      </c>
      <c r="AF57" s="303">
        <f t="shared" si="3"/>
        <v>4.5020515690703118E-6</v>
      </c>
      <c r="AG57" s="303">
        <f t="shared" si="4"/>
        <v>4.1008705314373533E-15</v>
      </c>
      <c r="AH57" s="303">
        <f t="shared" si="5"/>
        <v>0</v>
      </c>
      <c r="AI57" s="303">
        <f t="shared" si="6"/>
        <v>2.6162607143845369E-9</v>
      </c>
      <c r="AJ57" s="303">
        <f t="shared" si="7"/>
        <v>3.4613308627298861E-13</v>
      </c>
      <c r="AK57" s="303">
        <f t="shared" si="8"/>
        <v>0</v>
      </c>
      <c r="AL57" s="303">
        <f t="shared" si="9"/>
        <v>4.4994353083559269E-6</v>
      </c>
      <c r="AM57" s="304">
        <f t="shared" si="10"/>
        <v>3.5023395680442596E-13</v>
      </c>
      <c r="AN57" s="305">
        <f t="shared" si="0"/>
        <v>0</v>
      </c>
      <c r="AO57" s="306">
        <f t="shared" si="0"/>
        <v>4.5020515690703118E-6</v>
      </c>
    </row>
    <row r="58" spans="1:41" s="139" customFormat="1" ht="15" customHeight="1" x14ac:dyDescent="0.2">
      <c r="A58" s="68" t="str">
        <f>'36. Generic chemical products'!A10</f>
        <v>Detergent, average (Ultravon EL)</v>
      </c>
      <c r="B58" s="68" t="str">
        <f>'36. Generic chemical products'!B10</f>
        <v xml:space="preserve"> </v>
      </c>
      <c r="C58" s="68"/>
      <c r="D58" s="68"/>
      <c r="E58" s="68" t="str">
        <f>'36. Generic chemical products'!E10</f>
        <v>Common breakdown product of of acrylics, 0.001 % assumed</v>
      </c>
      <c r="F58" s="68"/>
      <c r="G58" s="68" t="str">
        <f>'36. Generic chemical products'!G10</f>
        <v>Formaldehyde</v>
      </c>
      <c r="H58" s="68" t="str">
        <f>'36. Generic chemical products'!H10</f>
        <v>high. pop.</v>
      </c>
      <c r="I58" s="68">
        <f>'36. Generic chemical products'!I10</f>
        <v>1.0000000000000001E-7</v>
      </c>
      <c r="J58" s="68" t="str">
        <f>'36. Generic chemical products'!J10</f>
        <v>kg</v>
      </c>
      <c r="K58" s="68"/>
      <c r="L58" s="68"/>
      <c r="M58" s="68" t="str">
        <f>'36. Generic chemical products'!M10</f>
        <v>Formaldehyde</v>
      </c>
      <c r="N58" s="68" t="str">
        <f>'36. Generic chemical products'!N10</f>
        <v>river</v>
      </c>
      <c r="O58" s="68">
        <f>'36. Generic chemical products'!O10</f>
        <v>1.0000000000000002E-6</v>
      </c>
      <c r="P58" s="68" t="str">
        <f>'36. Generic chemical products'!P10</f>
        <v>kg</v>
      </c>
      <c r="Q58" s="68" t="str">
        <f>'36. Generic chemical products'!Q10</f>
        <v xml:space="preserve">0.1 % of the content is degraded to common breakdown products. 90% of reactive chemicals are degraded during operations. </v>
      </c>
      <c r="R58" s="68">
        <f>'36. Generic chemical products'!R10</f>
        <v>0</v>
      </c>
      <c r="S58" s="68">
        <f>'36. Generic chemical products'!S10</f>
        <v>0</v>
      </c>
      <c r="T58" s="68" t="str">
        <f>'36. Generic chemical products'!T10</f>
        <v>50-00-0</v>
      </c>
      <c r="U58" s="68">
        <f>'36. Generic chemical products'!U10</f>
        <v>2.5208446330720887E-5</v>
      </c>
      <c r="V58" s="68">
        <f>'36. Generic chemical products'!V10</f>
        <v>2.6504960021309262E-7</v>
      </c>
      <c r="W58" s="68">
        <f>'36. Generic chemical products'!W10</f>
        <v>1.4222228897488039E-7</v>
      </c>
      <c r="X58" s="68">
        <f>'36. Generic chemical products'!X10</f>
        <v>3.170874313501273E-7</v>
      </c>
      <c r="Y58" s="68">
        <f>'36. Generic chemical products'!Y10</f>
        <v>17.989178582912412</v>
      </c>
      <c r="Z58" s="68">
        <f>'36. Generic chemical products'!Z10</f>
        <v>290.05086067463066</v>
      </c>
      <c r="AA58" s="68" t="str">
        <f>'36. Generic chemical products'!AA10</f>
        <v>USEtox</v>
      </c>
      <c r="AB58" s="307">
        <f t="shared" si="11"/>
        <v>4.0000000000000002E-9</v>
      </c>
      <c r="AC58" s="308">
        <f t="shared" si="12"/>
        <v>4.0000000000000007E-8</v>
      </c>
      <c r="AD58" s="309">
        <f t="shared" si="1"/>
        <v>1.0652267688187877E-13</v>
      </c>
      <c r="AE58" s="309">
        <f t="shared" si="2"/>
        <v>1.3743695654857465E-14</v>
      </c>
      <c r="AF58" s="310">
        <f t="shared" si="3"/>
        <v>1.1673991141316879E-5</v>
      </c>
      <c r="AG58" s="310">
        <f t="shared" si="4"/>
        <v>1.0083378532288355E-13</v>
      </c>
      <c r="AH58" s="310">
        <f t="shared" si="5"/>
        <v>1.0601984008523706E-15</v>
      </c>
      <c r="AI58" s="310">
        <f t="shared" si="6"/>
        <v>7.1956714331649658E-8</v>
      </c>
      <c r="AJ58" s="310">
        <f t="shared" si="7"/>
        <v>5.6888915589952166E-15</v>
      </c>
      <c r="AK58" s="310">
        <f t="shared" si="8"/>
        <v>1.2683497254005095E-14</v>
      </c>
      <c r="AL58" s="310">
        <f t="shared" si="9"/>
        <v>1.1602034426985229E-5</v>
      </c>
      <c r="AM58" s="311">
        <f t="shared" si="10"/>
        <v>1.0652267688187877E-13</v>
      </c>
      <c r="AN58" s="312">
        <f t="shared" si="0"/>
        <v>1.3743695654857465E-14</v>
      </c>
      <c r="AO58" s="313">
        <f t="shared" si="0"/>
        <v>1.1673991141316879E-5</v>
      </c>
    </row>
    <row r="59" spans="1:41" s="195" customFormat="1" ht="15" customHeight="1" x14ac:dyDescent="0.2">
      <c r="A59" s="194" t="str">
        <f>'36. Generic chemical products'!A11</f>
        <v>Acid, formic acid, average</v>
      </c>
      <c r="B59" s="194" t="str">
        <f>'36. Generic chemical products'!B11</f>
        <v>Formic acid</v>
      </c>
      <c r="C59" s="194">
        <f>'36. Generic chemical products'!C11</f>
        <v>1</v>
      </c>
      <c r="D59" s="194" t="str">
        <f>'36. Generic chemical products'!D11</f>
        <v>kg</v>
      </c>
      <c r="E59" s="194">
        <f>'36. Generic chemical products'!E11</f>
        <v>1</v>
      </c>
      <c r="F59" s="194"/>
      <c r="G59" s="194" t="str">
        <f>'36. Generic chemical products'!G11</f>
        <v>Formic acid</v>
      </c>
      <c r="H59" s="194" t="str">
        <f>'36. Generic chemical products'!H11</f>
        <v>high. pop.</v>
      </c>
      <c r="I59" s="194">
        <f>'36. Generic chemical products'!I11</f>
        <v>1E-3</v>
      </c>
      <c r="J59" s="194" t="str">
        <f>'36. Generic chemical products'!J11</f>
        <v>kg</v>
      </c>
      <c r="K59" s="194"/>
      <c r="L59" s="194"/>
      <c r="M59" s="194" t="str">
        <f>'36. Generic chemical products'!M11</f>
        <v>Formic acid</v>
      </c>
      <c r="N59" s="194" t="str">
        <f>'36. Generic chemical products'!N11</f>
        <v>river</v>
      </c>
      <c r="O59" s="194">
        <f>'36. Generic chemical products'!O11</f>
        <v>0.1</v>
      </c>
      <c r="P59" s="194" t="str">
        <f>'36. Generic chemical products'!P11</f>
        <v>kg</v>
      </c>
      <c r="Q59" s="194">
        <f>'36. Generic chemical products'!Q11</f>
        <v>0</v>
      </c>
      <c r="R59" s="194">
        <f>'36. Generic chemical products'!R11</f>
        <v>0</v>
      </c>
      <c r="S59" s="194">
        <f>'36. Generic chemical products'!S11</f>
        <v>0</v>
      </c>
      <c r="T59" s="194" t="str">
        <f>'36. Generic chemical products'!T11</f>
        <v>64-18-6</v>
      </c>
      <c r="U59" s="194">
        <f>'36. Generic chemical products'!U11</f>
        <v>0</v>
      </c>
      <c r="V59" s="194">
        <f>'36. Generic chemical products'!V11</f>
        <v>0</v>
      </c>
      <c r="W59" s="194">
        <f>'36. Generic chemical products'!W11</f>
        <v>0</v>
      </c>
      <c r="X59" s="194">
        <f>'36. Generic chemical products'!X11</f>
        <v>0</v>
      </c>
      <c r="Y59" s="194">
        <f>'36. Generic chemical products'!Y11</f>
        <v>2.8072892978694037</v>
      </c>
      <c r="Z59" s="194">
        <f>'36. Generic chemical products'!Z11</f>
        <v>44.680467206809801</v>
      </c>
      <c r="AA59" s="194" t="str">
        <f>'36. Generic chemical products'!AA11</f>
        <v>USEtox</v>
      </c>
      <c r="AB59" s="327">
        <f>$C$18*I59</f>
        <v>1.0000000000000001E-5</v>
      </c>
      <c r="AC59" s="328">
        <f>$C$27*O59</f>
        <v>1E-3</v>
      </c>
      <c r="AD59" s="329">
        <f t="shared" si="1"/>
        <v>0</v>
      </c>
      <c r="AE59" s="329">
        <f t="shared" si="2"/>
        <v>0</v>
      </c>
      <c r="AF59" s="330">
        <f t="shared" si="3"/>
        <v>4.4708540099788495E-2</v>
      </c>
      <c r="AG59" s="330">
        <f t="shared" si="4"/>
        <v>0</v>
      </c>
      <c r="AH59" s="330">
        <f t="shared" si="5"/>
        <v>0</v>
      </c>
      <c r="AI59" s="330">
        <f t="shared" si="6"/>
        <v>2.8072892978694039E-5</v>
      </c>
      <c r="AJ59" s="330">
        <f t="shared" si="7"/>
        <v>0</v>
      </c>
      <c r="AK59" s="330">
        <f t="shared" si="8"/>
        <v>0</v>
      </c>
      <c r="AL59" s="330">
        <f t="shared" si="9"/>
        <v>4.46804672068098E-2</v>
      </c>
      <c r="AM59" s="331">
        <f t="shared" si="10"/>
        <v>0</v>
      </c>
      <c r="AN59" s="332">
        <f t="shared" si="0"/>
        <v>0</v>
      </c>
      <c r="AO59" s="333">
        <f t="shared" si="0"/>
        <v>4.4708540099788495E-2</v>
      </c>
    </row>
    <row r="60" spans="1:41" s="51" customFormat="1" ht="15" customHeight="1" x14ac:dyDescent="0.2">
      <c r="A60" s="68" t="str">
        <f>'36. Generic chemical products'!A12</f>
        <v>Peroxide stabilizer, average (Clarite 3X)</v>
      </c>
      <c r="B60" s="68" t="str">
        <f>'36. Generic chemical products'!B12</f>
        <v>Polyacrylic acid, sodium salt</v>
      </c>
      <c r="C60" s="68">
        <f>'36. Generic chemical products'!C12</f>
        <v>0.1</v>
      </c>
      <c r="D60" s="68" t="str">
        <f>'36. Generic chemical products'!D12</f>
        <v>kg</v>
      </c>
      <c r="E60" s="68" t="str">
        <f>'36. Generic chemical products'!E12</f>
        <v>MSDS + Expert estimation for concentration</v>
      </c>
      <c r="F60" s="68"/>
      <c r="G60" s="68" t="str">
        <f>'36. Generic chemical products'!G12</f>
        <v>-</v>
      </c>
      <c r="H60" s="68"/>
      <c r="I60" s="68"/>
      <c r="J60" s="68"/>
      <c r="K60" s="68"/>
      <c r="L60" s="68"/>
      <c r="M60" s="68" t="str">
        <f>'36. Generic chemical products'!M12</f>
        <v>Polyacrylic acid, sodium salt</v>
      </c>
      <c r="N60" s="68" t="str">
        <f>'36. Generic chemical products'!N12</f>
        <v>river</v>
      </c>
      <c r="O60" s="68">
        <f>'36. Generic chemical products'!O12</f>
        <v>1.0000000000000002E-2</v>
      </c>
      <c r="P60" s="68" t="str">
        <f>'36. Generic chemical products'!P12</f>
        <v>kg</v>
      </c>
      <c r="Q60" s="68">
        <f>'36. Generic chemical products'!Q12</f>
        <v>0</v>
      </c>
      <c r="R60" s="68">
        <f>'36. Generic chemical products'!R12</f>
        <v>0</v>
      </c>
      <c r="S60" s="68">
        <f>'36. Generic chemical products'!S12</f>
        <v>0</v>
      </c>
      <c r="T60" s="68" t="str">
        <f>'36. Generic chemical products'!T12</f>
        <v>9003-04-7</v>
      </c>
      <c r="U60" s="68">
        <f>'36. Generic chemical products'!U12</f>
        <v>0</v>
      </c>
      <c r="V60" s="68">
        <f>'36. Generic chemical products'!V12</f>
        <v>0</v>
      </c>
      <c r="W60" s="68">
        <f>'36. Generic chemical products'!W12</f>
        <v>0</v>
      </c>
      <c r="X60" s="68">
        <f>'36. Generic chemical products'!X12</f>
        <v>0</v>
      </c>
      <c r="Y60" s="68">
        <f>'36. Generic chemical products'!Y12</f>
        <v>7.06</v>
      </c>
      <c r="Z60" s="68">
        <f>'36. Generic chemical products'!Z12</f>
        <v>78.599999999999994</v>
      </c>
      <c r="AA60" s="68" t="str">
        <f>'36. Generic chemical products'!AA12</f>
        <v>COSMEDE</v>
      </c>
      <c r="AB60" s="300">
        <f>$C$19*I60</f>
        <v>0</v>
      </c>
      <c r="AC60" s="301">
        <f>$C$28*O60</f>
        <v>2.0000000000000005E-5</v>
      </c>
      <c r="AD60" s="302">
        <f t="shared" si="1"/>
        <v>0</v>
      </c>
      <c r="AE60" s="302">
        <f t="shared" si="2"/>
        <v>0</v>
      </c>
      <c r="AF60" s="303">
        <f t="shared" si="3"/>
        <v>1.5720000000000003E-3</v>
      </c>
      <c r="AG60" s="303">
        <f t="shared" si="4"/>
        <v>0</v>
      </c>
      <c r="AH60" s="303">
        <f t="shared" si="5"/>
        <v>0</v>
      </c>
      <c r="AI60" s="303">
        <f t="shared" si="6"/>
        <v>0</v>
      </c>
      <c r="AJ60" s="303">
        <f t="shared" si="7"/>
        <v>0</v>
      </c>
      <c r="AK60" s="303">
        <f t="shared" si="8"/>
        <v>0</v>
      </c>
      <c r="AL60" s="303">
        <f t="shared" si="9"/>
        <v>1.5720000000000003E-3</v>
      </c>
      <c r="AM60" s="304">
        <f t="shared" si="10"/>
        <v>0</v>
      </c>
      <c r="AN60" s="305">
        <f t="shared" si="0"/>
        <v>0</v>
      </c>
      <c r="AO60" s="306">
        <f t="shared" si="0"/>
        <v>1.5720000000000003E-3</v>
      </c>
    </row>
    <row r="61" spans="1:41" s="51" customFormat="1" ht="15" customHeight="1" x14ac:dyDescent="0.2">
      <c r="A61" s="68" t="str">
        <f>'36. Generic chemical products'!A13</f>
        <v>Peroxide stabilizer, average (Clarite 3X)</v>
      </c>
      <c r="B61" s="68" t="str">
        <f>'36. Generic chemical products'!B13</f>
        <v>Phosphonic acid, disodium salt</v>
      </c>
      <c r="C61" s="68">
        <f>'36. Generic chemical products'!C13</f>
        <v>0.1</v>
      </c>
      <c r="D61" s="68" t="str">
        <f>'36. Generic chemical products'!D13</f>
        <v>kg</v>
      </c>
      <c r="E61" s="68" t="str">
        <f>'36. Generic chemical products'!E13</f>
        <v>MSDS + Expert estimation for concentration</v>
      </c>
      <c r="F61" s="68"/>
      <c r="G61" s="68" t="str">
        <f>'36. Generic chemical products'!G13</f>
        <v>-</v>
      </c>
      <c r="H61" s="68"/>
      <c r="I61" s="68"/>
      <c r="J61" s="68"/>
      <c r="K61" s="68"/>
      <c r="L61" s="68"/>
      <c r="M61" s="68" t="str">
        <f>'36. Generic chemical products'!M13</f>
        <v>Phosphonic acid</v>
      </c>
      <c r="N61" s="68" t="str">
        <f>'36. Generic chemical products'!N13</f>
        <v>river</v>
      </c>
      <c r="O61" s="68">
        <f>'36. Generic chemical products'!O13</f>
        <v>1.0000000000000002E-2</v>
      </c>
      <c r="P61" s="68" t="str">
        <f>'36. Generic chemical products'!P13</f>
        <v>kg</v>
      </c>
      <c r="Q61" s="68">
        <f>'36. Generic chemical products'!Q13</f>
        <v>0</v>
      </c>
      <c r="R61" s="68">
        <f>'36. Generic chemical products'!R13</f>
        <v>0</v>
      </c>
      <c r="S61" s="68">
        <f>'36. Generic chemical products'!S13</f>
        <v>0</v>
      </c>
      <c r="T61" s="68" t="str">
        <f>'36. Generic chemical products'!T13</f>
        <v>13708-85-5</v>
      </c>
      <c r="U61" s="68">
        <f>'36. Generic chemical products'!U13</f>
        <v>0</v>
      </c>
      <c r="V61" s="68">
        <f>'36. Generic chemical products'!V13</f>
        <v>2.5624272316803493E-8</v>
      </c>
      <c r="W61" s="68">
        <f>'36. Generic chemical products'!W13</f>
        <v>0</v>
      </c>
      <c r="X61" s="68">
        <f>'36. Generic chemical products'!X13</f>
        <v>6.1179997974786175E-9</v>
      </c>
      <c r="Y61" s="68">
        <f>'36. Generic chemical products'!Y13</f>
        <v>95.727827940780713</v>
      </c>
      <c r="Z61" s="68">
        <f>'36. Generic chemical products'!Z13</f>
        <v>451.93033608164546</v>
      </c>
      <c r="AA61" s="68" t="str">
        <f>'36. Generic chemical products'!AA13</f>
        <v>Roos 2017</v>
      </c>
      <c r="AB61" s="300">
        <f>$C$19*I61</f>
        <v>0</v>
      </c>
      <c r="AC61" s="301">
        <f>$C$28*O61</f>
        <v>2.0000000000000005E-5</v>
      </c>
      <c r="AD61" s="302">
        <f t="shared" si="1"/>
        <v>0</v>
      </c>
      <c r="AE61" s="302">
        <f t="shared" si="2"/>
        <v>1.2235999594957237E-13</v>
      </c>
      <c r="AF61" s="303">
        <f t="shared" si="3"/>
        <v>9.0386067216329108E-3</v>
      </c>
      <c r="AG61" s="303">
        <f t="shared" si="4"/>
        <v>0</v>
      </c>
      <c r="AH61" s="303">
        <f t="shared" si="5"/>
        <v>0</v>
      </c>
      <c r="AI61" s="303">
        <f t="shared" si="6"/>
        <v>0</v>
      </c>
      <c r="AJ61" s="303">
        <f t="shared" si="7"/>
        <v>0</v>
      </c>
      <c r="AK61" s="303">
        <f t="shared" si="8"/>
        <v>1.2235999594957237E-13</v>
      </c>
      <c r="AL61" s="303">
        <f t="shared" si="9"/>
        <v>9.0386067216329108E-3</v>
      </c>
      <c r="AM61" s="304">
        <f t="shared" si="10"/>
        <v>0</v>
      </c>
      <c r="AN61" s="305">
        <f t="shared" si="0"/>
        <v>1.2235999594957237E-13</v>
      </c>
      <c r="AO61" s="306">
        <f t="shared" si="0"/>
        <v>9.0386067216329108E-3</v>
      </c>
    </row>
    <row r="62" spans="1:41" s="51" customFormat="1" ht="15" customHeight="1" x14ac:dyDescent="0.2">
      <c r="A62" s="68" t="str">
        <f>'36. Generic chemical products'!A14</f>
        <v>Peroxide stabilizer, average (Clarite 3X)</v>
      </c>
      <c r="B62" s="68" t="str">
        <f>'36. Generic chemical products'!B14</f>
        <v>Magnesium chloride</v>
      </c>
      <c r="C62" s="68">
        <f>'36. Generic chemical products'!C14</f>
        <v>5.0000000000000001E-3</v>
      </c>
      <c r="D62" s="68" t="str">
        <f>'36. Generic chemical products'!D14</f>
        <v>kg</v>
      </c>
      <c r="E62" s="68" t="str">
        <f>'36. Generic chemical products'!E14</f>
        <v>MSDS + Expert estimation for concentration</v>
      </c>
      <c r="F62" s="68"/>
      <c r="G62" s="68" t="str">
        <f>'36. Generic chemical products'!G14</f>
        <v>-</v>
      </c>
      <c r="H62" s="68"/>
      <c r="I62" s="68"/>
      <c r="J62" s="68"/>
      <c r="K62" s="68" t="str">
        <f>'36. Generic chemical products'!K14</f>
        <v>Worst case - mist carries substance</v>
      </c>
      <c r="L62" s="68"/>
      <c r="M62" s="68" t="str">
        <f>'36. Generic chemical products'!M14</f>
        <v>Magnesium chloride</v>
      </c>
      <c r="N62" s="68" t="str">
        <f>'36. Generic chemical products'!N14</f>
        <v>river</v>
      </c>
      <c r="O62" s="68">
        <f>'36. Generic chemical products'!O14</f>
        <v>5.0000000000000001E-4</v>
      </c>
      <c r="P62" s="68" t="str">
        <f>'36. Generic chemical products'!P14</f>
        <v>kg</v>
      </c>
      <c r="Q62" s="68">
        <f>'36. Generic chemical products'!Q14</f>
        <v>0</v>
      </c>
      <c r="R62" s="68">
        <f>'36. Generic chemical products'!R14</f>
        <v>0</v>
      </c>
      <c r="S62" s="68">
        <f>'36. Generic chemical products'!S14</f>
        <v>0</v>
      </c>
      <c r="T62" s="68" t="str">
        <f>'36. Generic chemical products'!T14</f>
        <v>7786-30-3</v>
      </c>
      <c r="U62" s="68">
        <f>'36. Generic chemical products'!U14</f>
        <v>0</v>
      </c>
      <c r="V62" s="68">
        <f>'36. Generic chemical products'!V14</f>
        <v>0</v>
      </c>
      <c r="W62" s="68">
        <f>'36. Generic chemical products'!W14</f>
        <v>0</v>
      </c>
      <c r="X62" s="68">
        <f>'36. Generic chemical products'!X14</f>
        <v>0</v>
      </c>
      <c r="Y62" s="68">
        <f>'36. Generic chemical products'!Y14</f>
        <v>7.4</v>
      </c>
      <c r="Z62" s="68">
        <f>'36. Generic chemical products'!Z14</f>
        <v>17.7</v>
      </c>
      <c r="AA62" s="68" t="str">
        <f>'36. Generic chemical products'!AA14</f>
        <v>COSMEDE</v>
      </c>
      <c r="AB62" s="300">
        <f>$C$19*I62</f>
        <v>0</v>
      </c>
      <c r="AC62" s="301">
        <f>$C$28*O62</f>
        <v>9.9999999999999995E-7</v>
      </c>
      <c r="AD62" s="302">
        <f t="shared" si="1"/>
        <v>0</v>
      </c>
      <c r="AE62" s="302">
        <f t="shared" si="2"/>
        <v>0</v>
      </c>
      <c r="AF62" s="303">
        <f t="shared" si="3"/>
        <v>1.77E-5</v>
      </c>
      <c r="AG62" s="303">
        <f t="shared" si="4"/>
        <v>0</v>
      </c>
      <c r="AH62" s="303">
        <f t="shared" si="5"/>
        <v>0</v>
      </c>
      <c r="AI62" s="303">
        <f t="shared" si="6"/>
        <v>0</v>
      </c>
      <c r="AJ62" s="303">
        <f t="shared" si="7"/>
        <v>0</v>
      </c>
      <c r="AK62" s="303">
        <f t="shared" si="8"/>
        <v>0</v>
      </c>
      <c r="AL62" s="303">
        <f t="shared" si="9"/>
        <v>1.77E-5</v>
      </c>
      <c r="AM62" s="304">
        <f t="shared" si="10"/>
        <v>0</v>
      </c>
      <c r="AN62" s="305">
        <f t="shared" si="0"/>
        <v>0</v>
      </c>
      <c r="AO62" s="306">
        <f t="shared" si="0"/>
        <v>1.77E-5</v>
      </c>
    </row>
    <row r="63" spans="1:41" s="139" customFormat="1" ht="15" customHeight="1" x14ac:dyDescent="0.2">
      <c r="A63" s="68" t="str">
        <f>'36. Generic chemical products'!A15</f>
        <v>Peroxide stabilizer, average (Clarite 3X)</v>
      </c>
      <c r="B63" s="68" t="str">
        <f>'36. Generic chemical products'!B15</f>
        <v xml:space="preserve"> </v>
      </c>
      <c r="C63" s="68"/>
      <c r="D63" s="68"/>
      <c r="E63" s="68" t="str">
        <f>'36. Generic chemical products'!E15</f>
        <v>Common breakdown product of of acrylics, 0.001 % assumed</v>
      </c>
      <c r="F63" s="68"/>
      <c r="G63" s="68" t="str">
        <f>'36. Generic chemical products'!G15</f>
        <v>Formaldehyde</v>
      </c>
      <c r="H63" s="68" t="str">
        <f>'36. Generic chemical products'!H15</f>
        <v>high. pop.</v>
      </c>
      <c r="I63" s="68">
        <f>'36. Generic chemical products'!I15</f>
        <v>1.0000000000000001E-7</v>
      </c>
      <c r="J63" s="68" t="str">
        <f>'36. Generic chemical products'!J15</f>
        <v>kg</v>
      </c>
      <c r="K63" s="68"/>
      <c r="L63" s="68"/>
      <c r="M63" s="68" t="str">
        <f>'36. Generic chemical products'!M15</f>
        <v>Formaldehyde</v>
      </c>
      <c r="N63" s="68" t="str">
        <f>'36. Generic chemical products'!N15</f>
        <v>river</v>
      </c>
      <c r="O63" s="68">
        <f>'36. Generic chemical products'!O15</f>
        <v>1.0000000000000002E-6</v>
      </c>
      <c r="P63" s="68" t="str">
        <f>'36. Generic chemical products'!P15</f>
        <v>kg</v>
      </c>
      <c r="Q63" s="68" t="str">
        <f>'36. Generic chemical products'!Q15</f>
        <v xml:space="preserve">0.1 % of the content is degraded to common breakdown products. 90% of reactive chemicals are degraded during operations. </v>
      </c>
      <c r="R63" s="68">
        <f>'36. Generic chemical products'!R15</f>
        <v>0</v>
      </c>
      <c r="S63" s="68">
        <f>'36. Generic chemical products'!S15</f>
        <v>0</v>
      </c>
      <c r="T63" s="68" t="str">
        <f>'36. Generic chemical products'!T15</f>
        <v>50-00-0</v>
      </c>
      <c r="U63" s="68">
        <f>'36. Generic chemical products'!U15</f>
        <v>2.5208446330720887E-5</v>
      </c>
      <c r="V63" s="68">
        <f>'36. Generic chemical products'!V15</f>
        <v>2.6504960021309262E-7</v>
      </c>
      <c r="W63" s="68">
        <f>'36. Generic chemical products'!W15</f>
        <v>1.4222228897488039E-7</v>
      </c>
      <c r="X63" s="68">
        <f>'36. Generic chemical products'!X15</f>
        <v>3.170874313501273E-7</v>
      </c>
      <c r="Y63" s="68">
        <f>'36. Generic chemical products'!Y15</f>
        <v>17.989178582912412</v>
      </c>
      <c r="Z63" s="68">
        <f>'36. Generic chemical products'!Z15</f>
        <v>290.05086067463066</v>
      </c>
      <c r="AA63" s="68" t="str">
        <f>'36. Generic chemical products'!AA15</f>
        <v>USEtox</v>
      </c>
      <c r="AB63" s="307">
        <f>$C$19*I63</f>
        <v>2.0000000000000003E-10</v>
      </c>
      <c r="AC63" s="308">
        <f>$C$28*O63</f>
        <v>2.0000000000000005E-9</v>
      </c>
      <c r="AD63" s="309">
        <f t="shared" si="1"/>
        <v>5.3261338440939393E-15</v>
      </c>
      <c r="AE63" s="309">
        <f t="shared" si="2"/>
        <v>6.8718478274287339E-16</v>
      </c>
      <c r="AF63" s="310">
        <f t="shared" si="3"/>
        <v>5.83699557065844E-7</v>
      </c>
      <c r="AG63" s="310">
        <f t="shared" si="4"/>
        <v>5.0416892661441783E-15</v>
      </c>
      <c r="AH63" s="310">
        <f t="shared" si="5"/>
        <v>5.3009920042618531E-17</v>
      </c>
      <c r="AI63" s="310">
        <f t="shared" si="6"/>
        <v>3.5978357165824831E-9</v>
      </c>
      <c r="AJ63" s="310">
        <f t="shared" si="7"/>
        <v>2.8444457794976087E-16</v>
      </c>
      <c r="AK63" s="310">
        <f t="shared" si="8"/>
        <v>6.3417486270025483E-16</v>
      </c>
      <c r="AL63" s="310">
        <f t="shared" si="9"/>
        <v>5.801017213492615E-7</v>
      </c>
      <c r="AM63" s="311">
        <f t="shared" si="10"/>
        <v>5.3261338440939393E-15</v>
      </c>
      <c r="AN63" s="312">
        <f t="shared" si="0"/>
        <v>6.8718478274287339E-16</v>
      </c>
      <c r="AO63" s="313">
        <f t="shared" si="0"/>
        <v>5.83699557065844E-7</v>
      </c>
    </row>
    <row r="64" spans="1:41" s="195" customFormat="1" ht="15" customHeight="1" x14ac:dyDescent="0.2">
      <c r="A64" s="194" t="str">
        <f>'36. Generic chemical products'!A16</f>
        <v>Base (alkali) (NaOH), average</v>
      </c>
      <c r="B64" s="194" t="str">
        <f>'36. Generic chemical products'!B16</f>
        <v>Sodium hydroxide</v>
      </c>
      <c r="C64" s="194">
        <f>'36. Generic chemical products'!C16</f>
        <v>1</v>
      </c>
      <c r="D64" s="194" t="str">
        <f>'36. Generic chemical products'!D16</f>
        <v>kg</v>
      </c>
      <c r="E64" s="194">
        <f>'36. Generic chemical products'!E16</f>
        <v>1</v>
      </c>
      <c r="F64" s="194"/>
      <c r="G64" s="194" t="str">
        <f>'36. Generic chemical products'!G16</f>
        <v>-</v>
      </c>
      <c r="H64" s="194"/>
      <c r="I64" s="194"/>
      <c r="J64" s="194"/>
      <c r="K64" s="194" t="str">
        <f>'36. Generic chemical products'!K16</f>
        <v>Worst case - mist carries substance</v>
      </c>
      <c r="L64" s="194"/>
      <c r="M64" s="194" t="str">
        <f>'36. Generic chemical products'!M16</f>
        <v>Sodium hydroxide</v>
      </c>
      <c r="N64" s="194" t="str">
        <f>'36. Generic chemical products'!N16</f>
        <v>river</v>
      </c>
      <c r="O64" s="194">
        <f>'36. Generic chemical products'!O16</f>
        <v>0.1</v>
      </c>
      <c r="P64" s="194" t="str">
        <f>'36. Generic chemical products'!P16</f>
        <v>kg</v>
      </c>
      <c r="Q64" s="194">
        <f>'36. Generic chemical products'!Q16</f>
        <v>0</v>
      </c>
      <c r="R64" s="194">
        <f>'36. Generic chemical products'!R16</f>
        <v>0</v>
      </c>
      <c r="S64" s="194">
        <f>'36. Generic chemical products'!S16</f>
        <v>0</v>
      </c>
      <c r="T64" s="194" t="str">
        <f>'36. Generic chemical products'!T16</f>
        <v>1310-73-2</v>
      </c>
      <c r="U64" s="194">
        <f>'36. Generic chemical products'!U16</f>
        <v>0</v>
      </c>
      <c r="V64" s="194">
        <f>'36. Generic chemical products'!V16</f>
        <v>0</v>
      </c>
      <c r="W64" s="194">
        <f>'36. Generic chemical products'!W16</f>
        <v>0</v>
      </c>
      <c r="X64" s="194">
        <f>'36. Generic chemical products'!X16</f>
        <v>0</v>
      </c>
      <c r="Y64" s="194">
        <f>'36. Generic chemical products'!Y16</f>
        <v>164.24</v>
      </c>
      <c r="Z64" s="194">
        <f>'36. Generic chemical products'!Z16</f>
        <v>400.09</v>
      </c>
      <c r="AA64" s="194" t="str">
        <f>'36. Generic chemical products'!AA16</f>
        <v>COSMEDE</v>
      </c>
      <c r="AB64" s="327">
        <f>$C$20*I64</f>
        <v>0</v>
      </c>
      <c r="AC64" s="328">
        <f>$C$29*O64</f>
        <v>2.5000000000000005E-3</v>
      </c>
      <c r="AD64" s="329">
        <f t="shared" si="1"/>
        <v>0</v>
      </c>
      <c r="AE64" s="329">
        <f t="shared" si="2"/>
        <v>0</v>
      </c>
      <c r="AF64" s="330">
        <f t="shared" si="3"/>
        <v>1.0002250000000001</v>
      </c>
      <c r="AG64" s="330">
        <f t="shared" si="4"/>
        <v>0</v>
      </c>
      <c r="AH64" s="330">
        <f t="shared" si="5"/>
        <v>0</v>
      </c>
      <c r="AI64" s="330">
        <f t="shared" si="6"/>
        <v>0</v>
      </c>
      <c r="AJ64" s="330">
        <f t="shared" si="7"/>
        <v>0</v>
      </c>
      <c r="AK64" s="330">
        <f t="shared" si="8"/>
        <v>0</v>
      </c>
      <c r="AL64" s="330">
        <f t="shared" si="9"/>
        <v>1.0002250000000001</v>
      </c>
      <c r="AM64" s="331">
        <f t="shared" si="10"/>
        <v>0</v>
      </c>
      <c r="AN64" s="332">
        <f t="shared" si="0"/>
        <v>0</v>
      </c>
      <c r="AO64" s="333">
        <f t="shared" si="0"/>
        <v>1.0002250000000001</v>
      </c>
    </row>
    <row r="65" spans="1:41" s="195" customFormat="1" ht="15" customHeight="1" x14ac:dyDescent="0.2">
      <c r="A65" s="196" t="str">
        <f>'36. Generic chemical products'!A17</f>
        <v>Bleach, hydrogen peroxide, BAT</v>
      </c>
      <c r="B65" s="196" t="str">
        <f>'36. Generic chemical products'!B17</f>
        <v>Hydrogen peroxide</v>
      </c>
      <c r="C65" s="196">
        <f>'36. Generic chemical products'!C17</f>
        <v>1</v>
      </c>
      <c r="D65" s="196" t="str">
        <f>'36. Generic chemical products'!D17</f>
        <v>kg</v>
      </c>
      <c r="E65" s="196">
        <f>'36. Generic chemical products'!E17</f>
        <v>1</v>
      </c>
      <c r="F65" s="196"/>
      <c r="G65" s="196" t="str">
        <f>'36. Generic chemical products'!G17</f>
        <v>Hydrogen peroxide</v>
      </c>
      <c r="H65" s="196" t="str">
        <f>'36. Generic chemical products'!H17</f>
        <v>high. pop.</v>
      </c>
      <c r="I65" s="196">
        <f>'36. Generic chemical products'!I17</f>
        <v>1E-3</v>
      </c>
      <c r="J65" s="196" t="str">
        <f>'36. Generic chemical products'!J17</f>
        <v>kg</v>
      </c>
      <c r="K65" s="196"/>
      <c r="L65" s="196"/>
      <c r="M65" s="196" t="str">
        <f>'36. Generic chemical products'!M17</f>
        <v>Hydrogen peroxide</v>
      </c>
      <c r="N65" s="196" t="str">
        <f>'36. Generic chemical products'!N17</f>
        <v>river</v>
      </c>
      <c r="O65" s="196">
        <f>'36. Generic chemical products'!O17</f>
        <v>1.0000000000000002E-2</v>
      </c>
      <c r="P65" s="196" t="str">
        <f>'36. Generic chemical products'!P17</f>
        <v>kg</v>
      </c>
      <c r="Q65" s="196" t="str">
        <f>'36. Generic chemical products'!Q17</f>
        <v xml:space="preserve">90% of reactive chemicals are degraded during operations. </v>
      </c>
      <c r="R65" s="196">
        <f>'36. Generic chemical products'!R17</f>
        <v>0</v>
      </c>
      <c r="S65" s="196">
        <f>'36. Generic chemical products'!S17</f>
        <v>0</v>
      </c>
      <c r="T65" s="196" t="str">
        <f>'36. Generic chemical products'!T17</f>
        <v>7722-84-1</v>
      </c>
      <c r="U65" s="196">
        <f>'36. Generic chemical products'!U17</f>
        <v>0</v>
      </c>
      <c r="V65" s="196">
        <f>'36. Generic chemical products'!V17</f>
        <v>0</v>
      </c>
      <c r="W65" s="196">
        <f>'36. Generic chemical products'!W17</f>
        <v>0</v>
      </c>
      <c r="X65" s="196">
        <f>'36. Generic chemical products'!X17</f>
        <v>0</v>
      </c>
      <c r="Y65" s="196">
        <f>'36. Generic chemical products'!Y17</f>
        <v>220</v>
      </c>
      <c r="Z65" s="196">
        <f>'36. Generic chemical products'!Z17</f>
        <v>532</v>
      </c>
      <c r="AA65" s="196" t="str">
        <f>'36. Generic chemical products'!AA17</f>
        <v>COSMEDE</v>
      </c>
      <c r="AB65" s="327">
        <f>$C$21*I65</f>
        <v>7.0000000000000007E-5</v>
      </c>
      <c r="AC65" s="328">
        <f>$C$30*O65</f>
        <v>7.0000000000000021E-4</v>
      </c>
      <c r="AD65" s="329">
        <f t="shared" si="1"/>
        <v>0</v>
      </c>
      <c r="AE65" s="329">
        <f t="shared" si="2"/>
        <v>0</v>
      </c>
      <c r="AF65" s="330">
        <f t="shared" si="3"/>
        <v>0.38780000000000014</v>
      </c>
      <c r="AG65" s="330">
        <f t="shared" si="4"/>
        <v>0</v>
      </c>
      <c r="AH65" s="330">
        <f t="shared" si="5"/>
        <v>0</v>
      </c>
      <c r="AI65" s="330">
        <f t="shared" si="6"/>
        <v>1.5400000000000002E-2</v>
      </c>
      <c r="AJ65" s="330">
        <f t="shared" si="7"/>
        <v>0</v>
      </c>
      <c r="AK65" s="330">
        <f t="shared" si="8"/>
        <v>0</v>
      </c>
      <c r="AL65" s="330">
        <f t="shared" si="9"/>
        <v>0.37240000000000012</v>
      </c>
      <c r="AM65" s="331">
        <f t="shared" si="10"/>
        <v>0</v>
      </c>
      <c r="AN65" s="332">
        <f t="shared" si="0"/>
        <v>0</v>
      </c>
      <c r="AO65" s="333">
        <f t="shared" si="0"/>
        <v>0.38780000000000014</v>
      </c>
    </row>
    <row r="66" spans="1:41" s="195" customFormat="1" ht="15" customHeight="1" x14ac:dyDescent="0.2">
      <c r="A66" s="194" t="str">
        <f>'36. Generic chemical products'!A18</f>
        <v>Optical brightener, stilbene disulfonic acid (Uvitex BHT liq 115%)</v>
      </c>
      <c r="B66" s="194" t="str">
        <f>'36. Generic chemical products'!B18</f>
        <v xml:space="preserve">Fluorescent Brightener 220 </v>
      </c>
      <c r="C66" s="194">
        <f>'36. Generic chemical products'!C18</f>
        <v>1</v>
      </c>
      <c r="D66" s="194" t="str">
        <f>'36. Generic chemical products'!D18</f>
        <v>kg</v>
      </c>
      <c r="E66" s="194" t="str">
        <f>'36. Generic chemical products'!E18</f>
        <v>THK online: Uvitex BHT liq 115%</v>
      </c>
      <c r="F66" s="194"/>
      <c r="G66" s="194" t="str">
        <f>'36. Generic chemical products'!G18</f>
        <v>-</v>
      </c>
      <c r="H66" s="194"/>
      <c r="I66" s="194"/>
      <c r="J66" s="194"/>
      <c r="K66" s="194"/>
      <c r="L66" s="194"/>
      <c r="M66" s="194" t="str">
        <f>'36. Generic chemical products'!M18</f>
        <v xml:space="preserve">Fluorescent Brightener 220 </v>
      </c>
      <c r="N66" s="194" t="str">
        <f>'36. Generic chemical products'!N18</f>
        <v>river</v>
      </c>
      <c r="O66" s="194">
        <f>'36. Generic chemical products'!O18</f>
        <v>5.000000000000001E-3</v>
      </c>
      <c r="P66" s="194" t="str">
        <f>'36. Generic chemical products'!P18</f>
        <v>kg</v>
      </c>
      <c r="Q66" s="194" t="str">
        <f>'36. Generic chemical products'!Q18</f>
        <v>95% on fabric</v>
      </c>
      <c r="R66" s="194">
        <f>'36. Generic chemical products'!R18</f>
        <v>0</v>
      </c>
      <c r="S66" s="194">
        <f>'36. Generic chemical products'!S18</f>
        <v>0</v>
      </c>
      <c r="T66" s="194" t="str">
        <f>'36. Generic chemical products'!T18</f>
        <v>16470-24-9</v>
      </c>
      <c r="U66" s="194">
        <f>'36. Generic chemical products'!U18</f>
        <v>0</v>
      </c>
      <c r="V66" s="194">
        <f>'36. Generic chemical products'!V18</f>
        <v>0</v>
      </c>
      <c r="W66" s="194">
        <f>'36. Generic chemical products'!W18</f>
        <v>0</v>
      </c>
      <c r="X66" s="194">
        <f>'36. Generic chemical products'!X18</f>
        <v>0</v>
      </c>
      <c r="Y66" s="194">
        <f>'36. Generic chemical products'!Y18</f>
        <v>7.1</v>
      </c>
      <c r="Z66" s="194">
        <f>'36. Generic chemical products'!Z18</f>
        <v>406.71</v>
      </c>
      <c r="AA66" s="194" t="str">
        <f>'36. Generic chemical products'!AA18</f>
        <v>COSMEDE</v>
      </c>
      <c r="AB66" s="327">
        <f>$C$22*I66</f>
        <v>0</v>
      </c>
      <c r="AC66" s="328">
        <f>$C$31*O66</f>
        <v>3.0000000000000003E-4</v>
      </c>
      <c r="AD66" s="329">
        <f t="shared" si="1"/>
        <v>0</v>
      </c>
      <c r="AE66" s="329">
        <f t="shared" si="2"/>
        <v>0</v>
      </c>
      <c r="AF66" s="330">
        <f t="shared" si="3"/>
        <v>0.12201300000000001</v>
      </c>
      <c r="AG66" s="330">
        <f t="shared" si="4"/>
        <v>0</v>
      </c>
      <c r="AH66" s="330">
        <f t="shared" si="5"/>
        <v>0</v>
      </c>
      <c r="AI66" s="330">
        <f t="shared" si="6"/>
        <v>0</v>
      </c>
      <c r="AJ66" s="330">
        <f t="shared" si="7"/>
        <v>0</v>
      </c>
      <c r="AK66" s="330">
        <f t="shared" si="8"/>
        <v>0</v>
      </c>
      <c r="AL66" s="330">
        <f t="shared" si="9"/>
        <v>0.12201300000000001</v>
      </c>
      <c r="AM66" s="331">
        <f t="shared" si="10"/>
        <v>0</v>
      </c>
      <c r="AN66" s="332">
        <f t="shared" si="10"/>
        <v>0</v>
      </c>
      <c r="AO66" s="333">
        <f t="shared" si="10"/>
        <v>0.12201300000000001</v>
      </c>
    </row>
    <row r="67" spans="1:41" s="195" customFormat="1" ht="15" customHeight="1" x14ac:dyDescent="0.2">
      <c r="A67" s="196" t="str">
        <f>'36. Generic chemical products'!A19</f>
        <v>Acid, sulfuric acid, average</v>
      </c>
      <c r="B67" s="196" t="str">
        <f>'36. Generic chemical products'!B19</f>
        <v>Sulfuric acid</v>
      </c>
      <c r="C67" s="196">
        <f>'36. Generic chemical products'!C19</f>
        <v>1</v>
      </c>
      <c r="D67" s="196" t="str">
        <f>'36. Generic chemical products'!D19</f>
        <v>kg</v>
      </c>
      <c r="E67" s="196">
        <f>'36. Generic chemical products'!E19</f>
        <v>1</v>
      </c>
      <c r="F67" s="196"/>
      <c r="G67" s="196" t="str">
        <f>'36. Generic chemical products'!G19</f>
        <v>Sulfuric acid</v>
      </c>
      <c r="H67" s="196" t="str">
        <f>'36. Generic chemical products'!H19</f>
        <v>high. pop.</v>
      </c>
      <c r="I67" s="196">
        <f>'36. Generic chemical products'!I19</f>
        <v>1E-3</v>
      </c>
      <c r="J67" s="196" t="str">
        <f>'36. Generic chemical products'!J19</f>
        <v>kg</v>
      </c>
      <c r="K67" s="196"/>
      <c r="L67" s="196"/>
      <c r="M67" s="196" t="str">
        <f>'36. Generic chemical products'!M19</f>
        <v>Sulfuric acid</v>
      </c>
      <c r="N67" s="196" t="str">
        <f>'36. Generic chemical products'!N19</f>
        <v>river</v>
      </c>
      <c r="O67" s="196">
        <f>'36. Generic chemical products'!O19</f>
        <v>0.1</v>
      </c>
      <c r="P67" s="196" t="str">
        <f>'36. Generic chemical products'!P19</f>
        <v>kg</v>
      </c>
      <c r="Q67" s="196">
        <f>'36. Generic chemical products'!Q19</f>
        <v>0</v>
      </c>
      <c r="R67" s="196">
        <f>'36. Generic chemical products'!R19</f>
        <v>0</v>
      </c>
      <c r="S67" s="196">
        <f>'36. Generic chemical products'!S19</f>
        <v>0</v>
      </c>
      <c r="T67" s="196" t="str">
        <f>'36. Generic chemical products'!T19</f>
        <v>7664-93-9</v>
      </c>
      <c r="U67" s="196">
        <f>'36. Generic chemical products'!U19</f>
        <v>0</v>
      </c>
      <c r="V67" s="196">
        <f>'36. Generic chemical products'!V19</f>
        <v>0</v>
      </c>
      <c r="W67" s="196">
        <f>'36. Generic chemical products'!W19</f>
        <v>0</v>
      </c>
      <c r="X67" s="196">
        <f>'36. Generic chemical products'!X19</f>
        <v>0</v>
      </c>
      <c r="Y67" s="196">
        <f>'36. Generic chemical products'!Y19</f>
        <v>49.010721972656775</v>
      </c>
      <c r="Z67" s="196">
        <f>'36. Generic chemical products'!Z19</f>
        <v>299.66222151864491</v>
      </c>
      <c r="AA67" s="196" t="str">
        <f>'36. Generic chemical products'!AA19</f>
        <v>USEtox</v>
      </c>
      <c r="AB67" s="327">
        <f>$C$23*I67</f>
        <v>7.0000000000000007E-5</v>
      </c>
      <c r="AC67" s="328">
        <f>$C$32*O67</f>
        <v>2E-3</v>
      </c>
      <c r="AD67" s="329">
        <f t="shared" si="1"/>
        <v>0</v>
      </c>
      <c r="AE67" s="329">
        <f t="shared" si="2"/>
        <v>0</v>
      </c>
      <c r="AF67" s="330">
        <f t="shared" si="3"/>
        <v>0.60275519357537577</v>
      </c>
      <c r="AG67" s="330">
        <f t="shared" si="4"/>
        <v>0</v>
      </c>
      <c r="AH67" s="330">
        <f t="shared" si="5"/>
        <v>0</v>
      </c>
      <c r="AI67" s="330">
        <f t="shared" si="6"/>
        <v>3.4307505380859744E-3</v>
      </c>
      <c r="AJ67" s="330">
        <f t="shared" si="7"/>
        <v>0</v>
      </c>
      <c r="AK67" s="330">
        <f t="shared" si="8"/>
        <v>0</v>
      </c>
      <c r="AL67" s="330">
        <f t="shared" si="9"/>
        <v>0.59932444303728982</v>
      </c>
      <c r="AM67" s="331">
        <f t="shared" si="10"/>
        <v>0</v>
      </c>
      <c r="AN67" s="332">
        <f t="shared" si="10"/>
        <v>0</v>
      </c>
      <c r="AO67" s="333">
        <f t="shared" si="10"/>
        <v>0.60275519357537577</v>
      </c>
    </row>
    <row r="68" spans="1:41" s="51" customFormat="1" ht="15" customHeight="1" x14ac:dyDescent="0.2">
      <c r="A68" s="70" t="str">
        <f>'36. Generic chemical products'!A20</f>
        <v>Softener, average (Sapamine SFC)</v>
      </c>
      <c r="B68" s="70" t="str">
        <f>'36. Generic chemical products'!B20</f>
        <v>Octadecanoic acid</v>
      </c>
      <c r="C68" s="70">
        <f>'36. Generic chemical products'!C20</f>
        <v>0.2</v>
      </c>
      <c r="D68" s="70" t="str">
        <f>'36. Generic chemical products'!D20</f>
        <v>kg</v>
      </c>
      <c r="E68" s="70" t="str">
        <f>'36. Generic chemical products'!E20</f>
        <v>MSDS</v>
      </c>
      <c r="F68" s="70"/>
      <c r="G68" s="70" t="str">
        <f>'36. Generic chemical products'!G20</f>
        <v>-</v>
      </c>
      <c r="H68" s="70"/>
      <c r="I68" s="70"/>
      <c r="J68" s="70"/>
      <c r="K68" s="70"/>
      <c r="L68" s="70"/>
      <c r="M68" s="70" t="str">
        <f>'36. Generic chemical products'!M20</f>
        <v>Octadecanoic acid</v>
      </c>
      <c r="N68" s="70" t="str">
        <f>'36. Generic chemical products'!N20</f>
        <v>river</v>
      </c>
      <c r="O68" s="70">
        <f>'36. Generic chemical products'!O20</f>
        <v>1.0000000000000002E-3</v>
      </c>
      <c r="P68" s="70" t="str">
        <f>'36. Generic chemical products'!P20</f>
        <v>kg</v>
      </c>
      <c r="Q68" s="70" t="str">
        <f>'36. Generic chemical products'!Q20</f>
        <v>95% on fabric</v>
      </c>
      <c r="R68" s="70">
        <f>'36. Generic chemical products'!R20</f>
        <v>0</v>
      </c>
      <c r="S68" s="70">
        <f>'36. Generic chemical products'!S20</f>
        <v>0</v>
      </c>
      <c r="T68" s="70" t="str">
        <f>'36. Generic chemical products'!T20</f>
        <v>57-11-4</v>
      </c>
      <c r="U68" s="70">
        <f>'36. Generic chemical products'!U20</f>
        <v>0</v>
      </c>
      <c r="V68" s="70">
        <f>'36. Generic chemical products'!V20</f>
        <v>0</v>
      </c>
      <c r="W68" s="70">
        <f>'36. Generic chemical products'!W20</f>
        <v>0</v>
      </c>
      <c r="X68" s="70">
        <f>'36. Generic chemical products'!X20</f>
        <v>0</v>
      </c>
      <c r="Y68" s="70">
        <f>'36. Generic chemical products'!Y20</f>
        <v>9.2999999999999999E-2</v>
      </c>
      <c r="Z68" s="70">
        <f>'36. Generic chemical products'!Z20</f>
        <v>33.799999999999997</v>
      </c>
      <c r="AA68" s="70" t="str">
        <f>'36. Generic chemical products'!AA20</f>
        <v>COSMEDE</v>
      </c>
      <c r="AB68" s="300">
        <f>$C$24*I68</f>
        <v>0</v>
      </c>
      <c r="AC68" s="301">
        <f>$C$33*O68</f>
        <v>3.0000000000000008E-5</v>
      </c>
      <c r="AD68" s="302">
        <f t="shared" si="1"/>
        <v>0</v>
      </c>
      <c r="AE68" s="302">
        <f t="shared" si="2"/>
        <v>0</v>
      </c>
      <c r="AF68" s="303">
        <f t="shared" si="3"/>
        <v>1.0140000000000001E-3</v>
      </c>
      <c r="AG68" s="303">
        <f t="shared" si="4"/>
        <v>0</v>
      </c>
      <c r="AH68" s="303">
        <f t="shared" si="5"/>
        <v>0</v>
      </c>
      <c r="AI68" s="303">
        <f t="shared" si="6"/>
        <v>0</v>
      </c>
      <c r="AJ68" s="303">
        <f t="shared" si="7"/>
        <v>0</v>
      </c>
      <c r="AK68" s="303">
        <f t="shared" si="8"/>
        <v>0</v>
      </c>
      <c r="AL68" s="303">
        <f t="shared" si="9"/>
        <v>1.0140000000000001E-3</v>
      </c>
      <c r="AM68" s="304">
        <f t="shared" si="10"/>
        <v>0</v>
      </c>
      <c r="AN68" s="305">
        <f t="shared" si="10"/>
        <v>0</v>
      </c>
      <c r="AO68" s="306">
        <f t="shared" si="10"/>
        <v>1.0140000000000001E-3</v>
      </c>
    </row>
    <row r="69" spans="1:41" s="139" customFormat="1" ht="15" customHeight="1" x14ac:dyDescent="0.2">
      <c r="A69" s="136" t="str">
        <f>'36. Generic chemical products'!A21</f>
        <v>Softener, average (Sapamine SFC)</v>
      </c>
      <c r="B69" s="136" t="str">
        <f>'36. Generic chemical products'!B21</f>
        <v>Diethanolamine</v>
      </c>
      <c r="C69" s="136">
        <f>'36. Generic chemical products'!C21</f>
        <v>0.03</v>
      </c>
      <c r="D69" s="136" t="str">
        <f>'36. Generic chemical products'!D21</f>
        <v>kg</v>
      </c>
      <c r="E69" s="136" t="str">
        <f>'36. Generic chemical products'!E21</f>
        <v>MSDS</v>
      </c>
      <c r="F69" s="136"/>
      <c r="G69" s="136" t="str">
        <f>'36. Generic chemical products'!G21</f>
        <v>-</v>
      </c>
      <c r="H69" s="136"/>
      <c r="I69" s="136"/>
      <c r="J69" s="136"/>
      <c r="K69" s="136"/>
      <c r="L69" s="136"/>
      <c r="M69" s="136" t="str">
        <f>'36. Generic chemical products'!M21</f>
        <v>Diethanolamine</v>
      </c>
      <c r="N69" s="136" t="str">
        <f>'36. Generic chemical products'!N21</f>
        <v>river</v>
      </c>
      <c r="O69" s="136">
        <f>'36. Generic chemical products'!O21</f>
        <v>1.5000000000000001E-4</v>
      </c>
      <c r="P69" s="136" t="str">
        <f>'36. Generic chemical products'!P21</f>
        <v>kg</v>
      </c>
      <c r="Q69" s="136" t="str">
        <f>'36. Generic chemical products'!Q21</f>
        <v>95% on fabric</v>
      </c>
      <c r="R69" s="136">
        <f>'36. Generic chemical products'!R21</f>
        <v>0</v>
      </c>
      <c r="S69" s="136">
        <f>'36. Generic chemical products'!S21</f>
        <v>0</v>
      </c>
      <c r="T69" s="136" t="str">
        <f>'36. Generic chemical products'!T21</f>
        <v>111-42-2</v>
      </c>
      <c r="U69" s="136">
        <f>'36. Generic chemical products'!U21</f>
        <v>0</v>
      </c>
      <c r="V69" s="136">
        <f>'36. Generic chemical products'!V21</f>
        <v>0</v>
      </c>
      <c r="W69" s="136">
        <f>'36. Generic chemical products'!W21</f>
        <v>0</v>
      </c>
      <c r="X69" s="136">
        <f>'36. Generic chemical products'!X21</f>
        <v>0</v>
      </c>
      <c r="Y69" s="136">
        <f>'36. Generic chemical products'!Y21</f>
        <v>0.92690099117499369</v>
      </c>
      <c r="Z69" s="136">
        <f>'36. Generic chemical products'!Z21</f>
        <v>47.139947928233759</v>
      </c>
      <c r="AA69" s="136" t="str">
        <f>'36. Generic chemical products'!AA21</f>
        <v>USEtox</v>
      </c>
      <c r="AB69" s="307">
        <f>$C$24*I69</f>
        <v>0</v>
      </c>
      <c r="AC69" s="308">
        <f>$C$33*O69</f>
        <v>4.5000000000000001E-6</v>
      </c>
      <c r="AD69" s="309">
        <f t="shared" si="1"/>
        <v>0</v>
      </c>
      <c r="AE69" s="309">
        <f t="shared" si="2"/>
        <v>0</v>
      </c>
      <c r="AF69" s="310">
        <f t="shared" si="3"/>
        <v>2.1212976567705193E-4</v>
      </c>
      <c r="AG69" s="310">
        <f t="shared" si="4"/>
        <v>0</v>
      </c>
      <c r="AH69" s="310">
        <f t="shared" si="5"/>
        <v>0</v>
      </c>
      <c r="AI69" s="310">
        <f t="shared" si="6"/>
        <v>0</v>
      </c>
      <c r="AJ69" s="310">
        <f t="shared" si="7"/>
        <v>0</v>
      </c>
      <c r="AK69" s="310">
        <f t="shared" si="8"/>
        <v>0</v>
      </c>
      <c r="AL69" s="310">
        <f t="shared" si="9"/>
        <v>2.1212976567705193E-4</v>
      </c>
      <c r="AM69" s="311">
        <f t="shared" si="10"/>
        <v>0</v>
      </c>
      <c r="AN69" s="312">
        <f t="shared" si="10"/>
        <v>0</v>
      </c>
      <c r="AO69" s="313">
        <f t="shared" si="10"/>
        <v>2.1212976567705193E-4</v>
      </c>
    </row>
    <row r="70" spans="1:41" x14ac:dyDescent="0.2">
      <c r="T70" s="250"/>
      <c r="U70" s="250"/>
      <c r="V70" s="250"/>
      <c r="W70" s="250"/>
      <c r="X70" s="250"/>
      <c r="Y70" s="250"/>
      <c r="Z70" s="250"/>
      <c r="AA70" s="244"/>
      <c r="AB70" s="244"/>
      <c r="AC70" s="244"/>
      <c r="AD70" s="177">
        <f>SUM(AD50:AD69)</f>
        <v>3.700906021334717E-11</v>
      </c>
      <c r="AE70" s="177">
        <f t="shared" ref="AE70:AF70" si="13">SUM(AE50:AE69)</f>
        <v>4.7824145984378548E-10</v>
      </c>
      <c r="AF70" s="177">
        <f t="shared" si="13"/>
        <v>2.8869111016277276</v>
      </c>
      <c r="AG70" s="244"/>
      <c r="AH70" s="244"/>
      <c r="AI70" s="244"/>
      <c r="AJ70" s="244"/>
      <c r="AK70" s="244"/>
    </row>
    <row r="71" spans="1:41" x14ac:dyDescent="0.2">
      <c r="A71" s="259" t="s">
        <v>736</v>
      </c>
    </row>
    <row r="73" spans="1:41" x14ac:dyDescent="0.2">
      <c r="AD73" s="285"/>
    </row>
    <row r="79" spans="1:41" x14ac:dyDescent="0.2">
      <c r="A79" s="35" t="s">
        <v>687</v>
      </c>
    </row>
    <row r="80" spans="1:41" x14ac:dyDescent="0.2">
      <c r="A80" s="244" t="s">
        <v>1102</v>
      </c>
    </row>
    <row r="81" spans="1:1" x14ac:dyDescent="0.2">
      <c r="A81" s="244" t="s">
        <v>1103</v>
      </c>
    </row>
    <row r="82" spans="1:1" x14ac:dyDescent="0.2">
      <c r="A82" t="s">
        <v>1068</v>
      </c>
    </row>
    <row r="83" spans="1:1" x14ac:dyDescent="0.2">
      <c r="A83" s="244" t="s">
        <v>1083</v>
      </c>
    </row>
    <row r="84" spans="1:1" x14ac:dyDescent="0.2">
      <c r="A84" s="244" t="s">
        <v>1104</v>
      </c>
    </row>
    <row r="85" spans="1:1" x14ac:dyDescent="0.2">
      <c r="A85" s="244" t="s">
        <v>1087</v>
      </c>
    </row>
    <row r="86" spans="1:1" x14ac:dyDescent="0.2">
      <c r="A86" s="244" t="s">
        <v>1105</v>
      </c>
    </row>
    <row r="87" spans="1:1" x14ac:dyDescent="0.2">
      <c r="A87" s="244" t="s">
        <v>1106</v>
      </c>
    </row>
    <row r="88" spans="1:1" x14ac:dyDescent="0.2">
      <c r="A88" s="244" t="s">
        <v>1097</v>
      </c>
    </row>
    <row r="89" spans="1:1" x14ac:dyDescent="0.2">
      <c r="A89" s="244" t="s">
        <v>1162</v>
      </c>
    </row>
    <row r="90" spans="1:1" x14ac:dyDescent="0.2">
      <c r="A90" s="244" t="s">
        <v>1091</v>
      </c>
    </row>
    <row r="91" spans="1:1" x14ac:dyDescent="0.2">
      <c r="A91" s="244" t="s">
        <v>1107</v>
      </c>
    </row>
    <row r="92" spans="1:1" x14ac:dyDescent="0.2">
      <c r="A92" t="s">
        <v>1098</v>
      </c>
    </row>
    <row r="93" spans="1:1" x14ac:dyDescent="0.2">
      <c r="A93" s="244" t="s">
        <v>1099</v>
      </c>
    </row>
    <row r="94" spans="1:1" x14ac:dyDescent="0.2">
      <c r="A94" s="244" t="s">
        <v>1070</v>
      </c>
    </row>
    <row r="95" spans="1:1" x14ac:dyDescent="0.2">
      <c r="A95" s="244" t="s">
        <v>1096</v>
      </c>
    </row>
    <row r="96" spans="1:1" x14ac:dyDescent="0.2">
      <c r="A96" s="244" t="s">
        <v>1108</v>
      </c>
    </row>
    <row r="97" spans="1:1" x14ac:dyDescent="0.2">
      <c r="A97" s="244" t="s">
        <v>1109</v>
      </c>
    </row>
    <row r="98" spans="1:1" x14ac:dyDescent="0.2">
      <c r="A98" s="244" t="s">
        <v>1072</v>
      </c>
    </row>
    <row r="99" spans="1:1" x14ac:dyDescent="0.2">
      <c r="A99" s="244" t="s">
        <v>1100</v>
      </c>
    </row>
    <row r="100" spans="1:1" x14ac:dyDescent="0.2">
      <c r="A100" s="244" t="s">
        <v>1101</v>
      </c>
    </row>
  </sheetData>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O88"/>
  <sheetViews>
    <sheetView zoomScale="60" zoomScaleNormal="60" workbookViewId="0"/>
  </sheetViews>
  <sheetFormatPr defaultRowHeight="12.75" x14ac:dyDescent="0.2"/>
  <cols>
    <col min="1" max="1" width="56.85546875" style="34" customWidth="1"/>
    <col min="2" max="2" width="28.7109375" style="34" customWidth="1"/>
    <col min="3" max="3" width="14.7109375" style="34" customWidth="1"/>
    <col min="4" max="4" width="9.140625" style="34" customWidth="1"/>
    <col min="5" max="5" width="38.140625" style="34" customWidth="1"/>
    <col min="6" max="6" width="9.140625" style="34" customWidth="1"/>
    <col min="7" max="7" width="62" style="34" customWidth="1"/>
    <col min="8" max="8" width="28" style="34" customWidth="1"/>
    <col min="9" max="10" width="9.140625" style="34" customWidth="1"/>
    <col min="11" max="11" width="22.85546875" style="34" customWidth="1"/>
    <col min="12" max="12" width="9.140625" style="34" customWidth="1"/>
    <col min="13" max="13" width="42.42578125" style="34" customWidth="1"/>
    <col min="14" max="14" width="18.85546875" style="34" customWidth="1"/>
    <col min="15" max="15" width="9.5703125" style="34" customWidth="1"/>
    <col min="16" max="16" width="10" style="34" customWidth="1"/>
    <col min="17" max="17" width="26" style="34" customWidth="1"/>
    <col min="18" max="18" width="20.140625" style="34" customWidth="1"/>
    <col min="19" max="19" width="31.85546875" style="34" customWidth="1"/>
    <col min="20" max="24" width="16.28515625" style="34" customWidth="1"/>
    <col min="25" max="25" width="47.7109375" style="40" customWidth="1"/>
    <col min="26" max="27" width="9.140625" style="40" customWidth="1"/>
    <col min="28" max="29" width="9.140625" style="40"/>
    <col min="30" max="30" width="10.85546875" style="40" bestFit="1" customWidth="1"/>
    <col min="31" max="31" width="9.140625" style="40" customWidth="1"/>
    <col min="32" max="32" width="17.5703125" style="40" customWidth="1"/>
    <col min="33" max="37" width="9.140625" style="40"/>
    <col min="38" max="16384" width="9.140625" style="34"/>
  </cols>
  <sheetData>
    <row r="1" spans="1:37" ht="16.5" thickBot="1" x14ac:dyDescent="0.3">
      <c r="A1" s="82" t="s">
        <v>696</v>
      </c>
      <c r="B1" s="83"/>
      <c r="C1" s="83" t="s">
        <v>217</v>
      </c>
      <c r="D1" s="83" t="s">
        <v>11</v>
      </c>
      <c r="E1" s="84" t="s">
        <v>180</v>
      </c>
      <c r="G1" s="92" t="s">
        <v>697</v>
      </c>
      <c r="H1" s="93"/>
      <c r="I1" s="93" t="s">
        <v>217</v>
      </c>
      <c r="J1" s="93" t="s">
        <v>11</v>
      </c>
      <c r="K1" s="94" t="s">
        <v>180</v>
      </c>
      <c r="M1" s="95" t="s">
        <v>698</v>
      </c>
      <c r="N1" s="96"/>
      <c r="O1" s="97" t="s">
        <v>217</v>
      </c>
      <c r="P1" s="97" t="s">
        <v>11</v>
      </c>
      <c r="Q1" s="98" t="s">
        <v>180</v>
      </c>
      <c r="S1" s="44" t="s">
        <v>700</v>
      </c>
      <c r="T1" s="45"/>
      <c r="U1" s="45" t="s">
        <v>217</v>
      </c>
      <c r="V1" s="45" t="s">
        <v>11</v>
      </c>
      <c r="W1" s="46" t="s">
        <v>180</v>
      </c>
      <c r="Y1" s="41" t="s">
        <v>699</v>
      </c>
      <c r="Z1" s="42"/>
      <c r="AA1" s="42" t="s">
        <v>217</v>
      </c>
      <c r="AB1" s="42" t="s">
        <v>11</v>
      </c>
      <c r="AC1" s="43" t="s">
        <v>180</v>
      </c>
      <c r="AF1" s="48" t="s">
        <v>710</v>
      </c>
      <c r="AJ1" s="34"/>
      <c r="AK1" s="34"/>
    </row>
    <row r="2" spans="1:37" x14ac:dyDescent="0.2">
      <c r="A2" s="85" t="s">
        <v>218</v>
      </c>
      <c r="B2" s="86"/>
      <c r="C2" s="86"/>
      <c r="D2" s="86"/>
      <c r="E2" s="87"/>
      <c r="G2" s="85" t="s">
        <v>218</v>
      </c>
      <c r="H2" s="86"/>
      <c r="I2" s="86"/>
      <c r="J2" s="86"/>
      <c r="K2" s="87"/>
      <c r="M2" s="85" t="s">
        <v>218</v>
      </c>
      <c r="N2" s="86"/>
      <c r="O2" s="86"/>
      <c r="P2" s="86"/>
      <c r="Q2" s="87"/>
      <c r="S2" s="85" t="s">
        <v>218</v>
      </c>
      <c r="T2" s="86"/>
      <c r="U2" s="86"/>
      <c r="V2" s="86"/>
      <c r="W2" s="87"/>
      <c r="Y2" s="85" t="s">
        <v>218</v>
      </c>
      <c r="Z2" s="86"/>
      <c r="AA2" s="86"/>
      <c r="AB2" s="86"/>
      <c r="AC2" s="87"/>
      <c r="AF2" s="226" t="s">
        <v>956</v>
      </c>
      <c r="AG2" s="40" t="s">
        <v>709</v>
      </c>
      <c r="AI2" s="34"/>
      <c r="AJ2" s="34"/>
      <c r="AK2" s="34"/>
    </row>
    <row r="3" spans="1:37" x14ac:dyDescent="0.2">
      <c r="A3" s="88" t="s">
        <v>701</v>
      </c>
      <c r="B3" s="89"/>
      <c r="C3" s="89">
        <v>1</v>
      </c>
      <c r="D3" s="89" t="s">
        <v>2</v>
      </c>
      <c r="E3" s="90"/>
      <c r="G3" s="88" t="s">
        <v>701</v>
      </c>
      <c r="H3" s="89"/>
      <c r="I3" s="89">
        <v>1</v>
      </c>
      <c r="J3" s="89" t="s">
        <v>2</v>
      </c>
      <c r="K3" s="90"/>
      <c r="M3" s="88" t="s">
        <v>701</v>
      </c>
      <c r="N3" s="89"/>
      <c r="O3" s="89">
        <v>1</v>
      </c>
      <c r="P3" s="89" t="s">
        <v>2</v>
      </c>
      <c r="Q3" s="90"/>
      <c r="S3" s="88" t="s">
        <v>701</v>
      </c>
      <c r="T3" s="89"/>
      <c r="U3" s="89">
        <v>1</v>
      </c>
      <c r="V3" s="89" t="s">
        <v>2</v>
      </c>
      <c r="W3" s="90"/>
      <c r="Y3" s="88" t="s">
        <v>701</v>
      </c>
      <c r="Z3" s="89"/>
      <c r="AA3" s="89">
        <v>1</v>
      </c>
      <c r="AB3" s="89" t="s">
        <v>2</v>
      </c>
      <c r="AC3" s="90"/>
      <c r="AE3" s="40" t="s">
        <v>260</v>
      </c>
      <c r="AF3" s="227">
        <v>0.32657725002688298</v>
      </c>
      <c r="AJ3" s="34"/>
      <c r="AK3" s="34"/>
    </row>
    <row r="4" spans="1:37" s="35" customFormat="1" x14ac:dyDescent="0.2">
      <c r="A4" s="85" t="s">
        <v>183</v>
      </c>
      <c r="B4" s="86"/>
      <c r="C4" s="86"/>
      <c r="D4" s="86"/>
      <c r="E4" s="87"/>
      <c r="G4" s="85" t="s">
        <v>183</v>
      </c>
      <c r="H4" s="86"/>
      <c r="I4" s="86"/>
      <c r="J4" s="86"/>
      <c r="K4" s="87"/>
      <c r="M4" s="85" t="s">
        <v>183</v>
      </c>
      <c r="N4" s="86"/>
      <c r="O4" s="86"/>
      <c r="P4" s="86"/>
      <c r="Q4" s="87"/>
      <c r="S4" s="85" t="s">
        <v>183</v>
      </c>
      <c r="T4" s="86"/>
      <c r="U4" s="86"/>
      <c r="V4" s="86"/>
      <c r="W4" s="87"/>
      <c r="Y4" s="85" t="s">
        <v>183</v>
      </c>
      <c r="Z4" s="86"/>
      <c r="AA4" s="86"/>
      <c r="AB4" s="86"/>
      <c r="AC4" s="87"/>
      <c r="AD4" s="99"/>
      <c r="AE4" s="40" t="s">
        <v>261</v>
      </c>
      <c r="AF4" s="226">
        <v>7.2861910442325296E-5</v>
      </c>
      <c r="AG4" s="99"/>
      <c r="AH4" s="99"/>
      <c r="AI4" s="99"/>
    </row>
    <row r="5" spans="1:37" x14ac:dyDescent="0.2">
      <c r="A5" s="88" t="s">
        <v>184</v>
      </c>
      <c r="B5" s="89"/>
      <c r="C5" s="89">
        <v>2.4E-2</v>
      </c>
      <c r="D5" s="89" t="s">
        <v>185</v>
      </c>
      <c r="E5" s="90" t="s">
        <v>216</v>
      </c>
      <c r="F5" s="34" t="s">
        <v>179</v>
      </c>
      <c r="G5" s="88" t="s">
        <v>184</v>
      </c>
      <c r="H5" s="89"/>
      <c r="I5" s="89">
        <v>1.2E-2</v>
      </c>
      <c r="J5" s="89" t="s">
        <v>185</v>
      </c>
      <c r="K5" s="90" t="s">
        <v>1165</v>
      </c>
      <c r="L5" s="34" t="s">
        <v>87</v>
      </c>
      <c r="M5" s="88" t="s">
        <v>184</v>
      </c>
      <c r="N5" s="89"/>
      <c r="O5" s="89">
        <f>0.024/6*20</f>
        <v>0.08</v>
      </c>
      <c r="P5" s="89" t="s">
        <v>185</v>
      </c>
      <c r="Q5" s="90" t="s">
        <v>1166</v>
      </c>
      <c r="R5" s="34" t="s">
        <v>87</v>
      </c>
      <c r="S5" s="88" t="s">
        <v>184</v>
      </c>
      <c r="T5" s="89"/>
      <c r="U5" s="89">
        <v>2.4E-2</v>
      </c>
      <c r="V5" s="89" t="s">
        <v>185</v>
      </c>
      <c r="W5" s="90" t="s">
        <v>216</v>
      </c>
      <c r="X5" s="34" t="s">
        <v>87</v>
      </c>
      <c r="Y5" s="88" t="s">
        <v>184</v>
      </c>
      <c r="Z5" s="89"/>
      <c r="AA5" s="89">
        <v>2.4E-2</v>
      </c>
      <c r="AB5" s="89" t="s">
        <v>185</v>
      </c>
      <c r="AC5" s="90" t="s">
        <v>216</v>
      </c>
      <c r="AD5" s="40" t="s">
        <v>87</v>
      </c>
      <c r="AE5" s="40" t="s">
        <v>262</v>
      </c>
      <c r="AF5" s="227">
        <v>1.4903523485493E-3</v>
      </c>
      <c r="AJ5" s="34"/>
      <c r="AK5" s="34"/>
    </row>
    <row r="6" spans="1:37" s="35" customFormat="1" x14ac:dyDescent="0.2">
      <c r="A6" s="85" t="s">
        <v>187</v>
      </c>
      <c r="B6" s="86"/>
      <c r="C6" s="86"/>
      <c r="D6" s="86"/>
      <c r="E6" s="87"/>
      <c r="G6" s="85" t="s">
        <v>187</v>
      </c>
      <c r="H6" s="86"/>
      <c r="I6" s="86"/>
      <c r="J6" s="86"/>
      <c r="K6" s="87"/>
      <c r="M6" s="85" t="s">
        <v>187</v>
      </c>
      <c r="N6" s="86"/>
      <c r="O6" s="86"/>
      <c r="P6" s="86"/>
      <c r="Q6" s="87"/>
      <c r="S6" s="85" t="s">
        <v>187</v>
      </c>
      <c r="T6" s="86"/>
      <c r="U6" s="86"/>
      <c r="V6" s="86"/>
      <c r="W6" s="87"/>
      <c r="Y6" s="85" t="s">
        <v>187</v>
      </c>
      <c r="Z6" s="86"/>
      <c r="AA6" s="86"/>
      <c r="AB6" s="86"/>
      <c r="AC6" s="87"/>
      <c r="AD6" s="99"/>
      <c r="AE6" s="40" t="s">
        <v>263</v>
      </c>
      <c r="AF6" s="226">
        <v>6.6060259518888498E-4</v>
      </c>
      <c r="AG6" s="99"/>
      <c r="AH6" s="99"/>
      <c r="AI6" s="99"/>
    </row>
    <row r="7" spans="1:37" x14ac:dyDescent="0.2">
      <c r="A7" s="88" t="s">
        <v>88</v>
      </c>
      <c r="B7" s="89"/>
      <c r="C7" s="89">
        <v>6.0000000000000001E-3</v>
      </c>
      <c r="D7" s="89" t="s">
        <v>2</v>
      </c>
      <c r="E7" s="90" t="s">
        <v>179</v>
      </c>
      <c r="F7" s="34" t="s">
        <v>179</v>
      </c>
      <c r="G7" s="88" t="s">
        <v>88</v>
      </c>
      <c r="H7" s="89"/>
      <c r="I7" s="89">
        <v>6.0000000000000001E-3</v>
      </c>
      <c r="J7" s="89" t="s">
        <v>2</v>
      </c>
      <c r="K7" s="90" t="s">
        <v>179</v>
      </c>
      <c r="M7" s="88" t="s">
        <v>88</v>
      </c>
      <c r="N7" s="89"/>
      <c r="O7" s="89">
        <v>6.0000000000000001E-3</v>
      </c>
      <c r="P7" s="89" t="s">
        <v>2</v>
      </c>
      <c r="Q7" s="90" t="s">
        <v>179</v>
      </c>
      <c r="S7" s="88" t="s">
        <v>88</v>
      </c>
      <c r="T7" s="89"/>
      <c r="U7" s="89">
        <v>6.0000000000000001E-3</v>
      </c>
      <c r="V7" s="89" t="s">
        <v>2</v>
      </c>
      <c r="W7" s="90" t="s">
        <v>179</v>
      </c>
      <c r="Y7" s="88" t="s">
        <v>1174</v>
      </c>
      <c r="Z7" s="89"/>
      <c r="AA7" s="89">
        <v>6.0000000000000001E-3</v>
      </c>
      <c r="AB7" s="89" t="s">
        <v>2</v>
      </c>
      <c r="AC7" s="90" t="s">
        <v>179</v>
      </c>
      <c r="AE7" s="40" t="s">
        <v>264</v>
      </c>
      <c r="AF7" s="227">
        <v>5.4694319011384697E-3</v>
      </c>
      <c r="AJ7" s="34"/>
      <c r="AK7" s="34"/>
    </row>
    <row r="8" spans="1:37" ht="15" x14ac:dyDescent="0.2">
      <c r="A8" s="88" t="s">
        <v>45</v>
      </c>
      <c r="B8" s="89"/>
      <c r="C8" s="89">
        <v>6.0000000000000001E-3</v>
      </c>
      <c r="D8" s="89" t="s">
        <v>2</v>
      </c>
      <c r="E8" s="90" t="s">
        <v>179</v>
      </c>
      <c r="F8" s="34" t="s">
        <v>179</v>
      </c>
      <c r="G8" s="88" t="s">
        <v>45</v>
      </c>
      <c r="H8" s="89"/>
      <c r="I8" s="89">
        <v>6.0000000000000001E-3</v>
      </c>
      <c r="J8" s="89" t="s">
        <v>2</v>
      </c>
      <c r="K8" s="90" t="s">
        <v>179</v>
      </c>
      <c r="M8" s="88" t="s">
        <v>45</v>
      </c>
      <c r="N8" s="89"/>
      <c r="O8" s="89">
        <v>6.0000000000000001E-3</v>
      </c>
      <c r="P8" s="89" t="s">
        <v>2</v>
      </c>
      <c r="Q8" s="90" t="s">
        <v>179</v>
      </c>
      <c r="S8" s="88" t="s">
        <v>152</v>
      </c>
      <c r="T8" s="89"/>
      <c r="U8" s="89">
        <v>6.0000000000000001E-3</v>
      </c>
      <c r="V8" s="89" t="s">
        <v>2</v>
      </c>
      <c r="W8" s="90" t="s">
        <v>179</v>
      </c>
      <c r="Y8" s="88" t="s">
        <v>1136</v>
      </c>
      <c r="Z8" s="89"/>
      <c r="AA8" s="89">
        <v>6.0000000000000001E-3</v>
      </c>
      <c r="AB8" s="89" t="s">
        <v>2</v>
      </c>
      <c r="AC8" s="90" t="s">
        <v>179</v>
      </c>
      <c r="AE8" s="40" t="s">
        <v>675</v>
      </c>
      <c r="AF8" s="227">
        <v>0.38317368366673299</v>
      </c>
      <c r="AJ8" s="34"/>
      <c r="AK8" s="34"/>
    </row>
    <row r="9" spans="1:37" x14ac:dyDescent="0.2">
      <c r="A9" s="88" t="s">
        <v>102</v>
      </c>
      <c r="B9" s="89"/>
      <c r="C9" s="89">
        <v>3.0000000000000001E-3</v>
      </c>
      <c r="D9" s="89" t="s">
        <v>2</v>
      </c>
      <c r="E9" s="90" t="s">
        <v>179</v>
      </c>
      <c r="F9" s="34" t="s">
        <v>179</v>
      </c>
      <c r="G9" s="88" t="s">
        <v>102</v>
      </c>
      <c r="H9" s="89"/>
      <c r="I9" s="89">
        <v>3.0000000000000001E-3</v>
      </c>
      <c r="J9" s="89" t="s">
        <v>2</v>
      </c>
      <c r="K9" s="90" t="s">
        <v>179</v>
      </c>
      <c r="M9" s="88" t="s">
        <v>102</v>
      </c>
      <c r="N9" s="89"/>
      <c r="O9" s="89">
        <v>3.0000000000000001E-3</v>
      </c>
      <c r="P9" s="89" t="s">
        <v>2</v>
      </c>
      <c r="Q9" s="90" t="s">
        <v>179</v>
      </c>
      <c r="S9" s="88" t="s">
        <v>1167</v>
      </c>
      <c r="T9" s="89"/>
      <c r="U9" s="89">
        <v>3.0000000000000001E-3</v>
      </c>
      <c r="V9" s="89" t="s">
        <v>2</v>
      </c>
      <c r="W9" s="90" t="s">
        <v>179</v>
      </c>
      <c r="Y9" s="88" t="s">
        <v>1175</v>
      </c>
      <c r="Z9" s="89"/>
      <c r="AA9" s="89">
        <v>3.0000000000000001E-3</v>
      </c>
      <c r="AB9" s="89" t="s">
        <v>2</v>
      </c>
      <c r="AC9" s="90" t="s">
        <v>179</v>
      </c>
      <c r="AE9" s="40" t="s">
        <v>266</v>
      </c>
      <c r="AF9" s="227">
        <v>5.2843122974484901E-8</v>
      </c>
      <c r="AG9" s="40">
        <v>4.8840136135727547E-12</v>
      </c>
      <c r="AJ9" s="34"/>
      <c r="AK9" s="34"/>
    </row>
    <row r="10" spans="1:37" x14ac:dyDescent="0.2">
      <c r="A10" s="88" t="s">
        <v>46</v>
      </c>
      <c r="B10" s="89"/>
      <c r="C10" s="89">
        <v>3.0000000000000001E-3</v>
      </c>
      <c r="D10" s="89" t="s">
        <v>2</v>
      </c>
      <c r="E10" s="90"/>
      <c r="F10" s="34" t="s">
        <v>179</v>
      </c>
      <c r="G10" s="88" t="s">
        <v>46</v>
      </c>
      <c r="H10" s="89"/>
      <c r="I10" s="89">
        <v>3.0000000000000001E-3</v>
      </c>
      <c r="J10" s="89" t="s">
        <v>2</v>
      </c>
      <c r="K10" s="90"/>
      <c r="M10" s="88" t="s">
        <v>46</v>
      </c>
      <c r="N10" s="89"/>
      <c r="O10" s="89">
        <v>3.0000000000000001E-3</v>
      </c>
      <c r="P10" s="89" t="s">
        <v>2</v>
      </c>
      <c r="Q10" s="90"/>
      <c r="S10" s="88" t="s">
        <v>1112</v>
      </c>
      <c r="T10" s="89"/>
      <c r="U10" s="89">
        <v>3.0000000000000001E-3</v>
      </c>
      <c r="V10" s="89" t="s">
        <v>2</v>
      </c>
      <c r="W10" s="90"/>
      <c r="Y10" s="88" t="s">
        <v>1138</v>
      </c>
      <c r="Z10" s="89"/>
      <c r="AA10" s="89">
        <v>3.0000000000000001E-3</v>
      </c>
      <c r="AB10" s="89" t="s">
        <v>2</v>
      </c>
      <c r="AC10" s="90"/>
      <c r="AE10" s="40" t="s">
        <v>267</v>
      </c>
      <c r="AF10" s="227">
        <v>1.72844637175489E-8</v>
      </c>
      <c r="AG10" s="40">
        <v>1.1218644834510925E-12</v>
      </c>
      <c r="AJ10" s="34"/>
      <c r="AK10" s="34"/>
    </row>
    <row r="11" spans="1:37" x14ac:dyDescent="0.2">
      <c r="A11" s="88" t="s">
        <v>47</v>
      </c>
      <c r="B11" s="89"/>
      <c r="C11" s="89">
        <v>0.03</v>
      </c>
      <c r="D11" s="89" t="s">
        <v>2</v>
      </c>
      <c r="E11" s="90"/>
      <c r="F11" s="34" t="s">
        <v>179</v>
      </c>
      <c r="G11" s="88" t="s">
        <v>47</v>
      </c>
      <c r="H11" s="89"/>
      <c r="I11" s="89">
        <v>0.03</v>
      </c>
      <c r="J11" s="89" t="s">
        <v>2</v>
      </c>
      <c r="K11" s="90"/>
      <c r="M11" s="88" t="s">
        <v>47</v>
      </c>
      <c r="N11" s="89"/>
      <c r="O11" s="89">
        <v>0.03</v>
      </c>
      <c r="P11" s="89" t="s">
        <v>2</v>
      </c>
      <c r="Q11" s="90"/>
      <c r="S11" s="88" t="s">
        <v>1113</v>
      </c>
      <c r="T11" s="89"/>
      <c r="U11" s="89">
        <v>0.03</v>
      </c>
      <c r="V11" s="89" t="s">
        <v>2</v>
      </c>
      <c r="W11" s="90"/>
      <c r="Y11" s="88" t="s">
        <v>1139</v>
      </c>
      <c r="Z11" s="89"/>
      <c r="AA11" s="89">
        <v>0.03</v>
      </c>
      <c r="AB11" s="89" t="s">
        <v>2</v>
      </c>
      <c r="AC11" s="90"/>
      <c r="AE11" s="40" t="s">
        <v>268</v>
      </c>
      <c r="AF11" s="227">
        <v>1.5365548088129199</v>
      </c>
      <c r="AG11" s="40">
        <v>2.0313487278510727</v>
      </c>
      <c r="AJ11" s="34"/>
      <c r="AK11" s="34"/>
    </row>
    <row r="12" spans="1:37" x14ac:dyDescent="0.2">
      <c r="A12" s="88" t="s">
        <v>9</v>
      </c>
      <c r="B12" s="89"/>
      <c r="C12" s="89">
        <v>4.5999999999999999E-2</v>
      </c>
      <c r="D12" s="89" t="s">
        <v>2</v>
      </c>
      <c r="E12" s="90"/>
      <c r="F12" s="34" t="s">
        <v>179</v>
      </c>
      <c r="G12" s="88" t="s">
        <v>9</v>
      </c>
      <c r="H12" s="89"/>
      <c r="I12" s="89">
        <v>4.5999999999999999E-2</v>
      </c>
      <c r="J12" s="89" t="s">
        <v>2</v>
      </c>
      <c r="K12" s="90"/>
      <c r="M12" s="88" t="s">
        <v>9</v>
      </c>
      <c r="N12" s="89"/>
      <c r="O12" s="89">
        <v>4.5999999999999999E-2</v>
      </c>
      <c r="P12" s="89" t="s">
        <v>2</v>
      </c>
      <c r="Q12" s="90"/>
      <c r="S12" s="88" t="s">
        <v>9</v>
      </c>
      <c r="T12" s="89"/>
      <c r="U12" s="89">
        <v>4.5999999999999999E-2</v>
      </c>
      <c r="V12" s="89" t="s">
        <v>2</v>
      </c>
      <c r="W12" s="90"/>
      <c r="Y12" s="88" t="s">
        <v>9</v>
      </c>
      <c r="Z12" s="89"/>
      <c r="AA12" s="89">
        <v>4.5999999999999999E-2</v>
      </c>
      <c r="AB12" s="89" t="s">
        <v>2</v>
      </c>
      <c r="AC12" s="90"/>
      <c r="AJ12" s="34"/>
      <c r="AK12" s="34"/>
    </row>
    <row r="13" spans="1:37" x14ac:dyDescent="0.2">
      <c r="A13" s="88" t="s">
        <v>430</v>
      </c>
      <c r="B13" s="89"/>
      <c r="C13" s="89">
        <v>6.0000000000000001E-3</v>
      </c>
      <c r="D13" s="89" t="s">
        <v>2</v>
      </c>
      <c r="E13" s="91"/>
      <c r="F13" s="34" t="s">
        <v>179</v>
      </c>
      <c r="G13" s="88" t="s">
        <v>430</v>
      </c>
      <c r="H13" s="89"/>
      <c r="I13" s="89">
        <v>6.0000000000000001E-3</v>
      </c>
      <c r="J13" s="89" t="s">
        <v>2</v>
      </c>
      <c r="K13" s="91"/>
      <c r="M13" s="88" t="s">
        <v>430</v>
      </c>
      <c r="N13" s="89"/>
      <c r="O13" s="89">
        <v>6.0000000000000001E-3</v>
      </c>
      <c r="P13" s="89" t="s">
        <v>2</v>
      </c>
      <c r="Q13" s="91"/>
      <c r="S13" s="88" t="s">
        <v>1168</v>
      </c>
      <c r="T13" s="89"/>
      <c r="U13" s="89">
        <v>6.0000000000000001E-3</v>
      </c>
      <c r="V13" s="89" t="s">
        <v>2</v>
      </c>
      <c r="W13" s="91"/>
      <c r="Y13" s="88" t="s">
        <v>1176</v>
      </c>
      <c r="Z13" s="89"/>
      <c r="AA13" s="89">
        <v>6.0000000000000001E-3</v>
      </c>
      <c r="AB13" s="89" t="s">
        <v>2</v>
      </c>
      <c r="AC13" s="91"/>
    </row>
    <row r="14" spans="1:37" x14ac:dyDescent="0.2">
      <c r="A14" s="88" t="s">
        <v>231</v>
      </c>
      <c r="B14" s="89"/>
      <c r="C14" s="89">
        <v>6.0000000000000001E-3</v>
      </c>
      <c r="D14" s="89"/>
      <c r="E14" s="91"/>
      <c r="G14" s="88" t="s">
        <v>231</v>
      </c>
      <c r="H14" s="89"/>
      <c r="I14" s="89">
        <v>6.0000000000000001E-3</v>
      </c>
      <c r="J14" s="89"/>
      <c r="K14" s="324" t="s">
        <v>283</v>
      </c>
      <c r="M14" s="88" t="s">
        <v>231</v>
      </c>
      <c r="N14" s="89"/>
      <c r="O14" s="89">
        <v>6.0000000000000001E-3</v>
      </c>
      <c r="P14" s="89"/>
      <c r="Q14" s="324" t="s">
        <v>1237</v>
      </c>
      <c r="S14" s="88" t="s">
        <v>1169</v>
      </c>
      <c r="T14" s="89"/>
      <c r="U14" s="89">
        <v>6.0000000000000001E-3</v>
      </c>
      <c r="V14" s="89"/>
      <c r="W14" s="91"/>
      <c r="Y14" s="88" t="s">
        <v>1177</v>
      </c>
      <c r="Z14" s="89"/>
      <c r="AA14" s="89">
        <v>6.0000000000000001E-3</v>
      </c>
      <c r="AB14" s="89"/>
      <c r="AC14" s="91"/>
    </row>
    <row r="15" spans="1:37" x14ac:dyDescent="0.2">
      <c r="A15" s="88" t="s">
        <v>191</v>
      </c>
      <c r="B15" s="89"/>
      <c r="C15" s="89">
        <v>6.0000000000000001E-3</v>
      </c>
      <c r="D15" s="89" t="s">
        <v>2</v>
      </c>
      <c r="E15" s="90"/>
      <c r="F15" s="34" t="s">
        <v>179</v>
      </c>
      <c r="G15" s="88" t="s">
        <v>191</v>
      </c>
      <c r="H15" s="89"/>
      <c r="I15" s="89">
        <v>6.0000000000000001E-3</v>
      </c>
      <c r="J15" s="89" t="s">
        <v>2</v>
      </c>
      <c r="K15" s="324" t="s">
        <v>283</v>
      </c>
      <c r="M15" s="88" t="s">
        <v>191</v>
      </c>
      <c r="N15" s="89"/>
      <c r="O15" s="89">
        <v>6.0000000000000001E-3</v>
      </c>
      <c r="P15" s="89" t="s">
        <v>2</v>
      </c>
      <c r="Q15" s="324" t="s">
        <v>1237</v>
      </c>
      <c r="S15" s="88" t="s">
        <v>285</v>
      </c>
      <c r="T15" s="89"/>
      <c r="U15" s="89">
        <v>6.0000000000000001E-3</v>
      </c>
      <c r="V15" s="89" t="s">
        <v>2</v>
      </c>
      <c r="W15" s="90"/>
      <c r="Y15" s="88" t="s">
        <v>1145</v>
      </c>
      <c r="Z15" s="89"/>
      <c r="AA15" s="89">
        <v>6.0000000000000001E-3</v>
      </c>
      <c r="AB15" s="89" t="s">
        <v>2</v>
      </c>
      <c r="AC15" s="90"/>
    </row>
    <row r="16" spans="1:37" x14ac:dyDescent="0.2">
      <c r="A16" s="88" t="s">
        <v>702</v>
      </c>
      <c r="B16" s="89"/>
      <c r="C16" s="89">
        <v>3.0000000000000001E-3</v>
      </c>
      <c r="D16" s="89" t="s">
        <v>2</v>
      </c>
      <c r="E16" s="90"/>
      <c r="F16" s="34" t="s">
        <v>179</v>
      </c>
      <c r="G16" s="88" t="s">
        <v>702</v>
      </c>
      <c r="H16" s="89"/>
      <c r="I16" s="89">
        <v>3.0000000000000001E-3</v>
      </c>
      <c r="J16" s="89" t="s">
        <v>2</v>
      </c>
      <c r="K16" s="324" t="s">
        <v>283</v>
      </c>
      <c r="M16" s="88" t="s">
        <v>702</v>
      </c>
      <c r="N16" s="89"/>
      <c r="O16" s="89">
        <v>3.0000000000000001E-3</v>
      </c>
      <c r="P16" s="89" t="s">
        <v>2</v>
      </c>
      <c r="Q16" s="324" t="s">
        <v>1237</v>
      </c>
      <c r="S16" s="88" t="s">
        <v>1170</v>
      </c>
      <c r="T16" s="89"/>
      <c r="U16" s="89">
        <v>3.0000000000000001E-3</v>
      </c>
      <c r="V16" s="89" t="s">
        <v>2</v>
      </c>
      <c r="W16" s="90"/>
      <c r="Y16" s="88" t="s">
        <v>1178</v>
      </c>
      <c r="Z16" s="89"/>
      <c r="AA16" s="89">
        <v>3.0000000000000001E-3</v>
      </c>
      <c r="AB16" s="89" t="s">
        <v>2</v>
      </c>
      <c r="AC16" s="90"/>
    </row>
    <row r="17" spans="1:37" x14ac:dyDescent="0.2">
      <c r="A17" s="88" t="s">
        <v>193</v>
      </c>
      <c r="B17" s="89"/>
      <c r="C17" s="89">
        <v>3.0000000000000001E-3</v>
      </c>
      <c r="D17" s="89" t="s">
        <v>2</v>
      </c>
      <c r="E17" s="90"/>
      <c r="F17" s="34" t="s">
        <v>179</v>
      </c>
      <c r="G17" s="88" t="s">
        <v>193</v>
      </c>
      <c r="H17" s="89"/>
      <c r="I17" s="89">
        <v>3.0000000000000001E-3</v>
      </c>
      <c r="J17" s="89" t="s">
        <v>2</v>
      </c>
      <c r="K17" s="324" t="s">
        <v>283</v>
      </c>
      <c r="M17" s="88" t="s">
        <v>193</v>
      </c>
      <c r="N17" s="89"/>
      <c r="O17" s="89">
        <v>3.0000000000000001E-3</v>
      </c>
      <c r="P17" s="89" t="s">
        <v>2</v>
      </c>
      <c r="Q17" s="324" t="s">
        <v>1237</v>
      </c>
      <c r="S17" s="88" t="s">
        <v>1120</v>
      </c>
      <c r="T17" s="89"/>
      <c r="U17" s="89">
        <v>3.0000000000000001E-3</v>
      </c>
      <c r="V17" s="89" t="s">
        <v>2</v>
      </c>
      <c r="W17" s="90"/>
      <c r="Y17" s="88" t="s">
        <v>1147</v>
      </c>
      <c r="Z17" s="89"/>
      <c r="AA17" s="89">
        <v>3.0000000000000001E-3</v>
      </c>
      <c r="AB17" s="89" t="s">
        <v>2</v>
      </c>
      <c r="AC17" s="90"/>
    </row>
    <row r="18" spans="1:37" x14ac:dyDescent="0.2">
      <c r="A18" s="88" t="s">
        <v>703</v>
      </c>
      <c r="B18" s="89"/>
      <c r="C18" s="89">
        <v>0</v>
      </c>
      <c r="D18" s="89" t="s">
        <v>2</v>
      </c>
      <c r="E18" s="90" t="s">
        <v>271</v>
      </c>
      <c r="G18" s="88" t="s">
        <v>703</v>
      </c>
      <c r="H18" s="89"/>
      <c r="I18" s="89">
        <v>0</v>
      </c>
      <c r="J18" s="89" t="s">
        <v>2</v>
      </c>
      <c r="K18" s="324" t="s">
        <v>283</v>
      </c>
      <c r="M18" s="88" t="s">
        <v>703</v>
      </c>
      <c r="N18" s="89"/>
      <c r="O18" s="89">
        <v>0</v>
      </c>
      <c r="P18" s="89" t="s">
        <v>2</v>
      </c>
      <c r="Q18" s="324" t="s">
        <v>1237</v>
      </c>
      <c r="S18" s="88" t="s">
        <v>1121</v>
      </c>
      <c r="T18" s="89"/>
      <c r="U18" s="89">
        <v>0</v>
      </c>
      <c r="V18" s="89" t="s">
        <v>2</v>
      </c>
      <c r="W18" s="90"/>
      <c r="X18" s="34" t="s">
        <v>87</v>
      </c>
      <c r="Y18" s="88" t="s">
        <v>1148</v>
      </c>
      <c r="Z18" s="89"/>
      <c r="AA18" s="89">
        <v>0</v>
      </c>
      <c r="AB18" s="89" t="s">
        <v>2</v>
      </c>
      <c r="AC18" s="90"/>
      <c r="AD18" s="40" t="s">
        <v>87</v>
      </c>
    </row>
    <row r="19" spans="1:37" x14ac:dyDescent="0.2">
      <c r="A19" s="88" t="s">
        <v>194</v>
      </c>
      <c r="B19" s="89"/>
      <c r="C19" s="89">
        <v>4.5999999999999999E-2</v>
      </c>
      <c r="D19" s="89" t="s">
        <v>2</v>
      </c>
      <c r="E19" s="90"/>
      <c r="F19" s="34" t="s">
        <v>179</v>
      </c>
      <c r="G19" s="88" t="s">
        <v>194</v>
      </c>
      <c r="H19" s="89"/>
      <c r="I19" s="89">
        <v>4.5999999999999999E-2</v>
      </c>
      <c r="J19" s="89" t="s">
        <v>2</v>
      </c>
      <c r="K19" s="324" t="s">
        <v>283</v>
      </c>
      <c r="M19" s="88" t="s">
        <v>194</v>
      </c>
      <c r="N19" s="89"/>
      <c r="O19" s="89">
        <v>4.5999999999999999E-2</v>
      </c>
      <c r="P19" s="89" t="s">
        <v>2</v>
      </c>
      <c r="Q19" s="324" t="s">
        <v>1237</v>
      </c>
      <c r="S19" s="88" t="s">
        <v>1122</v>
      </c>
      <c r="T19" s="89"/>
      <c r="U19" s="89">
        <v>4.5999999999999999E-2</v>
      </c>
      <c r="V19" s="89" t="s">
        <v>2</v>
      </c>
      <c r="W19" s="90"/>
      <c r="Y19" s="88" t="s">
        <v>1149</v>
      </c>
      <c r="Z19" s="89"/>
      <c r="AA19" s="89">
        <v>4.5999999999999999E-2</v>
      </c>
      <c r="AB19" s="89" t="s">
        <v>2</v>
      </c>
      <c r="AC19" s="90"/>
    </row>
    <row r="20" spans="1:37" x14ac:dyDescent="0.2">
      <c r="A20" s="88" t="s">
        <v>195</v>
      </c>
      <c r="B20" s="89"/>
      <c r="C20" s="89">
        <v>6.0000000000000001E-3</v>
      </c>
      <c r="D20" s="89" t="s">
        <v>2</v>
      </c>
      <c r="E20" s="90"/>
      <c r="F20" s="34" t="s">
        <v>179</v>
      </c>
      <c r="G20" s="88" t="s">
        <v>195</v>
      </c>
      <c r="H20" s="89"/>
      <c r="I20" s="89">
        <v>6.0000000000000001E-3</v>
      </c>
      <c r="J20" s="89" t="s">
        <v>2</v>
      </c>
      <c r="K20" s="324" t="s">
        <v>283</v>
      </c>
      <c r="M20" s="88" t="s">
        <v>195</v>
      </c>
      <c r="N20" s="89"/>
      <c r="O20" s="89">
        <v>6.0000000000000001E-3</v>
      </c>
      <c r="P20" s="89" t="s">
        <v>2</v>
      </c>
      <c r="Q20" s="324" t="s">
        <v>1237</v>
      </c>
      <c r="S20" s="88" t="s">
        <v>1124</v>
      </c>
      <c r="T20" s="89"/>
      <c r="U20" s="89">
        <v>6.0000000000000001E-3</v>
      </c>
      <c r="V20" s="89" t="s">
        <v>2</v>
      </c>
      <c r="W20" s="90"/>
      <c r="Y20" s="88" t="s">
        <v>1151</v>
      </c>
      <c r="Z20" s="89"/>
      <c r="AA20" s="89">
        <v>6.0000000000000001E-3</v>
      </c>
      <c r="AB20" s="89" t="s">
        <v>2</v>
      </c>
      <c r="AC20" s="90"/>
    </row>
    <row r="21" spans="1:37" x14ac:dyDescent="0.2">
      <c r="A21" s="88" t="s">
        <v>232</v>
      </c>
      <c r="B21" s="89"/>
      <c r="C21" s="89">
        <v>6.0000000000000001E-3</v>
      </c>
      <c r="D21" s="89" t="s">
        <v>2</v>
      </c>
      <c r="E21" s="90"/>
      <c r="F21" s="34" t="s">
        <v>179</v>
      </c>
      <c r="G21" s="88" t="s">
        <v>232</v>
      </c>
      <c r="H21" s="89"/>
      <c r="I21" s="89">
        <v>6.0000000000000001E-3</v>
      </c>
      <c r="J21" s="89" t="s">
        <v>2</v>
      </c>
      <c r="K21" s="324" t="s">
        <v>283</v>
      </c>
      <c r="M21" s="88" t="s">
        <v>232</v>
      </c>
      <c r="N21" s="89"/>
      <c r="O21" s="89">
        <v>6.0000000000000001E-3</v>
      </c>
      <c r="P21" s="89" t="s">
        <v>2</v>
      </c>
      <c r="Q21" s="324" t="s">
        <v>1237</v>
      </c>
      <c r="S21" s="88" t="s">
        <v>1171</v>
      </c>
      <c r="T21" s="89"/>
      <c r="U21" s="89">
        <v>6.0000000000000001E-3</v>
      </c>
      <c r="V21" s="89" t="s">
        <v>2</v>
      </c>
      <c r="W21" s="90"/>
      <c r="Y21" s="88" t="s">
        <v>1179</v>
      </c>
      <c r="Z21" s="89"/>
      <c r="AA21" s="89">
        <v>6.0000000000000001E-3</v>
      </c>
      <c r="AB21" s="89" t="s">
        <v>2</v>
      </c>
      <c r="AC21" s="90"/>
    </row>
    <row r="22" spans="1:37" x14ac:dyDescent="0.2">
      <c r="A22" s="88" t="s">
        <v>706</v>
      </c>
      <c r="B22" s="89"/>
      <c r="C22" s="89">
        <v>6.0000000000000001E-3</v>
      </c>
      <c r="D22" s="89" t="s">
        <v>2</v>
      </c>
      <c r="E22" s="90"/>
      <c r="F22" s="34" t="s">
        <v>179</v>
      </c>
      <c r="G22" s="88" t="s">
        <v>706</v>
      </c>
      <c r="H22" s="89"/>
      <c r="I22" s="89">
        <v>6.0000000000000001E-3</v>
      </c>
      <c r="J22" s="89" t="s">
        <v>2</v>
      </c>
      <c r="K22" s="324" t="s">
        <v>283</v>
      </c>
      <c r="M22" s="88" t="s">
        <v>706</v>
      </c>
      <c r="N22" s="89"/>
      <c r="O22" s="89">
        <v>6.0000000000000001E-3</v>
      </c>
      <c r="P22" s="89" t="s">
        <v>2</v>
      </c>
      <c r="Q22" s="324" t="s">
        <v>1237</v>
      </c>
      <c r="S22" s="88" t="s">
        <v>753</v>
      </c>
      <c r="T22" s="89"/>
      <c r="U22" s="89">
        <v>6.0000000000000001E-3</v>
      </c>
      <c r="V22" s="89" t="s">
        <v>2</v>
      </c>
      <c r="W22" s="90"/>
      <c r="Y22" s="88" t="s">
        <v>1180</v>
      </c>
      <c r="Z22" s="89"/>
      <c r="AA22" s="89">
        <v>6.0000000000000001E-3</v>
      </c>
      <c r="AB22" s="89" t="s">
        <v>2</v>
      </c>
      <c r="AC22" s="90"/>
    </row>
    <row r="23" spans="1:37" x14ac:dyDescent="0.2">
      <c r="A23" s="88" t="s">
        <v>234</v>
      </c>
      <c r="B23" s="89"/>
      <c r="C23" s="89">
        <v>3.0000000000000001E-3</v>
      </c>
      <c r="D23" s="89" t="s">
        <v>2</v>
      </c>
      <c r="E23" s="90"/>
      <c r="F23" s="34" t="s">
        <v>179</v>
      </c>
      <c r="G23" s="88" t="s">
        <v>234</v>
      </c>
      <c r="H23" s="89"/>
      <c r="I23" s="89">
        <v>3.0000000000000001E-3</v>
      </c>
      <c r="J23" s="89" t="s">
        <v>2</v>
      </c>
      <c r="K23" s="324" t="s">
        <v>283</v>
      </c>
      <c r="M23" s="88" t="s">
        <v>234</v>
      </c>
      <c r="N23" s="89"/>
      <c r="O23" s="89">
        <v>3.0000000000000001E-3</v>
      </c>
      <c r="P23" s="89" t="s">
        <v>2</v>
      </c>
      <c r="Q23" s="324" t="s">
        <v>1237</v>
      </c>
      <c r="S23" s="88" t="s">
        <v>1172</v>
      </c>
      <c r="T23" s="89"/>
      <c r="U23" s="89">
        <v>3.0000000000000001E-3</v>
      </c>
      <c r="V23" s="89" t="s">
        <v>2</v>
      </c>
      <c r="W23" s="90"/>
      <c r="Y23" s="88" t="s">
        <v>1181</v>
      </c>
      <c r="Z23" s="89"/>
      <c r="AA23" s="89">
        <v>3.0000000000000001E-3</v>
      </c>
      <c r="AB23" s="89" t="s">
        <v>2</v>
      </c>
      <c r="AC23" s="90"/>
    </row>
    <row r="24" spans="1:37" x14ac:dyDescent="0.2">
      <c r="A24" s="88" t="s">
        <v>199</v>
      </c>
      <c r="B24" s="89"/>
      <c r="C24" s="89">
        <v>3.0000000000000001E-3</v>
      </c>
      <c r="D24" s="89" t="s">
        <v>2</v>
      </c>
      <c r="E24" s="90"/>
      <c r="F24" s="34" t="s">
        <v>179</v>
      </c>
      <c r="G24" s="88" t="s">
        <v>199</v>
      </c>
      <c r="H24" s="89"/>
      <c r="I24" s="89">
        <v>3.0000000000000001E-3</v>
      </c>
      <c r="J24" s="89" t="s">
        <v>2</v>
      </c>
      <c r="K24" s="324" t="s">
        <v>283</v>
      </c>
      <c r="M24" s="88" t="s">
        <v>199</v>
      </c>
      <c r="N24" s="89"/>
      <c r="O24" s="89">
        <v>3.0000000000000001E-3</v>
      </c>
      <c r="P24" s="89" t="s">
        <v>2</v>
      </c>
      <c r="Q24" s="324" t="s">
        <v>1237</v>
      </c>
      <c r="S24" s="88" t="s">
        <v>1129</v>
      </c>
      <c r="T24" s="89"/>
      <c r="U24" s="89">
        <v>3.0000000000000001E-3</v>
      </c>
      <c r="V24" s="89" t="s">
        <v>2</v>
      </c>
      <c r="W24" s="90"/>
      <c r="Y24" s="88" t="s">
        <v>1156</v>
      </c>
      <c r="Z24" s="89"/>
      <c r="AA24" s="89">
        <v>3.0000000000000001E-3</v>
      </c>
      <c r="AB24" s="89" t="s">
        <v>2</v>
      </c>
      <c r="AC24" s="90"/>
    </row>
    <row r="25" spans="1:37" x14ac:dyDescent="0.2">
      <c r="A25" s="88" t="s">
        <v>707</v>
      </c>
      <c r="B25" s="89"/>
      <c r="C25" s="89">
        <v>0.03</v>
      </c>
      <c r="D25" s="89" t="s">
        <v>2</v>
      </c>
      <c r="E25" s="90"/>
      <c r="F25" s="34" t="s">
        <v>179</v>
      </c>
      <c r="G25" s="88" t="s">
        <v>707</v>
      </c>
      <c r="H25" s="89"/>
      <c r="I25" s="89">
        <v>0.03</v>
      </c>
      <c r="J25" s="89" t="s">
        <v>2</v>
      </c>
      <c r="K25" s="324" t="s">
        <v>283</v>
      </c>
      <c r="M25" s="88" t="s">
        <v>707</v>
      </c>
      <c r="N25" s="89"/>
      <c r="O25" s="89">
        <v>0.03</v>
      </c>
      <c r="P25" s="89" t="s">
        <v>2</v>
      </c>
      <c r="Q25" s="324" t="s">
        <v>1237</v>
      </c>
      <c r="S25" s="88" t="s">
        <v>1173</v>
      </c>
      <c r="T25" s="89"/>
      <c r="U25" s="89">
        <v>0.03</v>
      </c>
      <c r="V25" s="89" t="s">
        <v>2</v>
      </c>
      <c r="W25" s="90"/>
      <c r="Y25" s="88" t="s">
        <v>1182</v>
      </c>
      <c r="Z25" s="89"/>
      <c r="AA25" s="89">
        <v>0.03</v>
      </c>
      <c r="AB25" s="89" t="s">
        <v>2</v>
      </c>
      <c r="AC25" s="90"/>
    </row>
    <row r="26" spans="1:37" x14ac:dyDescent="0.2">
      <c r="A26" s="88" t="s">
        <v>201</v>
      </c>
      <c r="B26" s="89"/>
      <c r="C26" s="89">
        <v>4.5999999999999999E-2</v>
      </c>
      <c r="D26" s="89" t="s">
        <v>2</v>
      </c>
      <c r="E26" s="90"/>
      <c r="F26" s="34" t="s">
        <v>179</v>
      </c>
      <c r="G26" s="88" t="s">
        <v>201</v>
      </c>
      <c r="H26" s="89"/>
      <c r="I26" s="89">
        <v>4.5999999999999999E-2</v>
      </c>
      <c r="J26" s="89" t="s">
        <v>2</v>
      </c>
      <c r="K26" s="324" t="s">
        <v>283</v>
      </c>
      <c r="M26" s="88" t="s">
        <v>201</v>
      </c>
      <c r="N26" s="89"/>
      <c r="O26" s="89">
        <v>4.5999999999999999E-2</v>
      </c>
      <c r="P26" s="89" t="s">
        <v>2</v>
      </c>
      <c r="Q26" s="324" t="s">
        <v>1237</v>
      </c>
      <c r="S26" s="88" t="s">
        <v>1131</v>
      </c>
      <c r="T26" s="89"/>
      <c r="U26" s="89">
        <v>4.5999999999999999E-2</v>
      </c>
      <c r="V26" s="89" t="s">
        <v>2</v>
      </c>
      <c r="W26" s="90"/>
      <c r="Y26" s="88" t="s">
        <v>1158</v>
      </c>
      <c r="Z26" s="89"/>
      <c r="AA26" s="89">
        <v>4.5999999999999999E-2</v>
      </c>
      <c r="AB26" s="89" t="s">
        <v>2</v>
      </c>
      <c r="AC26" s="90"/>
    </row>
    <row r="27" spans="1:37" x14ac:dyDescent="0.2">
      <c r="A27" s="88" t="s">
        <v>203</v>
      </c>
      <c r="B27" s="89"/>
      <c r="C27" s="89">
        <v>6.0000000000000001E-3</v>
      </c>
      <c r="D27" s="89"/>
      <c r="E27" s="90"/>
      <c r="G27" s="88" t="s">
        <v>203</v>
      </c>
      <c r="H27" s="89"/>
      <c r="I27" s="89">
        <v>6.0000000000000001E-3</v>
      </c>
      <c r="J27" s="89"/>
      <c r="K27" s="324" t="s">
        <v>283</v>
      </c>
      <c r="M27" s="88" t="s">
        <v>203</v>
      </c>
      <c r="N27" s="89"/>
      <c r="O27" s="89">
        <v>6.0000000000000001E-3</v>
      </c>
      <c r="P27" s="89"/>
      <c r="Q27" s="324" t="s">
        <v>1237</v>
      </c>
      <c r="S27" s="88" t="s">
        <v>1133</v>
      </c>
      <c r="T27" s="89"/>
      <c r="U27" s="89">
        <v>6.0000000000000001E-3</v>
      </c>
      <c r="V27" s="89"/>
      <c r="W27" s="90"/>
      <c r="Y27" s="88" t="s">
        <v>1160</v>
      </c>
      <c r="Z27" s="89"/>
      <c r="AA27" s="89">
        <v>6.0000000000000001E-3</v>
      </c>
      <c r="AB27" s="89"/>
      <c r="AC27" s="90"/>
    </row>
    <row r="28" spans="1:37" s="35" customFormat="1" x14ac:dyDescent="0.2">
      <c r="A28" s="277" t="s">
        <v>205</v>
      </c>
      <c r="B28" s="278"/>
      <c r="C28" s="278"/>
      <c r="D28" s="278"/>
      <c r="E28" s="279"/>
      <c r="F28" s="1"/>
      <c r="G28" s="277" t="s">
        <v>205</v>
      </c>
      <c r="H28" s="278"/>
      <c r="I28" s="278"/>
      <c r="J28" s="278"/>
      <c r="K28" s="279"/>
      <c r="L28" s="1"/>
      <c r="M28" s="277" t="s">
        <v>205</v>
      </c>
      <c r="N28" s="278"/>
      <c r="O28" s="278"/>
      <c r="P28" s="278"/>
      <c r="Q28" s="279"/>
      <c r="R28" s="1"/>
      <c r="S28" s="277" t="s">
        <v>205</v>
      </c>
      <c r="T28" s="278"/>
      <c r="U28" s="278"/>
      <c r="V28" s="278"/>
      <c r="W28" s="279"/>
      <c r="X28" s="1"/>
      <c r="Y28" s="277" t="s">
        <v>205</v>
      </c>
      <c r="Z28" s="278"/>
      <c r="AA28" s="278"/>
      <c r="AB28" s="278"/>
      <c r="AC28" s="279"/>
      <c r="AD28" s="99"/>
      <c r="AE28" s="99"/>
      <c r="AF28" s="99"/>
      <c r="AG28" s="99"/>
      <c r="AH28" s="99"/>
      <c r="AI28" s="99"/>
      <c r="AJ28" s="99"/>
      <c r="AK28" s="99"/>
    </row>
    <row r="29" spans="1:37" x14ac:dyDescent="0.2">
      <c r="A29" s="280" t="s">
        <v>206</v>
      </c>
      <c r="B29" s="281"/>
      <c r="C29" s="288">
        <v>0.7</v>
      </c>
      <c r="D29" s="281" t="s">
        <v>207</v>
      </c>
      <c r="E29" s="373" t="s">
        <v>1076</v>
      </c>
      <c r="F29" s="244" t="s">
        <v>179</v>
      </c>
      <c r="G29" s="280" t="s">
        <v>206</v>
      </c>
      <c r="H29" s="281"/>
      <c r="I29" s="288">
        <f>0.0933*0.8</f>
        <v>7.4639999999999998E-2</v>
      </c>
      <c r="J29" s="281" t="s">
        <v>207</v>
      </c>
      <c r="K29" s="373" t="s">
        <v>1163</v>
      </c>
      <c r="L29" s="244"/>
      <c r="M29" s="280" t="s">
        <v>206</v>
      </c>
      <c r="N29" s="281"/>
      <c r="O29" s="288">
        <v>2.73</v>
      </c>
      <c r="P29" s="281" t="s">
        <v>207</v>
      </c>
      <c r="Q29" s="373" t="s">
        <v>1080</v>
      </c>
      <c r="R29" s="244"/>
      <c r="S29" s="280" t="s">
        <v>206</v>
      </c>
      <c r="T29" s="281"/>
      <c r="U29" s="288">
        <v>0.7</v>
      </c>
      <c r="V29" s="281" t="s">
        <v>207</v>
      </c>
      <c r="W29" s="373" t="s">
        <v>1076</v>
      </c>
      <c r="X29" s="244"/>
      <c r="Y29" s="280" t="s">
        <v>206</v>
      </c>
      <c r="Z29" s="281"/>
      <c r="AA29" s="288">
        <v>0.7</v>
      </c>
      <c r="AB29" s="281" t="s">
        <v>207</v>
      </c>
      <c r="AC29" s="373" t="s">
        <v>1076</v>
      </c>
    </row>
    <row r="30" spans="1:37" x14ac:dyDescent="0.2">
      <c r="A30" s="280" t="s">
        <v>208</v>
      </c>
      <c r="B30" s="281"/>
      <c r="C30" s="288">
        <f>30/3.6</f>
        <v>8.3333333333333339</v>
      </c>
      <c r="D30" s="281" t="s">
        <v>207</v>
      </c>
      <c r="E30" s="373"/>
      <c r="F30" s="244" t="s">
        <v>179</v>
      </c>
      <c r="G30" s="280" t="s">
        <v>208</v>
      </c>
      <c r="H30" s="281"/>
      <c r="I30" s="288">
        <f>123/350</f>
        <v>0.35142857142857142</v>
      </c>
      <c r="J30" s="281" t="s">
        <v>207</v>
      </c>
      <c r="K30" s="373"/>
      <c r="L30" s="244"/>
      <c r="M30" s="280" t="s">
        <v>208</v>
      </c>
      <c r="N30" s="281"/>
      <c r="O30" s="288">
        <f>(69.9+0.38)/3.6</f>
        <v>19.522222222222222</v>
      </c>
      <c r="P30" s="281" t="s">
        <v>207</v>
      </c>
      <c r="Q30" s="373"/>
      <c r="R30" s="244"/>
      <c r="S30" s="280" t="s">
        <v>208</v>
      </c>
      <c r="T30" s="281"/>
      <c r="U30" s="288">
        <f>30/3.6</f>
        <v>8.3333333333333339</v>
      </c>
      <c r="V30" s="281" t="s">
        <v>207</v>
      </c>
      <c r="W30" s="373"/>
      <c r="X30" s="244"/>
      <c r="Y30" s="280" t="s">
        <v>208</v>
      </c>
      <c r="Z30" s="281"/>
      <c r="AA30" s="288">
        <f>30/3.6</f>
        <v>8.3333333333333339</v>
      </c>
      <c r="AB30" s="281" t="s">
        <v>207</v>
      </c>
      <c r="AC30" s="373"/>
    </row>
    <row r="31" spans="1:37" s="35" customFormat="1" x14ac:dyDescent="0.2">
      <c r="A31" s="277" t="s">
        <v>209</v>
      </c>
      <c r="B31" s="278"/>
      <c r="C31" s="278"/>
      <c r="D31" s="278"/>
      <c r="E31" s="279"/>
      <c r="F31" s="1"/>
      <c r="G31" s="277" t="s">
        <v>209</v>
      </c>
      <c r="H31" s="278"/>
      <c r="I31" s="278"/>
      <c r="J31" s="278"/>
      <c r="K31" s="279"/>
      <c r="L31" s="1"/>
      <c r="M31" s="277" t="s">
        <v>209</v>
      </c>
      <c r="N31" s="278"/>
      <c r="O31" s="278"/>
      <c r="P31" s="278"/>
      <c r="Q31" s="279"/>
      <c r="R31" s="1"/>
      <c r="S31" s="277" t="s">
        <v>209</v>
      </c>
      <c r="T31" s="278"/>
      <c r="U31" s="278"/>
      <c r="V31" s="278"/>
      <c r="W31" s="279"/>
      <c r="X31" s="1"/>
      <c r="Y31" s="277" t="s">
        <v>209</v>
      </c>
      <c r="Z31" s="278"/>
      <c r="AA31" s="278"/>
      <c r="AB31" s="278"/>
      <c r="AC31" s="279"/>
      <c r="AD31" s="99"/>
      <c r="AE31" s="99"/>
      <c r="AF31" s="99"/>
      <c r="AG31" s="99"/>
      <c r="AH31" s="99"/>
      <c r="AI31" s="99"/>
      <c r="AJ31" s="99"/>
      <c r="AK31" s="99"/>
    </row>
    <row r="32" spans="1:37" x14ac:dyDescent="0.2">
      <c r="A32" s="280" t="s">
        <v>210</v>
      </c>
      <c r="B32" s="281"/>
      <c r="C32" s="281">
        <v>2.0000000000000001E-4</v>
      </c>
      <c r="D32" s="281" t="s">
        <v>2</v>
      </c>
      <c r="E32" s="282" t="s">
        <v>211</v>
      </c>
      <c r="F32" s="244" t="s">
        <v>179</v>
      </c>
      <c r="G32" s="280" t="s">
        <v>210</v>
      </c>
      <c r="H32" s="281"/>
      <c r="I32" s="281">
        <v>2.0000000000000002E-5</v>
      </c>
      <c r="J32" s="281" t="s">
        <v>2</v>
      </c>
      <c r="K32" s="324" t="s">
        <v>283</v>
      </c>
      <c r="L32" t="s">
        <v>87</v>
      </c>
      <c r="M32" s="280" t="s">
        <v>210</v>
      </c>
      <c r="N32" s="281"/>
      <c r="O32" s="281">
        <v>2E-3</v>
      </c>
      <c r="P32" s="281" t="s">
        <v>2</v>
      </c>
      <c r="Q32" s="373" t="s">
        <v>1164</v>
      </c>
      <c r="R32" t="s">
        <v>87</v>
      </c>
      <c r="S32" s="280" t="s">
        <v>210</v>
      </c>
      <c r="T32" s="281"/>
      <c r="U32" s="281">
        <v>2.0000000000000001E-4</v>
      </c>
      <c r="V32" s="281" t="s">
        <v>2</v>
      </c>
      <c r="W32" s="282" t="s">
        <v>211</v>
      </c>
      <c r="X32" t="s">
        <v>87</v>
      </c>
      <c r="Y32" s="280" t="s">
        <v>210</v>
      </c>
      <c r="Z32" s="281"/>
      <c r="AA32" s="281">
        <v>2.0000000000000001E-4</v>
      </c>
      <c r="AB32" s="281" t="s">
        <v>2</v>
      </c>
      <c r="AC32" s="282" t="s">
        <v>211</v>
      </c>
      <c r="AD32" s="40" t="s">
        <v>87</v>
      </c>
    </row>
    <row r="33" spans="1:41" s="35" customFormat="1" x14ac:dyDescent="0.2">
      <c r="A33" s="85" t="s">
        <v>212</v>
      </c>
      <c r="B33" s="86"/>
      <c r="C33" s="86"/>
      <c r="D33" s="86"/>
      <c r="E33" s="87"/>
      <c r="G33" s="85" t="s">
        <v>212</v>
      </c>
      <c r="H33" s="86"/>
      <c r="I33" s="86"/>
      <c r="J33" s="86"/>
      <c r="K33" s="87"/>
      <c r="M33" s="85" t="s">
        <v>212</v>
      </c>
      <c r="N33" s="86"/>
      <c r="O33" s="86"/>
      <c r="P33" s="86"/>
      <c r="Q33" s="87"/>
      <c r="S33" s="85" t="s">
        <v>212</v>
      </c>
      <c r="T33" s="86"/>
      <c r="U33" s="86"/>
      <c r="V33" s="86"/>
      <c r="W33" s="87"/>
      <c r="Y33" s="85" t="s">
        <v>212</v>
      </c>
      <c r="Z33" s="86"/>
      <c r="AA33" s="86"/>
      <c r="AB33" s="86"/>
      <c r="AC33" s="87"/>
      <c r="AD33" s="99"/>
      <c r="AE33" s="99"/>
      <c r="AF33" s="99"/>
      <c r="AG33" s="99"/>
      <c r="AH33" s="99"/>
      <c r="AI33" s="99"/>
      <c r="AJ33" s="99"/>
      <c r="AK33" s="99"/>
    </row>
    <row r="34" spans="1:41" ht="13.5" thickBot="1" x14ac:dyDescent="0.25">
      <c r="A34" s="100" t="s">
        <v>213</v>
      </c>
      <c r="B34" s="101"/>
      <c r="C34" s="206">
        <v>0.5</v>
      </c>
      <c r="D34" s="101" t="s">
        <v>2</v>
      </c>
      <c r="E34" s="102" t="s">
        <v>214</v>
      </c>
      <c r="F34" s="34" t="s">
        <v>179</v>
      </c>
      <c r="G34" s="100" t="s">
        <v>213</v>
      </c>
      <c r="H34" s="101"/>
      <c r="I34" s="206">
        <v>0.5</v>
      </c>
      <c r="J34" s="101" t="s">
        <v>2</v>
      </c>
      <c r="K34" s="102" t="s">
        <v>214</v>
      </c>
      <c r="M34" s="100" t="s">
        <v>213</v>
      </c>
      <c r="N34" s="101"/>
      <c r="O34" s="206">
        <v>0.5</v>
      </c>
      <c r="P34" s="101" t="s">
        <v>2</v>
      </c>
      <c r="Q34" s="102" t="s">
        <v>214</v>
      </c>
      <c r="S34" s="100" t="s">
        <v>213</v>
      </c>
      <c r="T34" s="101"/>
      <c r="U34" s="206">
        <v>0.5</v>
      </c>
      <c r="V34" s="101" t="s">
        <v>2</v>
      </c>
      <c r="W34" s="102" t="s">
        <v>214</v>
      </c>
      <c r="Y34" s="100" t="s">
        <v>213</v>
      </c>
      <c r="Z34" s="101"/>
      <c r="AA34" s="206">
        <v>0.5</v>
      </c>
      <c r="AB34" s="101" t="s">
        <v>2</v>
      </c>
      <c r="AC34" s="102" t="s">
        <v>214</v>
      </c>
    </row>
    <row r="38" spans="1:41" x14ac:dyDescent="0.2">
      <c r="Y38" s="34"/>
      <c r="Z38" s="34"/>
    </row>
    <row r="39" spans="1:41" x14ac:dyDescent="0.2">
      <c r="Y39" s="34"/>
      <c r="Z39" s="34"/>
    </row>
    <row r="40" spans="1:41" x14ac:dyDescent="0.2">
      <c r="Y40" s="34"/>
      <c r="Z40" s="34"/>
    </row>
    <row r="41" spans="1:41" s="59" customFormat="1" x14ac:dyDescent="0.2">
      <c r="A41" s="58"/>
      <c r="B41" s="58"/>
    </row>
    <row r="42" spans="1:41" s="7" customFormat="1" x14ac:dyDescent="0.2">
      <c r="A42" s="17" t="s">
        <v>708</v>
      </c>
      <c r="T42" s="238"/>
      <c r="U42" s="239" t="s">
        <v>550</v>
      </c>
      <c r="V42" s="240" t="s">
        <v>551</v>
      </c>
      <c r="W42" s="240" t="s">
        <v>550</v>
      </c>
      <c r="X42" s="240" t="s">
        <v>551</v>
      </c>
      <c r="Y42" s="241" t="s">
        <v>552</v>
      </c>
      <c r="Z42" s="238"/>
      <c r="AA42" s="201"/>
      <c r="AB42" s="17" t="s">
        <v>105</v>
      </c>
      <c r="AC42" s="17"/>
      <c r="AD42" s="148" t="s">
        <v>549</v>
      </c>
      <c r="AE42" s="149"/>
      <c r="AF42" s="149"/>
      <c r="AG42" s="149" t="s">
        <v>548</v>
      </c>
      <c r="AH42" s="149"/>
      <c r="AI42" s="149"/>
      <c r="AJ42" s="149" t="s">
        <v>547</v>
      </c>
      <c r="AK42" s="149"/>
      <c r="AL42" s="149"/>
      <c r="AM42" s="202" t="s">
        <v>553</v>
      </c>
      <c r="AN42" s="200"/>
      <c r="AO42" s="201"/>
    </row>
    <row r="43" spans="1:41" s="49" customFormat="1" ht="15" customHeight="1" x14ac:dyDescent="0.2">
      <c r="A43" s="57" t="s">
        <v>58</v>
      </c>
      <c r="B43" s="55" t="s">
        <v>289</v>
      </c>
      <c r="C43" s="56" t="s">
        <v>100</v>
      </c>
      <c r="D43" s="56" t="s">
        <v>11</v>
      </c>
      <c r="E43" s="63" t="s">
        <v>291</v>
      </c>
      <c r="F43" s="63"/>
      <c r="G43" s="66" t="s">
        <v>292</v>
      </c>
      <c r="H43" s="66" t="s">
        <v>8</v>
      </c>
      <c r="I43" s="66" t="s">
        <v>217</v>
      </c>
      <c r="J43" s="66" t="s">
        <v>11</v>
      </c>
      <c r="K43" s="66" t="s">
        <v>291</v>
      </c>
      <c r="L43" s="63"/>
      <c r="M43" s="67" t="s">
        <v>293</v>
      </c>
      <c r="N43" s="67" t="s">
        <v>8</v>
      </c>
      <c r="O43" s="67" t="s">
        <v>217</v>
      </c>
      <c r="P43" s="67" t="s">
        <v>11</v>
      </c>
      <c r="Q43" s="67" t="s">
        <v>291</v>
      </c>
      <c r="R43" s="67"/>
      <c r="S43" s="63"/>
      <c r="T43" s="79" t="s">
        <v>275</v>
      </c>
      <c r="U43" s="234" t="s">
        <v>530</v>
      </c>
      <c r="V43" s="55" t="s">
        <v>531</v>
      </c>
      <c r="W43" s="55" t="s">
        <v>532</v>
      </c>
      <c r="X43" s="55" t="s">
        <v>533</v>
      </c>
      <c r="Y43" s="55" t="s">
        <v>534</v>
      </c>
      <c r="Z43" s="55" t="s">
        <v>535</v>
      </c>
      <c r="AA43" s="131" t="s">
        <v>536</v>
      </c>
      <c r="AB43" s="22" t="s">
        <v>545</v>
      </c>
      <c r="AC43" s="23" t="s">
        <v>546</v>
      </c>
      <c r="AD43" s="148" t="s">
        <v>31</v>
      </c>
      <c r="AE43" s="149" t="s">
        <v>32</v>
      </c>
      <c r="AF43" s="150" t="s">
        <v>33</v>
      </c>
      <c r="AG43" s="148" t="s">
        <v>31</v>
      </c>
      <c r="AH43" s="149" t="s">
        <v>32</v>
      </c>
      <c r="AI43" s="150" t="s">
        <v>33</v>
      </c>
      <c r="AJ43" s="148" t="s">
        <v>31</v>
      </c>
      <c r="AK43" s="149" t="s">
        <v>32</v>
      </c>
      <c r="AL43" s="149" t="s">
        <v>33</v>
      </c>
      <c r="AM43" s="159"/>
      <c r="AN43" s="156"/>
      <c r="AO43" s="160"/>
    </row>
    <row r="44" spans="1:41" s="361" customFormat="1" ht="15" customHeight="1" x14ac:dyDescent="0.2">
      <c r="A44" s="400" t="str">
        <f>'36. Generic chemical products'!A22</f>
        <v>Sequestering agent/complex binder, average (Invatex)</v>
      </c>
      <c r="B44" s="400" t="str">
        <f>'36. Generic chemical products'!B22</f>
        <v>Phosphonic acid, disodium salt</v>
      </c>
      <c r="C44" s="400">
        <f>'36. Generic chemical products'!C22</f>
        <v>0.3</v>
      </c>
      <c r="D44" s="400" t="str">
        <f>'36. Generic chemical products'!D22</f>
        <v>kg</v>
      </c>
      <c r="E44" s="400" t="str">
        <f>'36. Generic chemical products'!E22</f>
        <v>MSDS</v>
      </c>
      <c r="F44" s="400">
        <f>'36. Generic chemical products'!F22</f>
        <v>0</v>
      </c>
      <c r="G44" s="400" t="str">
        <f>'36. Generic chemical products'!G22</f>
        <v>Phosphonic acid</v>
      </c>
      <c r="H44" s="400" t="str">
        <f>'36. Generic chemical products'!H22</f>
        <v>high. pop.</v>
      </c>
      <c r="I44" s="400">
        <f>'36. Generic chemical products'!I22</f>
        <v>2.9999999999999997E-4</v>
      </c>
      <c r="J44" s="400">
        <f>'36. Generic chemical products'!J22</f>
        <v>0</v>
      </c>
      <c r="K44" s="400">
        <f>'36. Generic chemical products'!K22</f>
        <v>0</v>
      </c>
      <c r="L44" s="400">
        <f>'36. Generic chemical products'!L22</f>
        <v>0</v>
      </c>
      <c r="M44" s="400" t="str">
        <f>'36. Generic chemical products'!M22</f>
        <v>Phosphonic acid</v>
      </c>
      <c r="N44" s="400" t="str">
        <f>'36. Generic chemical products'!N22</f>
        <v>river</v>
      </c>
      <c r="O44" s="400">
        <f>'36. Generic chemical products'!O22</f>
        <v>0.03</v>
      </c>
      <c r="P44" s="400" t="str">
        <f>'36. Generic chemical products'!P22</f>
        <v>kg</v>
      </c>
      <c r="Q44" s="400">
        <f>'36. Generic chemical products'!Q22</f>
        <v>0</v>
      </c>
      <c r="R44" s="400">
        <f>'36. Generic chemical products'!R22</f>
        <v>0</v>
      </c>
      <c r="S44" s="400">
        <f>'36. Generic chemical products'!S22</f>
        <v>0</v>
      </c>
      <c r="T44" s="400" t="str">
        <f>'36. Generic chemical products'!T22</f>
        <v>13708-85-5</v>
      </c>
      <c r="U44" s="400">
        <f>'36. Generic chemical products'!U22</f>
        <v>0</v>
      </c>
      <c r="V44" s="400">
        <f>'36. Generic chemical products'!V22</f>
        <v>2.5624272316803493E-8</v>
      </c>
      <c r="W44" s="400">
        <f>'36. Generic chemical products'!W22</f>
        <v>0</v>
      </c>
      <c r="X44" s="400">
        <f>'36. Generic chemical products'!X22</f>
        <v>6.1179997974786175E-9</v>
      </c>
      <c r="Y44" s="400">
        <f>'36. Generic chemical products'!Y22</f>
        <v>95.727827940780713</v>
      </c>
      <c r="Z44" s="400">
        <f>'36. Generic chemical products'!Z22</f>
        <v>451.93033608164546</v>
      </c>
      <c r="AA44" s="400" t="str">
        <f>'36. Generic chemical products'!AA22</f>
        <v>Roos 2017</v>
      </c>
      <c r="AB44" s="401">
        <f>$C$14*I44</f>
        <v>1.7999999999999999E-6</v>
      </c>
      <c r="AC44" s="362">
        <f>$C$21*O44</f>
        <v>1.7999999999999998E-4</v>
      </c>
      <c r="AD44" s="402">
        <f t="shared" ref="AD44:AD61" si="0">AB44*U44+AC44*W44</f>
        <v>0</v>
      </c>
      <c r="AE44" s="402">
        <f t="shared" ref="AE44:AE61" si="1">AB44*V44+AC44*X44</f>
        <v>1.1473636537163974E-12</v>
      </c>
      <c r="AF44" s="403">
        <f t="shared" ref="AF44:AF61" si="2">AB44*Y44+AC44*Z44</f>
        <v>8.151977058498959E-2</v>
      </c>
      <c r="AG44" s="403">
        <f t="shared" ref="AG44:AG61" si="3">AB44*U44</f>
        <v>0</v>
      </c>
      <c r="AH44" s="403">
        <f t="shared" ref="AH44:AH61" si="4">AB44*V44</f>
        <v>4.6123690170246289E-14</v>
      </c>
      <c r="AI44" s="403">
        <f t="shared" ref="AI44:AI61" si="5">AB44*Y44</f>
        <v>1.7231009029340528E-4</v>
      </c>
      <c r="AJ44" s="403">
        <f t="shared" ref="AJ44:AJ61" si="6">AC44*W44</f>
        <v>0</v>
      </c>
      <c r="AK44" s="403">
        <f t="shared" ref="AK44:AK61" si="7">AC44*X44</f>
        <v>1.1012399635461511E-12</v>
      </c>
      <c r="AL44" s="403">
        <f t="shared" ref="AL44:AL61" si="8">AC44*Z44</f>
        <v>8.1347460494696183E-2</v>
      </c>
      <c r="AM44" s="404">
        <f t="shared" ref="AM44:AO61" si="9">AG44+AJ44</f>
        <v>0</v>
      </c>
      <c r="AN44" s="405">
        <f t="shared" si="9"/>
        <v>1.1473636537163974E-12</v>
      </c>
      <c r="AO44" s="406">
        <f t="shared" si="9"/>
        <v>8.151977058498959E-2</v>
      </c>
    </row>
    <row r="45" spans="1:41" s="8" customFormat="1" ht="15" customHeight="1" x14ac:dyDescent="0.2">
      <c r="A45" s="68" t="str">
        <f>'36. Generic chemical products'!A5</f>
        <v>Detergent, average (Ultravon EL)</v>
      </c>
      <c r="B45" s="68" t="str">
        <f>'36. Generic chemical products'!B5</f>
        <v>Polyacrylic acid, sodium salt</v>
      </c>
      <c r="C45" s="68">
        <f>'36. Generic chemical products'!C5</f>
        <v>0.1</v>
      </c>
      <c r="D45" s="68" t="str">
        <f>'36. Generic chemical products'!D5</f>
        <v>kg</v>
      </c>
      <c r="E45" s="68" t="str">
        <f>'36. Generic chemical products'!E5</f>
        <v>MSDS</v>
      </c>
      <c r="F45" s="68">
        <f>'36. Generic chemical products'!F5</f>
        <v>0</v>
      </c>
      <c r="G45" s="68" t="str">
        <f>'36. Generic chemical products'!G5</f>
        <v>-</v>
      </c>
      <c r="H45" s="68">
        <f>'36. Generic chemical products'!H5</f>
        <v>0</v>
      </c>
      <c r="I45" s="68">
        <f>'36. Generic chemical products'!I5</f>
        <v>0</v>
      </c>
      <c r="J45" s="68">
        <f>'36. Generic chemical products'!J5</f>
        <v>0</v>
      </c>
      <c r="K45" s="68">
        <f>'36. Generic chemical products'!K5</f>
        <v>0</v>
      </c>
      <c r="L45" s="68">
        <f>'36. Generic chemical products'!L5</f>
        <v>0</v>
      </c>
      <c r="M45" s="68" t="str">
        <f>'36. Generic chemical products'!M5</f>
        <v>Polyacrylic acid, sodium salt</v>
      </c>
      <c r="N45" s="68" t="str">
        <f>'36. Generic chemical products'!N5</f>
        <v>river</v>
      </c>
      <c r="O45" s="68">
        <f>'36. Generic chemical products'!O5</f>
        <v>9.9000000000000008E-3</v>
      </c>
      <c r="P45" s="68" t="str">
        <f>'36. Generic chemical products'!P5</f>
        <v>kg</v>
      </c>
      <c r="Q45" s="68" t="str">
        <f>'36. Generic chemical products'!Q5</f>
        <v>1% of polymer content remains as monomers from the production process.</v>
      </c>
      <c r="R45" s="68">
        <f>'36. Generic chemical products'!R5</f>
        <v>0</v>
      </c>
      <c r="S45" s="68">
        <f>'36. Generic chemical products'!S5</f>
        <v>0</v>
      </c>
      <c r="T45" s="68" t="str">
        <f>'36. Generic chemical products'!T5</f>
        <v>9003-04-7</v>
      </c>
      <c r="U45" s="68">
        <f>'36. Generic chemical products'!U5</f>
        <v>0</v>
      </c>
      <c r="V45" s="68">
        <f>'36. Generic chemical products'!V5</f>
        <v>0</v>
      </c>
      <c r="W45" s="68">
        <f>'36. Generic chemical products'!W5</f>
        <v>0</v>
      </c>
      <c r="X45" s="68">
        <f>'36. Generic chemical products'!X5</f>
        <v>0</v>
      </c>
      <c r="Y45" s="68">
        <f>'36. Generic chemical products'!Y5</f>
        <v>7.06</v>
      </c>
      <c r="Z45" s="68">
        <f>'36. Generic chemical products'!Z5</f>
        <v>78.599999999999994</v>
      </c>
      <c r="AA45" s="68" t="str">
        <f>'36. Generic chemical products'!AA5</f>
        <v>COSMEDE</v>
      </c>
      <c r="AB45" s="27">
        <f t="shared" ref="AB45:AB50" si="10">$C$15*I45</f>
        <v>0</v>
      </c>
      <c r="AC45" s="29">
        <f t="shared" ref="AC45:AC50" si="11">$C$22*O45</f>
        <v>5.9400000000000007E-5</v>
      </c>
      <c r="AD45" s="135">
        <f t="shared" si="0"/>
        <v>0</v>
      </c>
      <c r="AE45" s="135">
        <f t="shared" si="1"/>
        <v>0</v>
      </c>
      <c r="AF45" s="24">
        <f t="shared" si="2"/>
        <v>4.6688400000000005E-3</v>
      </c>
      <c r="AG45" s="24">
        <f t="shared" si="3"/>
        <v>0</v>
      </c>
      <c r="AH45" s="24">
        <f t="shared" si="4"/>
        <v>0</v>
      </c>
      <c r="AI45" s="24">
        <f t="shared" si="5"/>
        <v>0</v>
      </c>
      <c r="AJ45" s="24">
        <f t="shared" si="6"/>
        <v>0</v>
      </c>
      <c r="AK45" s="24">
        <f t="shared" si="7"/>
        <v>0</v>
      </c>
      <c r="AL45" s="24">
        <f t="shared" si="8"/>
        <v>4.6688400000000005E-3</v>
      </c>
      <c r="AM45" s="161">
        <f t="shared" si="9"/>
        <v>0</v>
      </c>
      <c r="AN45" s="157">
        <f t="shared" si="9"/>
        <v>0</v>
      </c>
      <c r="AO45" s="162">
        <f t="shared" si="9"/>
        <v>4.6688400000000005E-3</v>
      </c>
    </row>
    <row r="46" spans="1:41" s="8" customFormat="1" ht="15" customHeight="1" x14ac:dyDescent="0.2">
      <c r="A46" s="68" t="str">
        <f>'36. Generic chemical products'!A6</f>
        <v>Detergent, average (Ultravon EL)</v>
      </c>
      <c r="B46" s="68" t="str">
        <f>'36. Generic chemical products'!B6</f>
        <v>Oxirane, methyl-, polymer with oxirane, decyl ether</v>
      </c>
      <c r="C46" s="68">
        <f>'36. Generic chemical products'!C6</f>
        <v>0.25</v>
      </c>
      <c r="D46" s="68" t="str">
        <f>'36. Generic chemical products'!D6</f>
        <v>kg</v>
      </c>
      <c r="E46" s="68" t="str">
        <f>'36. Generic chemical products'!E6</f>
        <v>MSDS</v>
      </c>
      <c r="F46" s="68">
        <f>'36. Generic chemical products'!F6</f>
        <v>0</v>
      </c>
      <c r="G46" s="68" t="str">
        <f>'36. Generic chemical products'!G6</f>
        <v>-</v>
      </c>
      <c r="H46" s="68">
        <f>'36. Generic chemical products'!H6</f>
        <v>0</v>
      </c>
      <c r="I46" s="68">
        <f>'36. Generic chemical products'!I6</f>
        <v>0</v>
      </c>
      <c r="J46" s="68">
        <f>'36. Generic chemical products'!J6</f>
        <v>0</v>
      </c>
      <c r="K46" s="68">
        <f>'36. Generic chemical products'!K6</f>
        <v>0</v>
      </c>
      <c r="L46" s="68">
        <f>'36. Generic chemical products'!L6</f>
        <v>0</v>
      </c>
      <c r="M46" s="68" t="str">
        <f>'36. Generic chemical products'!M6</f>
        <v>Oxirane, methyl-, polymer with oxirane, decyl ether</v>
      </c>
      <c r="N46" s="68" t="str">
        <f>'36. Generic chemical products'!N6</f>
        <v>river</v>
      </c>
      <c r="O46" s="68">
        <f>'36. Generic chemical products'!O6</f>
        <v>2.5000000000000001E-2</v>
      </c>
      <c r="P46" s="68" t="str">
        <f>'36. Generic chemical products'!P6</f>
        <v>kg</v>
      </c>
      <c r="Q46" s="68">
        <f>'36. Generic chemical products'!Q6</f>
        <v>0</v>
      </c>
      <c r="R46" s="68">
        <f>'36. Generic chemical products'!R6</f>
        <v>0</v>
      </c>
      <c r="S46" s="68">
        <f>'36. Generic chemical products'!S6</f>
        <v>0</v>
      </c>
      <c r="T46" s="68" t="str">
        <f>'36. Generic chemical products'!T6</f>
        <v>37251-67-5</v>
      </c>
      <c r="U46" s="68">
        <f>'36. Generic chemical products'!U6</f>
        <v>0</v>
      </c>
      <c r="V46" s="68">
        <f>'36. Generic chemical products'!V6</f>
        <v>1.2009414857886904E-7</v>
      </c>
      <c r="W46" s="68">
        <f>'36. Generic chemical products'!W6</f>
        <v>0</v>
      </c>
      <c r="X46" s="68">
        <f>'36. Generic chemical products'!X6</f>
        <v>3.2843909509658706E-7</v>
      </c>
      <c r="Y46" s="68">
        <f>'36. Generic chemical products'!Y6</f>
        <v>14.526941022240393</v>
      </c>
      <c r="Z46" s="68">
        <f>'36. Generic chemical products'!Z6</f>
        <v>111.251141519207</v>
      </c>
      <c r="AA46" s="68" t="str">
        <f>'36. Generic chemical products'!AA6</f>
        <v>Roos 2017</v>
      </c>
      <c r="AB46" s="27">
        <f t="shared" si="10"/>
        <v>0</v>
      </c>
      <c r="AC46" s="29">
        <f t="shared" si="11"/>
        <v>1.5000000000000001E-4</v>
      </c>
      <c r="AD46" s="135">
        <f t="shared" si="0"/>
        <v>0</v>
      </c>
      <c r="AE46" s="135">
        <f t="shared" si="1"/>
        <v>4.9265864264488065E-11</v>
      </c>
      <c r="AF46" s="24">
        <f t="shared" si="2"/>
        <v>1.6687671227881052E-2</v>
      </c>
      <c r="AG46" s="24">
        <f t="shared" si="3"/>
        <v>0</v>
      </c>
      <c r="AH46" s="24">
        <f t="shared" si="4"/>
        <v>0</v>
      </c>
      <c r="AI46" s="24">
        <f t="shared" si="5"/>
        <v>0</v>
      </c>
      <c r="AJ46" s="24">
        <f t="shared" si="6"/>
        <v>0</v>
      </c>
      <c r="AK46" s="24">
        <f t="shared" si="7"/>
        <v>4.9265864264488065E-11</v>
      </c>
      <c r="AL46" s="24">
        <f t="shared" si="8"/>
        <v>1.6687671227881052E-2</v>
      </c>
      <c r="AM46" s="161">
        <f t="shared" si="9"/>
        <v>0</v>
      </c>
      <c r="AN46" s="157">
        <f t="shared" si="9"/>
        <v>4.9265864264488065E-11</v>
      </c>
      <c r="AO46" s="162">
        <f t="shared" si="9"/>
        <v>1.6687671227881052E-2</v>
      </c>
    </row>
    <row r="47" spans="1:41" s="8" customFormat="1" ht="15" customHeight="1" x14ac:dyDescent="0.2">
      <c r="A47" s="68" t="str">
        <f>'36. Generic chemical products'!A7</f>
        <v>Detergent, average (Ultravon EL)</v>
      </c>
      <c r="B47" s="68" t="str">
        <f>'36. Generic chemical products'!B7</f>
        <v>Ethoxylated fatty alcohol (&gt;6 EO)</v>
      </c>
      <c r="C47" s="68">
        <f>'36. Generic chemical products'!C7</f>
        <v>0.1</v>
      </c>
      <c r="D47" s="68" t="str">
        <f>'36. Generic chemical products'!D7</f>
        <v>kg</v>
      </c>
      <c r="E47" s="68" t="str">
        <f>'36. Generic chemical products'!E7</f>
        <v>MSDS</v>
      </c>
      <c r="F47" s="68">
        <f>'36. Generic chemical products'!F7</f>
        <v>0</v>
      </c>
      <c r="G47" s="68" t="str">
        <f>'36. Generic chemical products'!G7</f>
        <v>-</v>
      </c>
      <c r="H47" s="68">
        <f>'36. Generic chemical products'!H7</f>
        <v>0</v>
      </c>
      <c r="I47" s="68">
        <f>'36. Generic chemical products'!I7</f>
        <v>0</v>
      </c>
      <c r="J47" s="68">
        <f>'36. Generic chemical products'!J7</f>
        <v>0</v>
      </c>
      <c r="K47" s="68">
        <f>'36. Generic chemical products'!K7</f>
        <v>0</v>
      </c>
      <c r="L47" s="68">
        <f>'36. Generic chemical products'!L7</f>
        <v>0</v>
      </c>
      <c r="M47" s="68" t="str">
        <f>'36. Generic chemical products'!M7</f>
        <v>Alcohols, c12-14, ethoxylated</v>
      </c>
      <c r="N47" s="68" t="str">
        <f>'36. Generic chemical products'!N7</f>
        <v>river</v>
      </c>
      <c r="O47" s="68">
        <f>'36. Generic chemical products'!O7</f>
        <v>1.0000000000000002E-2</v>
      </c>
      <c r="P47" s="68" t="str">
        <f>'36. Generic chemical products'!P7</f>
        <v>kg</v>
      </c>
      <c r="Q47" s="68">
        <f>'36. Generic chemical products'!Q7</f>
        <v>0</v>
      </c>
      <c r="R47" s="68">
        <f>'36. Generic chemical products'!R7</f>
        <v>0</v>
      </c>
      <c r="S47" s="68">
        <f>'36. Generic chemical products'!S7</f>
        <v>0</v>
      </c>
      <c r="T47" s="68" t="str">
        <f>'36. Generic chemical products'!T7</f>
        <v>69011-36-5</v>
      </c>
      <c r="U47" s="68">
        <f>'36. Generic chemical products'!U7</f>
        <v>0</v>
      </c>
      <c r="V47" s="68">
        <f>'36. Generic chemical products'!V7</f>
        <v>0</v>
      </c>
      <c r="W47" s="68">
        <f>'36. Generic chemical products'!W7</f>
        <v>0</v>
      </c>
      <c r="X47" s="68">
        <f>'36. Generic chemical products'!X7</f>
        <v>0</v>
      </c>
      <c r="Y47" s="68">
        <f>'36. Generic chemical products'!Y7</f>
        <v>47</v>
      </c>
      <c r="Z47" s="68">
        <f>'36. Generic chemical products'!Z7</f>
        <v>913</v>
      </c>
      <c r="AA47" s="68" t="str">
        <f>'36. Generic chemical products'!AA7</f>
        <v>COSMEDE</v>
      </c>
      <c r="AB47" s="27">
        <f t="shared" si="10"/>
        <v>0</v>
      </c>
      <c r="AC47" s="29">
        <f t="shared" si="11"/>
        <v>6.0000000000000015E-5</v>
      </c>
      <c r="AD47" s="135">
        <f t="shared" si="0"/>
        <v>0</v>
      </c>
      <c r="AE47" s="135">
        <f t="shared" si="1"/>
        <v>0</v>
      </c>
      <c r="AF47" s="24">
        <f t="shared" si="2"/>
        <v>5.4780000000000016E-2</v>
      </c>
      <c r="AG47" s="24">
        <f t="shared" si="3"/>
        <v>0</v>
      </c>
      <c r="AH47" s="24">
        <f t="shared" si="4"/>
        <v>0</v>
      </c>
      <c r="AI47" s="24">
        <f t="shared" si="5"/>
        <v>0</v>
      </c>
      <c r="AJ47" s="24">
        <f t="shared" si="6"/>
        <v>0</v>
      </c>
      <c r="AK47" s="24">
        <f t="shared" si="7"/>
        <v>0</v>
      </c>
      <c r="AL47" s="24">
        <f t="shared" si="8"/>
        <v>5.4780000000000016E-2</v>
      </c>
      <c r="AM47" s="161">
        <f t="shared" si="9"/>
        <v>0</v>
      </c>
      <c r="AN47" s="157">
        <f t="shared" si="9"/>
        <v>0</v>
      </c>
      <c r="AO47" s="162">
        <f t="shared" si="9"/>
        <v>5.4780000000000016E-2</v>
      </c>
    </row>
    <row r="48" spans="1:41" s="8" customFormat="1" ht="15" customHeight="1" x14ac:dyDescent="0.2">
      <c r="A48" s="68" t="str">
        <f>'36. Generic chemical products'!A8</f>
        <v>Detergent, average (Ultravon EL)</v>
      </c>
      <c r="B48" s="68" t="str">
        <f>'36. Generic chemical products'!B8</f>
        <v>Sodium mono(2-ethylhexyl)estersulfate</v>
      </c>
      <c r="C48" s="68">
        <f>'36. Generic chemical products'!C8</f>
        <v>0.05</v>
      </c>
      <c r="D48" s="68" t="str">
        <f>'36. Generic chemical products'!D8</f>
        <v>kg</v>
      </c>
      <c r="E48" s="68" t="str">
        <f>'36. Generic chemical products'!E8</f>
        <v>MSDS</v>
      </c>
      <c r="F48" s="68">
        <f>'36. Generic chemical products'!F8</f>
        <v>0</v>
      </c>
      <c r="G48" s="68" t="str">
        <f>'36. Generic chemical products'!G8</f>
        <v>-</v>
      </c>
      <c r="H48" s="68">
        <f>'36. Generic chemical products'!H8</f>
        <v>0</v>
      </c>
      <c r="I48" s="68">
        <f>'36. Generic chemical products'!I8</f>
        <v>0</v>
      </c>
      <c r="J48" s="68">
        <f>'36. Generic chemical products'!J8</f>
        <v>0</v>
      </c>
      <c r="K48" s="68">
        <f>'36. Generic chemical products'!K8</f>
        <v>0</v>
      </c>
      <c r="L48" s="68">
        <f>'36. Generic chemical products'!L8</f>
        <v>0</v>
      </c>
      <c r="M48" s="68" t="str">
        <f>'36. Generic chemical products'!M8</f>
        <v>Sodium mono(2-ethylhexyl)estersulfate</v>
      </c>
      <c r="N48" s="68" t="str">
        <f>'36. Generic chemical products'!N8</f>
        <v>river</v>
      </c>
      <c r="O48" s="68">
        <f>'36. Generic chemical products'!O8</f>
        <v>5.000000000000001E-3</v>
      </c>
      <c r="P48" s="68" t="str">
        <f>'36. Generic chemical products'!P8</f>
        <v>kg</v>
      </c>
      <c r="Q48" s="68">
        <f>'36. Generic chemical products'!Q8</f>
        <v>0</v>
      </c>
      <c r="R48" s="68">
        <f>'36. Generic chemical products'!R8</f>
        <v>0</v>
      </c>
      <c r="S48" s="68">
        <f>'36. Generic chemical products'!S8</f>
        <v>0</v>
      </c>
      <c r="T48" s="68" t="str">
        <f>'36. Generic chemical products'!T8</f>
        <v>126-92-1</v>
      </c>
      <c r="U48" s="68">
        <f>'36. Generic chemical products'!U8</f>
        <v>0</v>
      </c>
      <c r="V48" s="68">
        <f>'36. Generic chemical products'!V8</f>
        <v>0</v>
      </c>
      <c r="W48" s="68">
        <f>'36. Generic chemical products'!W8</f>
        <v>0</v>
      </c>
      <c r="X48" s="68">
        <f>'36. Generic chemical products'!X8</f>
        <v>0</v>
      </c>
      <c r="Y48" s="68">
        <f>'36. Generic chemical products'!Y8</f>
        <v>109.72</v>
      </c>
      <c r="Z48" s="68">
        <f>'36. Generic chemical products'!Z8</f>
        <v>110</v>
      </c>
      <c r="AA48" s="68" t="str">
        <f>'36. Generic chemical products'!AA8</f>
        <v>COSMEDE</v>
      </c>
      <c r="AB48" s="27">
        <f t="shared" si="10"/>
        <v>0</v>
      </c>
      <c r="AC48" s="29">
        <f t="shared" si="11"/>
        <v>3.0000000000000008E-5</v>
      </c>
      <c r="AD48" s="135">
        <f t="shared" si="0"/>
        <v>0</v>
      </c>
      <c r="AE48" s="135">
        <f t="shared" si="1"/>
        <v>0</v>
      </c>
      <c r="AF48" s="24">
        <f t="shared" si="2"/>
        <v>3.3000000000000008E-3</v>
      </c>
      <c r="AG48" s="24">
        <f t="shared" si="3"/>
        <v>0</v>
      </c>
      <c r="AH48" s="24">
        <f t="shared" si="4"/>
        <v>0</v>
      </c>
      <c r="AI48" s="24">
        <f t="shared" si="5"/>
        <v>0</v>
      </c>
      <c r="AJ48" s="24">
        <f t="shared" si="6"/>
        <v>0</v>
      </c>
      <c r="AK48" s="24">
        <f t="shared" si="7"/>
        <v>0</v>
      </c>
      <c r="AL48" s="24">
        <f t="shared" si="8"/>
        <v>3.3000000000000008E-3</v>
      </c>
      <c r="AM48" s="161">
        <f t="shared" si="9"/>
        <v>0</v>
      </c>
      <c r="AN48" s="157">
        <f t="shared" si="9"/>
        <v>0</v>
      </c>
      <c r="AO48" s="162">
        <f t="shared" si="9"/>
        <v>3.3000000000000008E-3</v>
      </c>
    </row>
    <row r="49" spans="1:41" s="8" customFormat="1" ht="15" customHeight="1" x14ac:dyDescent="0.2">
      <c r="A49" s="68" t="str">
        <f>'36. Generic chemical products'!A9</f>
        <v>Detergent, average (Ultravon EL)</v>
      </c>
      <c r="B49" s="68" t="str">
        <f>'36. Generic chemical products'!B9</f>
        <v>Ethylene oxide</v>
      </c>
      <c r="C49" s="68">
        <f>'36. Generic chemical products'!C9</f>
        <v>0</v>
      </c>
      <c r="D49" s="68">
        <f>'36. Generic chemical products'!D9</f>
        <v>0</v>
      </c>
      <c r="E49" s="68" t="str">
        <f>'36. Generic chemical products'!E9</f>
        <v>&lt;= 0.1% in alcohol ethoxylates</v>
      </c>
      <c r="F49" s="68">
        <f>'36. Generic chemical products'!F9</f>
        <v>0</v>
      </c>
      <c r="G49" s="68" t="str">
        <f>'36. Generic chemical products'!G9</f>
        <v>Ethylene oxide</v>
      </c>
      <c r="H49" s="68" t="str">
        <f>'36. Generic chemical products'!H9</f>
        <v>high. pop.</v>
      </c>
      <c r="I49" s="68">
        <f>'36. Generic chemical products'!I9</f>
        <v>1.0000000000000001E-7</v>
      </c>
      <c r="J49" s="68" t="str">
        <f>'36. Generic chemical products'!J9</f>
        <v>kg</v>
      </c>
      <c r="K49" s="68">
        <f>'36. Generic chemical products'!K9</f>
        <v>0</v>
      </c>
      <c r="L49" s="68">
        <f>'36. Generic chemical products'!L9</f>
        <v>0</v>
      </c>
      <c r="M49" s="68" t="str">
        <f>'36. Generic chemical products'!M9</f>
        <v>Ethylene oxide</v>
      </c>
      <c r="N49" s="68" t="str">
        <f>'36. Generic chemical products'!N9</f>
        <v>river</v>
      </c>
      <c r="O49" s="68">
        <f>'36. Generic chemical products'!O9</f>
        <v>1.0000000000000001E-5</v>
      </c>
      <c r="P49" s="68" t="str">
        <f>'36. Generic chemical products'!P9</f>
        <v>kg</v>
      </c>
      <c r="Q49" s="68" t="str">
        <f>'36. Generic chemical products'!Q9</f>
        <v>&lt;= 0.001 in alcohol ethoxylates</v>
      </c>
      <c r="R49" s="68">
        <f>'36. Generic chemical products'!R9</f>
        <v>0</v>
      </c>
      <c r="S49" s="68">
        <f>'36. Generic chemical products'!S9</f>
        <v>0</v>
      </c>
      <c r="T49" s="68" t="str">
        <f>'36. Generic chemical products'!T9</f>
        <v>75-21-8</v>
      </c>
      <c r="U49" s="68">
        <f>'36. Generic chemical products'!U9</f>
        <v>1.0252176328593382E-6</v>
      </c>
      <c r="V49" s="68">
        <f>'36. Generic chemical products'!V9</f>
        <v>0</v>
      </c>
      <c r="W49" s="68">
        <f>'36. Generic chemical products'!W9</f>
        <v>8.6533271568247147E-7</v>
      </c>
      <c r="X49" s="68">
        <f>'36. Generic chemical products'!X9</f>
        <v>0</v>
      </c>
      <c r="Y49" s="68">
        <f>'36. Generic chemical products'!Y9</f>
        <v>0.65406517859613422</v>
      </c>
      <c r="Z49" s="68">
        <f>'36. Generic chemical products'!Z9</f>
        <v>11.248588270889815</v>
      </c>
      <c r="AA49" s="68" t="str">
        <f>'36. Generic chemical products'!AA9</f>
        <v>USEtox</v>
      </c>
      <c r="AB49" s="27">
        <f t="shared" si="10"/>
        <v>6.000000000000001E-10</v>
      </c>
      <c r="AC49" s="29">
        <f t="shared" si="11"/>
        <v>6.0000000000000008E-8</v>
      </c>
      <c r="AD49" s="135">
        <f t="shared" si="0"/>
        <v>5.2535093520663901E-14</v>
      </c>
      <c r="AE49" s="135">
        <f t="shared" si="1"/>
        <v>0</v>
      </c>
      <c r="AF49" s="24">
        <f t="shared" si="2"/>
        <v>6.7530773536054669E-7</v>
      </c>
      <c r="AG49" s="24">
        <f t="shared" si="3"/>
        <v>6.1513057971560301E-16</v>
      </c>
      <c r="AH49" s="24">
        <f t="shared" si="4"/>
        <v>0</v>
      </c>
      <c r="AI49" s="24">
        <f t="shared" si="5"/>
        <v>3.9243910715768061E-10</v>
      </c>
      <c r="AJ49" s="24">
        <f t="shared" si="6"/>
        <v>5.1919962940948298E-14</v>
      </c>
      <c r="AK49" s="24">
        <f t="shared" si="7"/>
        <v>0</v>
      </c>
      <c r="AL49" s="24">
        <f t="shared" si="8"/>
        <v>6.7491529625338905E-7</v>
      </c>
      <c r="AM49" s="161">
        <f t="shared" si="9"/>
        <v>5.2535093520663901E-14</v>
      </c>
      <c r="AN49" s="157">
        <f t="shared" si="9"/>
        <v>0</v>
      </c>
      <c r="AO49" s="162">
        <f t="shared" si="9"/>
        <v>6.7530773536054669E-7</v>
      </c>
    </row>
    <row r="50" spans="1:41" s="49" customFormat="1" ht="15" customHeight="1" x14ac:dyDescent="0.2">
      <c r="A50" s="193" t="str">
        <f>'36. Generic chemical products'!A10</f>
        <v>Detergent, average (Ultravon EL)</v>
      </c>
      <c r="B50" s="193" t="str">
        <f>'36. Generic chemical products'!B10</f>
        <v xml:space="preserve"> </v>
      </c>
      <c r="C50" s="193">
        <f>'36. Generic chemical products'!C10</f>
        <v>0</v>
      </c>
      <c r="D50" s="193">
        <f>'36. Generic chemical products'!D10</f>
        <v>0</v>
      </c>
      <c r="E50" s="193" t="str">
        <f>'36. Generic chemical products'!E10</f>
        <v>Common breakdown product of of acrylics, 0.001 % assumed</v>
      </c>
      <c r="F50" s="193">
        <f>'36. Generic chemical products'!F10</f>
        <v>0</v>
      </c>
      <c r="G50" s="193" t="str">
        <f>'36. Generic chemical products'!G10</f>
        <v>Formaldehyde</v>
      </c>
      <c r="H50" s="193" t="str">
        <f>'36. Generic chemical products'!H10</f>
        <v>high. pop.</v>
      </c>
      <c r="I50" s="193">
        <f>'36. Generic chemical products'!I10</f>
        <v>1.0000000000000001E-7</v>
      </c>
      <c r="J50" s="193" t="str">
        <f>'36. Generic chemical products'!J10</f>
        <v>kg</v>
      </c>
      <c r="K50" s="193">
        <f>'36. Generic chemical products'!K10</f>
        <v>0</v>
      </c>
      <c r="L50" s="193">
        <f>'36. Generic chemical products'!L10</f>
        <v>0</v>
      </c>
      <c r="M50" s="193" t="str">
        <f>'36. Generic chemical products'!M10</f>
        <v>Formaldehyde</v>
      </c>
      <c r="N50" s="193" t="str">
        <f>'36. Generic chemical products'!N10</f>
        <v>river</v>
      </c>
      <c r="O50" s="193">
        <f>'36. Generic chemical products'!O10</f>
        <v>1.0000000000000002E-6</v>
      </c>
      <c r="P50" s="193" t="str">
        <f>'36. Generic chemical products'!P10</f>
        <v>kg</v>
      </c>
      <c r="Q50" s="193" t="str">
        <f>'36. Generic chemical products'!Q10</f>
        <v xml:space="preserve">0.1 % of the content is degraded to common breakdown products. 90% of reactive chemicals are degraded during operations. </v>
      </c>
      <c r="R50" s="193">
        <f>'36. Generic chemical products'!R10</f>
        <v>0</v>
      </c>
      <c r="S50" s="193">
        <f>'36. Generic chemical products'!S10</f>
        <v>0</v>
      </c>
      <c r="T50" s="193" t="str">
        <f>'36. Generic chemical products'!T10</f>
        <v>50-00-0</v>
      </c>
      <c r="U50" s="193">
        <f>'36. Generic chemical products'!U10</f>
        <v>2.5208446330720887E-5</v>
      </c>
      <c r="V50" s="193">
        <f>'36. Generic chemical products'!V10</f>
        <v>2.6504960021309262E-7</v>
      </c>
      <c r="W50" s="193">
        <f>'36. Generic chemical products'!W10</f>
        <v>1.4222228897488039E-7</v>
      </c>
      <c r="X50" s="193">
        <f>'36. Generic chemical products'!X10</f>
        <v>3.170874313501273E-7</v>
      </c>
      <c r="Y50" s="193">
        <f>'36. Generic chemical products'!Y10</f>
        <v>17.989178582912412</v>
      </c>
      <c r="Z50" s="193">
        <f>'36. Generic chemical products'!Z10</f>
        <v>290.05086067463066</v>
      </c>
      <c r="AA50" s="193" t="str">
        <f>'36. Generic chemical products'!AA10</f>
        <v>USEtox</v>
      </c>
      <c r="AB50" s="28">
        <f t="shared" si="10"/>
        <v>6.000000000000001E-10</v>
      </c>
      <c r="AC50" s="146">
        <f t="shared" si="11"/>
        <v>6.0000000000000008E-9</v>
      </c>
      <c r="AD50" s="147">
        <f t="shared" si="0"/>
        <v>1.5978401532281819E-14</v>
      </c>
      <c r="AE50" s="147">
        <f t="shared" si="1"/>
        <v>2.0615543482286197E-15</v>
      </c>
      <c r="AF50" s="25">
        <f t="shared" si="2"/>
        <v>1.7510986711975315E-6</v>
      </c>
      <c r="AG50" s="25">
        <f t="shared" si="3"/>
        <v>1.5125067798432536E-14</v>
      </c>
      <c r="AH50" s="25">
        <f t="shared" si="4"/>
        <v>1.590297601278556E-16</v>
      </c>
      <c r="AI50" s="25">
        <f t="shared" si="5"/>
        <v>1.079350714974745E-8</v>
      </c>
      <c r="AJ50" s="25">
        <f t="shared" si="6"/>
        <v>8.5333373384928251E-16</v>
      </c>
      <c r="AK50" s="25">
        <f t="shared" si="7"/>
        <v>1.9025245881007641E-15</v>
      </c>
      <c r="AL50" s="25">
        <f t="shared" si="8"/>
        <v>1.7403051640477841E-6</v>
      </c>
      <c r="AM50" s="163">
        <f t="shared" si="9"/>
        <v>1.5978401532281819E-14</v>
      </c>
      <c r="AN50" s="164">
        <f t="shared" si="9"/>
        <v>2.0615543482286197E-15</v>
      </c>
      <c r="AO50" s="165">
        <f t="shared" si="9"/>
        <v>1.7510986711975315E-6</v>
      </c>
    </row>
    <row r="51" spans="1:41" s="8" customFormat="1" ht="15" customHeight="1" x14ac:dyDescent="0.2">
      <c r="A51" s="54" t="str">
        <f>'36. Generic chemical products'!A23</f>
        <v>Wetting agent/Penetration agent, worst case (Cottoclarin ok 88 ECO)</v>
      </c>
      <c r="B51" s="54" t="str">
        <f>'36. Generic chemical products'!B23</f>
        <v>Fatty methylester sulfonates (R16) sodium salt</v>
      </c>
      <c r="C51" s="54">
        <f>'36. Generic chemical products'!C23</f>
        <v>0.6</v>
      </c>
      <c r="D51" s="54" t="str">
        <f>'36. Generic chemical products'!D23</f>
        <v>kg</v>
      </c>
      <c r="E51" s="54" t="str">
        <f>'36. Generic chemical products'!E23</f>
        <v>MSDS</v>
      </c>
      <c r="F51" s="54">
        <f>'36. Generic chemical products'!F23</f>
        <v>0</v>
      </c>
      <c r="G51" s="54" t="str">
        <f>'36. Generic chemical products'!G23</f>
        <v>-</v>
      </c>
      <c r="H51" s="54">
        <f>'36. Generic chemical products'!H23</f>
        <v>0</v>
      </c>
      <c r="I51" s="54">
        <f>'36. Generic chemical products'!I23</f>
        <v>0</v>
      </c>
      <c r="J51" s="54">
        <f>'36. Generic chemical products'!J23</f>
        <v>0</v>
      </c>
      <c r="K51" s="54">
        <f>'36. Generic chemical products'!K23</f>
        <v>0</v>
      </c>
      <c r="L51" s="54">
        <f>'36. Generic chemical products'!L23</f>
        <v>0</v>
      </c>
      <c r="M51" s="54" t="str">
        <f>'36. Generic chemical products'!M23</f>
        <v>Fatty methylester sulfonates</v>
      </c>
      <c r="N51" s="54" t="str">
        <f>'36. Generic chemical products'!N23</f>
        <v>river</v>
      </c>
      <c r="O51" s="54">
        <f>'36. Generic chemical products'!O23</f>
        <v>0.06</v>
      </c>
      <c r="P51" s="54" t="str">
        <f>'36. Generic chemical products'!P23</f>
        <v>kg</v>
      </c>
      <c r="Q51" s="54">
        <f>'36. Generic chemical products'!Q23</f>
        <v>0</v>
      </c>
      <c r="R51" s="54">
        <f>'36. Generic chemical products'!R23</f>
        <v>0</v>
      </c>
      <c r="S51" s="54">
        <f>'36. Generic chemical products'!S23</f>
        <v>0</v>
      </c>
      <c r="T51" s="54" t="str">
        <f>'36. Generic chemical products'!T23</f>
        <v>93348-22-2</v>
      </c>
      <c r="U51" s="54">
        <f>'36. Generic chemical products'!U23</f>
        <v>0</v>
      </c>
      <c r="V51" s="54">
        <f>'36. Generic chemical products'!V23</f>
        <v>1.6437731647150863E-6</v>
      </c>
      <c r="W51" s="54">
        <f>'36. Generic chemical products'!W23</f>
        <v>0</v>
      </c>
      <c r="X51" s="54">
        <f>'36. Generic chemical products'!X23</f>
        <v>9.8891167609639291E-6</v>
      </c>
      <c r="Y51" s="54">
        <f>'36. Generic chemical products'!Y23</f>
        <v>25539.178143122717</v>
      </c>
      <c r="Z51" s="54">
        <f>'36. Generic chemical products'!Z23</f>
        <v>766743.80504211958</v>
      </c>
      <c r="AA51" s="54" t="str">
        <f>'36. Generic chemical products'!AA23</f>
        <v>Roos 2017</v>
      </c>
      <c r="AB51" s="27">
        <f>$C$16*I51</f>
        <v>0</v>
      </c>
      <c r="AC51" s="29">
        <f>$C$23*O51</f>
        <v>1.7999999999999998E-4</v>
      </c>
      <c r="AD51" s="135">
        <f t="shared" si="0"/>
        <v>0</v>
      </c>
      <c r="AE51" s="135">
        <f t="shared" si="1"/>
        <v>1.780041016973507E-9</v>
      </c>
      <c r="AF51" s="24">
        <f t="shared" si="2"/>
        <v>138.01388490758151</v>
      </c>
      <c r="AG51" s="24">
        <f t="shared" si="3"/>
        <v>0</v>
      </c>
      <c r="AH51" s="24">
        <f t="shared" si="4"/>
        <v>0</v>
      </c>
      <c r="AI51" s="24">
        <f t="shared" si="5"/>
        <v>0</v>
      </c>
      <c r="AJ51" s="24">
        <f t="shared" si="6"/>
        <v>0</v>
      </c>
      <c r="AK51" s="24">
        <f t="shared" si="7"/>
        <v>1.780041016973507E-9</v>
      </c>
      <c r="AL51" s="24">
        <f t="shared" si="8"/>
        <v>138.01388490758151</v>
      </c>
      <c r="AM51" s="161">
        <f t="shared" si="9"/>
        <v>0</v>
      </c>
      <c r="AN51" s="157">
        <f t="shared" si="9"/>
        <v>1.780041016973507E-9</v>
      </c>
      <c r="AO51" s="162">
        <f t="shared" si="9"/>
        <v>138.01388490758151</v>
      </c>
    </row>
    <row r="52" spans="1:41" s="8" customFormat="1" ht="15" customHeight="1" x14ac:dyDescent="0.2">
      <c r="A52" s="54" t="str">
        <f>'36. Generic chemical products'!A24</f>
        <v>Wetting agent/Penetration agent, worst case (Cottoclarin ok 88 ECO)</v>
      </c>
      <c r="B52" s="54" t="str">
        <f>'36. Generic chemical products'!B24</f>
        <v>Iso-octyl alcohol</v>
      </c>
      <c r="C52" s="54">
        <f>'36. Generic chemical products'!C24</f>
        <v>0.2</v>
      </c>
      <c r="D52" s="54" t="str">
        <f>'36. Generic chemical products'!D24</f>
        <v>kg</v>
      </c>
      <c r="E52" s="54" t="str">
        <f>'36. Generic chemical products'!E24</f>
        <v>MSDS</v>
      </c>
      <c r="F52" s="54">
        <f>'36. Generic chemical products'!F24</f>
        <v>0</v>
      </c>
      <c r="G52" s="54" t="str">
        <f>'36. Generic chemical products'!G24</f>
        <v>Iso-octyl alcohol</v>
      </c>
      <c r="H52" s="54" t="str">
        <f>'36. Generic chemical products'!H24</f>
        <v>high. pop.</v>
      </c>
      <c r="I52" s="54">
        <f>'36. Generic chemical products'!I24</f>
        <v>2.0000000000000001E-4</v>
      </c>
      <c r="J52" s="54" t="str">
        <f>'36. Generic chemical products'!J24</f>
        <v>kg</v>
      </c>
      <c r="K52" s="54">
        <f>'36. Generic chemical products'!K24</f>
        <v>0</v>
      </c>
      <c r="L52" s="54">
        <f>'36. Generic chemical products'!L24</f>
        <v>0</v>
      </c>
      <c r="M52" s="54" t="str">
        <f>'36. Generic chemical products'!M24</f>
        <v>Isooctyl alcohol</v>
      </c>
      <c r="N52" s="54" t="str">
        <f>'36. Generic chemical products'!N24</f>
        <v>river</v>
      </c>
      <c r="O52" s="54">
        <f>'36. Generic chemical products'!O24</f>
        <v>2.0000000000000004E-2</v>
      </c>
      <c r="P52" s="54" t="str">
        <f>'36. Generic chemical products'!P24</f>
        <v>kg</v>
      </c>
      <c r="Q52" s="54">
        <f>'36. Generic chemical products'!Q24</f>
        <v>0</v>
      </c>
      <c r="R52" s="54">
        <f>'36. Generic chemical products'!R24</f>
        <v>0</v>
      </c>
      <c r="S52" s="54">
        <f>'36. Generic chemical products'!S24</f>
        <v>0</v>
      </c>
      <c r="T52" s="54" t="str">
        <f>'36. Generic chemical products'!T24</f>
        <v>104-76-7</v>
      </c>
      <c r="U52" s="54">
        <f>'36. Generic chemical products'!U24</f>
        <v>3.1027213023718394E-8</v>
      </c>
      <c r="V52" s="54">
        <f>'36. Generic chemical products'!V24</f>
        <v>0</v>
      </c>
      <c r="W52" s="54">
        <f>'36. Generic chemical products'!W24</f>
        <v>1.7206281348183625E-8</v>
      </c>
      <c r="X52" s="54">
        <f>'36. Generic chemical products'!X24</f>
        <v>0</v>
      </c>
      <c r="Y52" s="54">
        <f>'36. Generic chemical products'!Y24</f>
        <v>2.6323079574736696</v>
      </c>
      <c r="Z52" s="54">
        <f>'36. Generic chemical products'!Z24</f>
        <v>191.63613931032927</v>
      </c>
      <c r="AA52" s="54" t="str">
        <f>'36. Generic chemical products'!AA24</f>
        <v>USEtox</v>
      </c>
      <c r="AB52" s="27">
        <f>$C$16*I52</f>
        <v>6.0000000000000008E-7</v>
      </c>
      <c r="AC52" s="29">
        <f>$C$23*O52</f>
        <v>6.0000000000000015E-5</v>
      </c>
      <c r="AD52" s="135">
        <f t="shared" si="0"/>
        <v>1.0509932087052489E-12</v>
      </c>
      <c r="AE52" s="135">
        <f t="shared" si="1"/>
        <v>0</v>
      </c>
      <c r="AF52" s="24">
        <f t="shared" si="2"/>
        <v>1.1499747743394243E-2</v>
      </c>
      <c r="AG52" s="24">
        <f t="shared" si="3"/>
        <v>1.861632781423104E-14</v>
      </c>
      <c r="AH52" s="24">
        <f t="shared" si="4"/>
        <v>0</v>
      </c>
      <c r="AI52" s="24">
        <f t="shared" si="5"/>
        <v>1.579384774484202E-6</v>
      </c>
      <c r="AJ52" s="24">
        <f t="shared" si="6"/>
        <v>1.0323768808910179E-12</v>
      </c>
      <c r="AK52" s="24">
        <f t="shared" si="7"/>
        <v>0</v>
      </c>
      <c r="AL52" s="24">
        <f t="shared" si="8"/>
        <v>1.1498168358619758E-2</v>
      </c>
      <c r="AM52" s="161">
        <f t="shared" si="9"/>
        <v>1.0509932087052489E-12</v>
      </c>
      <c r="AN52" s="157">
        <f t="shared" si="9"/>
        <v>0</v>
      </c>
      <c r="AO52" s="162">
        <f t="shared" si="9"/>
        <v>1.1499747743394243E-2</v>
      </c>
    </row>
    <row r="53" spans="1:41" s="8" customFormat="1" ht="15" customHeight="1" x14ac:dyDescent="0.2">
      <c r="A53" s="54" t="str">
        <f>'36. Generic chemical products'!A25</f>
        <v>Wetting agent/Penetration agent, worst case (Cottoclarin ok 88 ECO)</v>
      </c>
      <c r="B53" s="54" t="str">
        <f>'36. Generic chemical products'!B25</f>
        <v>Ethoxylated alcohol (NPEO)</v>
      </c>
      <c r="C53" s="54">
        <f>'36. Generic chemical products'!C25</f>
        <v>0.1</v>
      </c>
      <c r="D53" s="54" t="str">
        <f>'36. Generic chemical products'!D25</f>
        <v>kg</v>
      </c>
      <c r="E53" s="54" t="str">
        <f>'36. Generic chemical products'!E25</f>
        <v>MSDS</v>
      </c>
      <c r="F53" s="54">
        <f>'36. Generic chemical products'!F25</f>
        <v>0</v>
      </c>
      <c r="G53" s="54" t="str">
        <f>'36. Generic chemical products'!G25</f>
        <v>Nonylphenol ethoxylate (NPEO)</v>
      </c>
      <c r="H53" s="54" t="str">
        <f>'36. Generic chemical products'!H25</f>
        <v>high. pop.</v>
      </c>
      <c r="I53" s="54">
        <f>'36. Generic chemical products'!I25</f>
        <v>1E-4</v>
      </c>
      <c r="J53" s="54" t="str">
        <f>'36. Generic chemical products'!J25</f>
        <v>kg</v>
      </c>
      <c r="K53" s="54">
        <f>'36. Generic chemical products'!K25</f>
        <v>0</v>
      </c>
      <c r="L53" s="54">
        <f>'36. Generic chemical products'!L25</f>
        <v>0</v>
      </c>
      <c r="M53" s="54" t="str">
        <f>'36. Generic chemical products'!M25</f>
        <v>Nonylphenol ethoxylate (NPEO)</v>
      </c>
      <c r="N53" s="54" t="str">
        <f>'36. Generic chemical products'!N25</f>
        <v>river</v>
      </c>
      <c r="O53" s="54">
        <f>'36. Generic chemical products'!O25</f>
        <v>1.0000000000000002E-2</v>
      </c>
      <c r="P53" s="54" t="str">
        <f>'36. Generic chemical products'!P25</f>
        <v>kg</v>
      </c>
      <c r="Q53" s="54">
        <f>'36. Generic chemical products'!Q25</f>
        <v>0</v>
      </c>
      <c r="R53" s="54">
        <f>'36. Generic chemical products'!R25</f>
        <v>0</v>
      </c>
      <c r="S53" s="54">
        <f>'36. Generic chemical products'!S25</f>
        <v>0</v>
      </c>
      <c r="T53" s="54" t="str">
        <f>'36. Generic chemical products'!T25</f>
        <v>9016-45-9</v>
      </c>
      <c r="U53" s="54">
        <f>'36. Generic chemical products'!U25</f>
        <v>0</v>
      </c>
      <c r="V53" s="54">
        <f>'36. Generic chemical products'!V25</f>
        <v>0</v>
      </c>
      <c r="W53" s="54">
        <f>'36. Generic chemical products'!W25</f>
        <v>0</v>
      </c>
      <c r="X53" s="54">
        <f>'36. Generic chemical products'!X25</f>
        <v>0</v>
      </c>
      <c r="Y53" s="54">
        <f>'36. Generic chemical products'!Y25</f>
        <v>63</v>
      </c>
      <c r="Z53" s="54">
        <f>'36. Generic chemical products'!Z25</f>
        <v>2910</v>
      </c>
      <c r="AA53" s="54" t="str">
        <f>'36. Generic chemical products'!AA25</f>
        <v>COSMEDE</v>
      </c>
      <c r="AB53" s="27">
        <f>$C$16*I53</f>
        <v>3.0000000000000004E-7</v>
      </c>
      <c r="AC53" s="29">
        <f>$C$23*O53</f>
        <v>3.0000000000000008E-5</v>
      </c>
      <c r="AD53" s="135">
        <f t="shared" si="0"/>
        <v>0</v>
      </c>
      <c r="AE53" s="135">
        <f t="shared" si="1"/>
        <v>0</v>
      </c>
      <c r="AF53" s="24">
        <f t="shared" si="2"/>
        <v>8.7318900000000019E-2</v>
      </c>
      <c r="AG53" s="24">
        <f t="shared" si="3"/>
        <v>0</v>
      </c>
      <c r="AH53" s="24">
        <f t="shared" si="4"/>
        <v>0</v>
      </c>
      <c r="AI53" s="24">
        <f t="shared" si="5"/>
        <v>1.8900000000000002E-5</v>
      </c>
      <c r="AJ53" s="24">
        <f t="shared" si="6"/>
        <v>0</v>
      </c>
      <c r="AK53" s="24">
        <f t="shared" si="7"/>
        <v>0</v>
      </c>
      <c r="AL53" s="24">
        <f t="shared" si="8"/>
        <v>8.7300000000000016E-2</v>
      </c>
      <c r="AM53" s="161">
        <f t="shared" si="9"/>
        <v>0</v>
      </c>
      <c r="AN53" s="157">
        <f t="shared" si="9"/>
        <v>0</v>
      </c>
      <c r="AO53" s="162">
        <f t="shared" si="9"/>
        <v>8.7318900000000019E-2</v>
      </c>
    </row>
    <row r="54" spans="1:41" s="49" customFormat="1" ht="15" customHeight="1" x14ac:dyDescent="0.2">
      <c r="A54" s="141" t="str">
        <f>'36. Generic chemical products'!A26</f>
        <v>Wetting agent/Penetration agent, worst case (Cottoclarin ok 88 ECO)</v>
      </c>
      <c r="B54" s="141" t="str">
        <f>'36. Generic chemical products'!B26</f>
        <v>Nonylphenol</v>
      </c>
      <c r="C54" s="141">
        <f>'36. Generic chemical products'!C26</f>
        <v>0</v>
      </c>
      <c r="D54" s="141">
        <f>'36. Generic chemical products'!D26</f>
        <v>0</v>
      </c>
      <c r="E54" s="141" t="str">
        <f>'36. Generic chemical products'!E26</f>
        <v>Breakdown product</v>
      </c>
      <c r="F54" s="141">
        <f>'36. Generic chemical products'!F26</f>
        <v>0</v>
      </c>
      <c r="G54" s="141" t="str">
        <f>'36. Generic chemical products'!G26</f>
        <v>-</v>
      </c>
      <c r="H54" s="141">
        <f>'36. Generic chemical products'!H26</f>
        <v>0</v>
      </c>
      <c r="I54" s="141">
        <f>'36. Generic chemical products'!I26</f>
        <v>0</v>
      </c>
      <c r="J54" s="141">
        <f>'36. Generic chemical products'!J26</f>
        <v>0</v>
      </c>
      <c r="K54" s="141">
        <f>'36. Generic chemical products'!K26</f>
        <v>0</v>
      </c>
      <c r="L54" s="141">
        <f>'36. Generic chemical products'!L26</f>
        <v>0</v>
      </c>
      <c r="M54" s="141" t="str">
        <f>'36. Generic chemical products'!M26</f>
        <v>Nonylphenol</v>
      </c>
      <c r="N54" s="141" t="str">
        <f>'36. Generic chemical products'!N26</f>
        <v>river</v>
      </c>
      <c r="O54" s="141">
        <f>'36. Generic chemical products'!O26</f>
        <v>1.0000000000000001E-5</v>
      </c>
      <c r="P54" s="141" t="str">
        <f>'36. Generic chemical products'!P26</f>
        <v>kg</v>
      </c>
      <c r="Q54" s="141" t="str">
        <f>'36. Generic chemical products'!Q26</f>
        <v>0.1 % of the content is degraded to common breakdown products.</v>
      </c>
      <c r="R54" s="141">
        <f>'36. Generic chemical products'!R26</f>
        <v>0</v>
      </c>
      <c r="S54" s="141">
        <f>'36. Generic chemical products'!S26</f>
        <v>0</v>
      </c>
      <c r="T54" s="141" t="str">
        <f>'36. Generic chemical products'!T26</f>
        <v>25154-52-3</v>
      </c>
      <c r="U54" s="141">
        <f>'36. Generic chemical products'!U26</f>
        <v>0</v>
      </c>
      <c r="V54" s="141">
        <f>'36. Generic chemical products'!V26</f>
        <v>0</v>
      </c>
      <c r="W54" s="141">
        <f>'36. Generic chemical products'!W26</f>
        <v>0</v>
      </c>
      <c r="X54" s="141">
        <f>'36. Generic chemical products'!X26</f>
        <v>0</v>
      </c>
      <c r="Y54" s="141">
        <f>'36. Generic chemical products'!Y26</f>
        <v>63.500038841149426</v>
      </c>
      <c r="Z54" s="141">
        <f>'36. Generic chemical products'!Z26</f>
        <v>10848.472578502809</v>
      </c>
      <c r="AA54" s="141" t="str">
        <f>'36. Generic chemical products'!AA26</f>
        <v>USEtox</v>
      </c>
      <c r="AB54" s="28">
        <f>$C$16*I54</f>
        <v>0</v>
      </c>
      <c r="AC54" s="146">
        <f>$C$23*O54</f>
        <v>3.0000000000000004E-8</v>
      </c>
      <c r="AD54" s="147">
        <f t="shared" si="0"/>
        <v>0</v>
      </c>
      <c r="AE54" s="147">
        <f t="shared" si="1"/>
        <v>0</v>
      </c>
      <c r="AF54" s="25">
        <f t="shared" si="2"/>
        <v>3.2545417735508432E-4</v>
      </c>
      <c r="AG54" s="25">
        <f t="shared" si="3"/>
        <v>0</v>
      </c>
      <c r="AH54" s="25">
        <f t="shared" si="4"/>
        <v>0</v>
      </c>
      <c r="AI54" s="25">
        <f t="shared" si="5"/>
        <v>0</v>
      </c>
      <c r="AJ54" s="25">
        <f t="shared" si="6"/>
        <v>0</v>
      </c>
      <c r="AK54" s="25">
        <f t="shared" si="7"/>
        <v>0</v>
      </c>
      <c r="AL54" s="25">
        <f t="shared" si="8"/>
        <v>3.2545417735508432E-4</v>
      </c>
      <c r="AM54" s="163">
        <f t="shared" si="9"/>
        <v>0</v>
      </c>
      <c r="AN54" s="164">
        <f t="shared" si="9"/>
        <v>0</v>
      </c>
      <c r="AO54" s="165">
        <f t="shared" si="9"/>
        <v>3.2545417735508432E-4</v>
      </c>
    </row>
    <row r="55" spans="1:41" s="8" customFormat="1" ht="15" customHeight="1" x14ac:dyDescent="0.2">
      <c r="A55" s="68" t="str">
        <f>'36. Generic chemical products'!A12</f>
        <v>Peroxide stabilizer, average (Clarite 3X)</v>
      </c>
      <c r="B55" s="68" t="str">
        <f>'36. Generic chemical products'!B12</f>
        <v>Polyacrylic acid, sodium salt</v>
      </c>
      <c r="C55" s="68">
        <f>'36. Generic chemical products'!C12</f>
        <v>0.1</v>
      </c>
      <c r="D55" s="68" t="str">
        <f>'36. Generic chemical products'!D12</f>
        <v>kg</v>
      </c>
      <c r="E55" s="68" t="str">
        <f>'36. Generic chemical products'!E12</f>
        <v>MSDS + Expert estimation for concentration</v>
      </c>
      <c r="F55" s="68">
        <f>'36. Generic chemical products'!F12</f>
        <v>0</v>
      </c>
      <c r="G55" s="68" t="str">
        <f>'36. Generic chemical products'!G12</f>
        <v>-</v>
      </c>
      <c r="H55" s="68">
        <f>'36. Generic chemical products'!H12</f>
        <v>0</v>
      </c>
      <c r="I55" s="68">
        <f>'36. Generic chemical products'!I12</f>
        <v>0</v>
      </c>
      <c r="J55" s="68">
        <f>'36. Generic chemical products'!J12</f>
        <v>0</v>
      </c>
      <c r="K55" s="68">
        <f>'36. Generic chemical products'!K12</f>
        <v>0</v>
      </c>
      <c r="L55" s="68">
        <f>'36. Generic chemical products'!L12</f>
        <v>0</v>
      </c>
      <c r="M55" s="68" t="str">
        <f>'36. Generic chemical products'!M12</f>
        <v>Polyacrylic acid, sodium salt</v>
      </c>
      <c r="N55" s="68" t="str">
        <f>'36. Generic chemical products'!N12</f>
        <v>river</v>
      </c>
      <c r="O55" s="68">
        <f>'36. Generic chemical products'!O12</f>
        <v>1.0000000000000002E-2</v>
      </c>
      <c r="P55" s="68" t="str">
        <f>'36. Generic chemical products'!P12</f>
        <v>kg</v>
      </c>
      <c r="Q55" s="68">
        <f>'36. Generic chemical products'!Q12</f>
        <v>0</v>
      </c>
      <c r="R55" s="68">
        <f>'36. Generic chemical products'!R12</f>
        <v>0</v>
      </c>
      <c r="S55" s="68">
        <f>'36. Generic chemical products'!S12</f>
        <v>0</v>
      </c>
      <c r="T55" s="68" t="str">
        <f>'36. Generic chemical products'!T12</f>
        <v>9003-04-7</v>
      </c>
      <c r="U55" s="68">
        <f>'36. Generic chemical products'!U12</f>
        <v>0</v>
      </c>
      <c r="V55" s="68">
        <f>'36. Generic chemical products'!V12</f>
        <v>0</v>
      </c>
      <c r="W55" s="68">
        <f>'36. Generic chemical products'!W12</f>
        <v>0</v>
      </c>
      <c r="X55" s="68">
        <f>'36. Generic chemical products'!X12</f>
        <v>0</v>
      </c>
      <c r="Y55" s="68">
        <f>'36. Generic chemical products'!Y12</f>
        <v>7.06</v>
      </c>
      <c r="Z55" s="68">
        <f>'36. Generic chemical products'!Z12</f>
        <v>78.599999999999994</v>
      </c>
      <c r="AA55" s="68" t="str">
        <f>'36. Generic chemical products'!AA12</f>
        <v>COSMEDE</v>
      </c>
      <c r="AB55" s="27">
        <f>$C$17*I55</f>
        <v>0</v>
      </c>
      <c r="AC55" s="29">
        <f>$C$24*O55</f>
        <v>3.0000000000000008E-5</v>
      </c>
      <c r="AD55" s="135">
        <f t="shared" si="0"/>
        <v>0</v>
      </c>
      <c r="AE55" s="135">
        <f t="shared" si="1"/>
        <v>0</v>
      </c>
      <c r="AF55" s="24">
        <f t="shared" si="2"/>
        <v>2.3580000000000003E-3</v>
      </c>
      <c r="AG55" s="24">
        <f t="shared" si="3"/>
        <v>0</v>
      </c>
      <c r="AH55" s="24">
        <f t="shared" si="4"/>
        <v>0</v>
      </c>
      <c r="AI55" s="24">
        <f t="shared" si="5"/>
        <v>0</v>
      </c>
      <c r="AJ55" s="24">
        <f t="shared" si="6"/>
        <v>0</v>
      </c>
      <c r="AK55" s="24">
        <f t="shared" si="7"/>
        <v>0</v>
      </c>
      <c r="AL55" s="24">
        <f t="shared" si="8"/>
        <v>2.3580000000000003E-3</v>
      </c>
      <c r="AM55" s="161">
        <f t="shared" si="9"/>
        <v>0</v>
      </c>
      <c r="AN55" s="157">
        <f t="shared" si="9"/>
        <v>0</v>
      </c>
      <c r="AO55" s="162">
        <f t="shared" si="9"/>
        <v>2.3580000000000003E-3</v>
      </c>
    </row>
    <row r="56" spans="1:41" s="8" customFormat="1" ht="15" customHeight="1" x14ac:dyDescent="0.2">
      <c r="A56" s="68" t="str">
        <f>'36. Generic chemical products'!A13</f>
        <v>Peroxide stabilizer, average (Clarite 3X)</v>
      </c>
      <c r="B56" s="68" t="str">
        <f>'36. Generic chemical products'!B13</f>
        <v>Phosphonic acid, disodium salt</v>
      </c>
      <c r="C56" s="68">
        <f>'36. Generic chemical products'!C13</f>
        <v>0.1</v>
      </c>
      <c r="D56" s="68" t="str">
        <f>'36. Generic chemical products'!D13</f>
        <v>kg</v>
      </c>
      <c r="E56" s="68" t="str">
        <f>'36. Generic chemical products'!E13</f>
        <v>MSDS + Expert estimation for concentration</v>
      </c>
      <c r="F56" s="68">
        <f>'36. Generic chemical products'!F13</f>
        <v>0</v>
      </c>
      <c r="G56" s="68" t="str">
        <f>'36. Generic chemical products'!G13</f>
        <v>-</v>
      </c>
      <c r="H56" s="68">
        <f>'36. Generic chemical products'!H13</f>
        <v>0</v>
      </c>
      <c r="I56" s="68">
        <f>'36. Generic chemical products'!I13</f>
        <v>0</v>
      </c>
      <c r="J56" s="68">
        <f>'36. Generic chemical products'!J13</f>
        <v>0</v>
      </c>
      <c r="K56" s="68">
        <f>'36. Generic chemical products'!K13</f>
        <v>0</v>
      </c>
      <c r="L56" s="68">
        <f>'36. Generic chemical products'!L13</f>
        <v>0</v>
      </c>
      <c r="M56" s="68" t="str">
        <f>'36. Generic chemical products'!M13</f>
        <v>Phosphonic acid</v>
      </c>
      <c r="N56" s="68" t="str">
        <f>'36. Generic chemical products'!N13</f>
        <v>river</v>
      </c>
      <c r="O56" s="68">
        <f>'36. Generic chemical products'!O13</f>
        <v>1.0000000000000002E-2</v>
      </c>
      <c r="P56" s="68" t="str">
        <f>'36. Generic chemical products'!P13</f>
        <v>kg</v>
      </c>
      <c r="Q56" s="68">
        <f>'36. Generic chemical products'!Q13</f>
        <v>0</v>
      </c>
      <c r="R56" s="68">
        <f>'36. Generic chemical products'!R13</f>
        <v>0</v>
      </c>
      <c r="S56" s="68">
        <f>'36. Generic chemical products'!S13</f>
        <v>0</v>
      </c>
      <c r="T56" s="68" t="str">
        <f>'36. Generic chemical products'!T13</f>
        <v>13708-85-5</v>
      </c>
      <c r="U56" s="68">
        <f>'36. Generic chemical products'!U13</f>
        <v>0</v>
      </c>
      <c r="V56" s="68">
        <f>'36. Generic chemical products'!V13</f>
        <v>2.5624272316803493E-8</v>
      </c>
      <c r="W56" s="68">
        <f>'36. Generic chemical products'!W13</f>
        <v>0</v>
      </c>
      <c r="X56" s="68">
        <f>'36. Generic chemical products'!X13</f>
        <v>6.1179997974786175E-9</v>
      </c>
      <c r="Y56" s="68">
        <f>'36. Generic chemical products'!Y13</f>
        <v>95.727827940780713</v>
      </c>
      <c r="Z56" s="68">
        <f>'36. Generic chemical products'!Z13</f>
        <v>451.93033608164546</v>
      </c>
      <c r="AA56" s="68" t="str">
        <f>'36. Generic chemical products'!AA13</f>
        <v>Roos 2017</v>
      </c>
      <c r="AB56" s="27">
        <f>$C$17*I56</f>
        <v>0</v>
      </c>
      <c r="AC56" s="29">
        <f>$C$24*O56</f>
        <v>3.0000000000000008E-5</v>
      </c>
      <c r="AD56" s="135">
        <f t="shared" si="0"/>
        <v>0</v>
      </c>
      <c r="AE56" s="135">
        <f t="shared" si="1"/>
        <v>1.8353999392435857E-13</v>
      </c>
      <c r="AF56" s="24">
        <f t="shared" si="2"/>
        <v>1.3557910082449368E-2</v>
      </c>
      <c r="AG56" s="24">
        <f t="shared" si="3"/>
        <v>0</v>
      </c>
      <c r="AH56" s="24">
        <f t="shared" si="4"/>
        <v>0</v>
      </c>
      <c r="AI56" s="24">
        <f t="shared" si="5"/>
        <v>0</v>
      </c>
      <c r="AJ56" s="24">
        <f t="shared" si="6"/>
        <v>0</v>
      </c>
      <c r="AK56" s="24">
        <f t="shared" si="7"/>
        <v>1.8353999392435857E-13</v>
      </c>
      <c r="AL56" s="24">
        <f t="shared" si="8"/>
        <v>1.3557910082449368E-2</v>
      </c>
      <c r="AM56" s="161">
        <f t="shared" si="9"/>
        <v>0</v>
      </c>
      <c r="AN56" s="157">
        <f t="shared" si="9"/>
        <v>1.8353999392435857E-13</v>
      </c>
      <c r="AO56" s="162">
        <f t="shared" si="9"/>
        <v>1.3557910082449368E-2</v>
      </c>
    </row>
    <row r="57" spans="1:41" s="8" customFormat="1" ht="15" customHeight="1" x14ac:dyDescent="0.2">
      <c r="A57" s="68" t="str">
        <f>'36. Generic chemical products'!A14</f>
        <v>Peroxide stabilizer, average (Clarite 3X)</v>
      </c>
      <c r="B57" s="68" t="str">
        <f>'36. Generic chemical products'!B14</f>
        <v>Magnesium chloride</v>
      </c>
      <c r="C57" s="68">
        <f>'36. Generic chemical products'!C14</f>
        <v>5.0000000000000001E-3</v>
      </c>
      <c r="D57" s="68" t="str">
        <f>'36. Generic chemical products'!D14</f>
        <v>kg</v>
      </c>
      <c r="E57" s="68" t="str">
        <f>'36. Generic chemical products'!E14</f>
        <v>MSDS + Expert estimation for concentration</v>
      </c>
      <c r="F57" s="68">
        <f>'36. Generic chemical products'!F14</f>
        <v>0</v>
      </c>
      <c r="G57" s="68" t="str">
        <f>'36. Generic chemical products'!G14</f>
        <v>-</v>
      </c>
      <c r="H57" s="68">
        <f>'36. Generic chemical products'!H14</f>
        <v>0</v>
      </c>
      <c r="I57" s="68">
        <f>'36. Generic chemical products'!I14</f>
        <v>0</v>
      </c>
      <c r="J57" s="68">
        <f>'36. Generic chemical products'!J14</f>
        <v>0</v>
      </c>
      <c r="K57" s="68" t="str">
        <f>'36. Generic chemical products'!K14</f>
        <v>Worst case - mist carries substance</v>
      </c>
      <c r="L57" s="68">
        <f>'36. Generic chemical products'!L14</f>
        <v>0</v>
      </c>
      <c r="M57" s="68" t="str">
        <f>'36. Generic chemical products'!M14</f>
        <v>Magnesium chloride</v>
      </c>
      <c r="N57" s="68" t="str">
        <f>'36. Generic chemical products'!N14</f>
        <v>river</v>
      </c>
      <c r="O57" s="68">
        <f>'36. Generic chemical products'!O14</f>
        <v>5.0000000000000001E-4</v>
      </c>
      <c r="P57" s="68" t="str">
        <f>'36. Generic chemical products'!P14</f>
        <v>kg</v>
      </c>
      <c r="Q57" s="68">
        <f>'36. Generic chemical products'!Q14</f>
        <v>0</v>
      </c>
      <c r="R57" s="68">
        <f>'36. Generic chemical products'!R14</f>
        <v>0</v>
      </c>
      <c r="S57" s="68">
        <f>'36. Generic chemical products'!S14</f>
        <v>0</v>
      </c>
      <c r="T57" s="68" t="str">
        <f>'36. Generic chemical products'!T14</f>
        <v>7786-30-3</v>
      </c>
      <c r="U57" s="68">
        <f>'36. Generic chemical products'!U14</f>
        <v>0</v>
      </c>
      <c r="V57" s="68">
        <f>'36. Generic chemical products'!V14</f>
        <v>0</v>
      </c>
      <c r="W57" s="68">
        <f>'36. Generic chemical products'!W14</f>
        <v>0</v>
      </c>
      <c r="X57" s="68">
        <f>'36. Generic chemical products'!X14</f>
        <v>0</v>
      </c>
      <c r="Y57" s="68">
        <f>'36. Generic chemical products'!Y14</f>
        <v>7.4</v>
      </c>
      <c r="Z57" s="68">
        <f>'36. Generic chemical products'!Z14</f>
        <v>17.7</v>
      </c>
      <c r="AA57" s="68" t="str">
        <f>'36. Generic chemical products'!AA14</f>
        <v>COSMEDE</v>
      </c>
      <c r="AB57" s="27">
        <f>$C$17*I57</f>
        <v>0</v>
      </c>
      <c r="AC57" s="29">
        <f>$C$24*O57</f>
        <v>1.5E-6</v>
      </c>
      <c r="AD57" s="135">
        <f t="shared" si="0"/>
        <v>0</v>
      </c>
      <c r="AE57" s="135">
        <f t="shared" si="1"/>
        <v>0</v>
      </c>
      <c r="AF57" s="24">
        <f t="shared" si="2"/>
        <v>2.6549999999999998E-5</v>
      </c>
      <c r="AG57" s="24">
        <f t="shared" si="3"/>
        <v>0</v>
      </c>
      <c r="AH57" s="24">
        <f t="shared" si="4"/>
        <v>0</v>
      </c>
      <c r="AI57" s="24">
        <f t="shared" si="5"/>
        <v>0</v>
      </c>
      <c r="AJ57" s="24">
        <f t="shared" si="6"/>
        <v>0</v>
      </c>
      <c r="AK57" s="24">
        <f t="shared" si="7"/>
        <v>0</v>
      </c>
      <c r="AL57" s="24">
        <f t="shared" si="8"/>
        <v>2.6549999999999998E-5</v>
      </c>
      <c r="AM57" s="161">
        <f t="shared" si="9"/>
        <v>0</v>
      </c>
      <c r="AN57" s="157">
        <f t="shared" si="9"/>
        <v>0</v>
      </c>
      <c r="AO57" s="162">
        <f t="shared" si="9"/>
        <v>2.6549999999999998E-5</v>
      </c>
    </row>
    <row r="58" spans="1:41" s="49" customFormat="1" ht="15" customHeight="1" x14ac:dyDescent="0.2">
      <c r="A58" s="193" t="str">
        <f>'36. Generic chemical products'!A15</f>
        <v>Peroxide stabilizer, average (Clarite 3X)</v>
      </c>
      <c r="B58" s="193" t="str">
        <f>'36. Generic chemical products'!B15</f>
        <v xml:space="preserve"> </v>
      </c>
      <c r="C58" s="193">
        <f>'36. Generic chemical products'!C15</f>
        <v>0</v>
      </c>
      <c r="D58" s="193">
        <f>'36. Generic chemical products'!D15</f>
        <v>0</v>
      </c>
      <c r="E58" s="193" t="str">
        <f>'36. Generic chemical products'!E15</f>
        <v>Common breakdown product of of acrylics, 0.001 % assumed</v>
      </c>
      <c r="F58" s="193">
        <f>'36. Generic chemical products'!F15</f>
        <v>0</v>
      </c>
      <c r="G58" s="193" t="str">
        <f>'36. Generic chemical products'!G15</f>
        <v>Formaldehyde</v>
      </c>
      <c r="H58" s="193" t="str">
        <f>'36. Generic chemical products'!H15</f>
        <v>high. pop.</v>
      </c>
      <c r="I58" s="193">
        <f>'36. Generic chemical products'!I15</f>
        <v>1.0000000000000001E-7</v>
      </c>
      <c r="J58" s="193" t="str">
        <f>'36. Generic chemical products'!J15</f>
        <v>kg</v>
      </c>
      <c r="K58" s="193">
        <f>'36. Generic chemical products'!K15</f>
        <v>0</v>
      </c>
      <c r="L58" s="193">
        <f>'36. Generic chemical products'!L15</f>
        <v>0</v>
      </c>
      <c r="M58" s="193" t="str">
        <f>'36. Generic chemical products'!M15</f>
        <v>Formaldehyde</v>
      </c>
      <c r="N58" s="193" t="str">
        <f>'36. Generic chemical products'!N15</f>
        <v>river</v>
      </c>
      <c r="O58" s="193">
        <f>'36. Generic chemical products'!O15</f>
        <v>1.0000000000000002E-6</v>
      </c>
      <c r="P58" s="193" t="str">
        <f>'36. Generic chemical products'!P15</f>
        <v>kg</v>
      </c>
      <c r="Q58" s="193" t="str">
        <f>'36. Generic chemical products'!Q15</f>
        <v xml:space="preserve">0.1 % of the content is degraded to common breakdown products. 90% of reactive chemicals are degraded during operations. </v>
      </c>
      <c r="R58" s="193">
        <f>'36. Generic chemical products'!R15</f>
        <v>0</v>
      </c>
      <c r="S58" s="193">
        <f>'36. Generic chemical products'!S15</f>
        <v>0</v>
      </c>
      <c r="T58" s="193" t="str">
        <f>'36. Generic chemical products'!T15</f>
        <v>50-00-0</v>
      </c>
      <c r="U58" s="193">
        <f>'36. Generic chemical products'!U15</f>
        <v>2.5208446330720887E-5</v>
      </c>
      <c r="V58" s="193">
        <f>'36. Generic chemical products'!V15</f>
        <v>2.6504960021309262E-7</v>
      </c>
      <c r="W58" s="193">
        <f>'36. Generic chemical products'!W15</f>
        <v>1.4222228897488039E-7</v>
      </c>
      <c r="X58" s="193">
        <f>'36. Generic chemical products'!X15</f>
        <v>3.170874313501273E-7</v>
      </c>
      <c r="Y58" s="193">
        <f>'36. Generic chemical products'!Y15</f>
        <v>17.989178582912412</v>
      </c>
      <c r="Z58" s="193">
        <f>'36. Generic chemical products'!Z15</f>
        <v>290.05086067463066</v>
      </c>
      <c r="AA58" s="193" t="str">
        <f>'36. Generic chemical products'!AA15</f>
        <v>USEtox</v>
      </c>
      <c r="AB58" s="28">
        <f>$C$17*I58</f>
        <v>3.0000000000000005E-10</v>
      </c>
      <c r="AC58" s="146">
        <f>$C$24*O58</f>
        <v>3.0000000000000004E-9</v>
      </c>
      <c r="AD58" s="147">
        <f t="shared" si="0"/>
        <v>7.9892007661409094E-15</v>
      </c>
      <c r="AE58" s="147">
        <f t="shared" si="1"/>
        <v>1.0307771741143098E-15</v>
      </c>
      <c r="AF58" s="25">
        <f t="shared" si="2"/>
        <v>8.7554933559876574E-7</v>
      </c>
      <c r="AG58" s="25">
        <f t="shared" si="3"/>
        <v>7.5625338992162678E-15</v>
      </c>
      <c r="AH58" s="25">
        <f t="shared" si="4"/>
        <v>7.9514880063927802E-17</v>
      </c>
      <c r="AI58" s="25">
        <f t="shared" si="5"/>
        <v>5.396753574873725E-9</v>
      </c>
      <c r="AJ58" s="25">
        <f t="shared" si="6"/>
        <v>4.2666686692464125E-16</v>
      </c>
      <c r="AK58" s="25">
        <f t="shared" si="7"/>
        <v>9.5126229405038204E-16</v>
      </c>
      <c r="AL58" s="25">
        <f t="shared" si="8"/>
        <v>8.7015258202389204E-7</v>
      </c>
      <c r="AM58" s="163">
        <f t="shared" si="9"/>
        <v>7.9892007661409094E-15</v>
      </c>
      <c r="AN58" s="164">
        <f t="shared" si="9"/>
        <v>1.0307771741143098E-15</v>
      </c>
      <c r="AO58" s="165">
        <f t="shared" si="9"/>
        <v>8.7554933559876574E-7</v>
      </c>
    </row>
    <row r="59" spans="1:41" s="361" customFormat="1" ht="15" customHeight="1" x14ac:dyDescent="0.2">
      <c r="A59" s="194" t="str">
        <f>'36. Generic chemical products'!A16</f>
        <v>Base (alkali) (NaOH), average</v>
      </c>
      <c r="B59" s="194" t="str">
        <f>'36. Generic chemical products'!B16</f>
        <v>Sodium hydroxide</v>
      </c>
      <c r="C59" s="194">
        <f>'36. Generic chemical products'!C16</f>
        <v>1</v>
      </c>
      <c r="D59" s="194" t="str">
        <f>'36. Generic chemical products'!D16</f>
        <v>kg</v>
      </c>
      <c r="E59" s="194">
        <f>'36. Generic chemical products'!E16</f>
        <v>1</v>
      </c>
      <c r="F59" s="194">
        <f>'36. Generic chemical products'!F16</f>
        <v>0</v>
      </c>
      <c r="G59" s="194" t="str">
        <f>'36. Generic chemical products'!G16</f>
        <v>-</v>
      </c>
      <c r="H59" s="194">
        <f>'36. Generic chemical products'!H16</f>
        <v>0</v>
      </c>
      <c r="I59" s="194">
        <f>'36. Generic chemical products'!I16</f>
        <v>0</v>
      </c>
      <c r="J59" s="194">
        <f>'36. Generic chemical products'!J16</f>
        <v>0</v>
      </c>
      <c r="K59" s="194" t="str">
        <f>'36. Generic chemical products'!K16</f>
        <v>Worst case - mist carries substance</v>
      </c>
      <c r="L59" s="194">
        <f>'36. Generic chemical products'!L16</f>
        <v>0</v>
      </c>
      <c r="M59" s="194" t="str">
        <f>'36. Generic chemical products'!M16</f>
        <v>Sodium hydroxide</v>
      </c>
      <c r="N59" s="194" t="str">
        <f>'36. Generic chemical products'!N16</f>
        <v>river</v>
      </c>
      <c r="O59" s="194">
        <f>'36. Generic chemical products'!O16</f>
        <v>0.1</v>
      </c>
      <c r="P59" s="194" t="str">
        <f>'36. Generic chemical products'!P16</f>
        <v>kg</v>
      </c>
      <c r="Q59" s="194">
        <f>'36. Generic chemical products'!Q16</f>
        <v>0</v>
      </c>
      <c r="R59" s="194">
        <f>'36. Generic chemical products'!R16</f>
        <v>0</v>
      </c>
      <c r="S59" s="194">
        <f>'36. Generic chemical products'!S16</f>
        <v>0</v>
      </c>
      <c r="T59" s="194" t="str">
        <f>'36. Generic chemical products'!T16</f>
        <v>1310-73-2</v>
      </c>
      <c r="U59" s="194">
        <f>'36. Generic chemical products'!U16</f>
        <v>0</v>
      </c>
      <c r="V59" s="194">
        <f>'36. Generic chemical products'!V16</f>
        <v>0</v>
      </c>
      <c r="W59" s="194">
        <f>'36. Generic chemical products'!W16</f>
        <v>0</v>
      </c>
      <c r="X59" s="194">
        <f>'36. Generic chemical products'!X16</f>
        <v>0</v>
      </c>
      <c r="Y59" s="194">
        <f>'36. Generic chemical products'!Y16</f>
        <v>164.24</v>
      </c>
      <c r="Z59" s="194">
        <f>'36. Generic chemical products'!Z16</f>
        <v>400.09</v>
      </c>
      <c r="AA59" s="194" t="str">
        <f>'36. Generic chemical products'!AA16</f>
        <v>COSMEDE</v>
      </c>
      <c r="AB59" s="401">
        <f>$C$18*I59</f>
        <v>0</v>
      </c>
      <c r="AC59" s="362">
        <f>$C$25*O59</f>
        <v>3.0000000000000001E-3</v>
      </c>
      <c r="AD59" s="402">
        <f t="shared" si="0"/>
        <v>0</v>
      </c>
      <c r="AE59" s="402">
        <f t="shared" si="1"/>
        <v>0</v>
      </c>
      <c r="AF59" s="403">
        <f t="shared" si="2"/>
        <v>1.2002699999999999</v>
      </c>
      <c r="AG59" s="403">
        <f t="shared" si="3"/>
        <v>0</v>
      </c>
      <c r="AH59" s="403">
        <f t="shared" si="4"/>
        <v>0</v>
      </c>
      <c r="AI59" s="403">
        <f t="shared" si="5"/>
        <v>0</v>
      </c>
      <c r="AJ59" s="403">
        <f t="shared" si="6"/>
        <v>0</v>
      </c>
      <c r="AK59" s="403">
        <f t="shared" si="7"/>
        <v>0</v>
      </c>
      <c r="AL59" s="403">
        <f t="shared" si="8"/>
        <v>1.2002699999999999</v>
      </c>
      <c r="AM59" s="404">
        <f t="shared" si="9"/>
        <v>0</v>
      </c>
      <c r="AN59" s="405">
        <f t="shared" si="9"/>
        <v>0</v>
      </c>
      <c r="AO59" s="406">
        <f t="shared" si="9"/>
        <v>1.2002699999999999</v>
      </c>
    </row>
    <row r="60" spans="1:41" s="361" customFormat="1" ht="15" customHeight="1" x14ac:dyDescent="0.2">
      <c r="A60" s="196" t="str">
        <f>'36. Generic chemical products'!A17</f>
        <v>Bleach, hydrogen peroxide, BAT</v>
      </c>
      <c r="B60" s="196" t="str">
        <f>'36. Generic chemical products'!B17</f>
        <v>Hydrogen peroxide</v>
      </c>
      <c r="C60" s="196">
        <f>'36. Generic chemical products'!C17</f>
        <v>1</v>
      </c>
      <c r="D60" s="196" t="str">
        <f>'36. Generic chemical products'!D17</f>
        <v>kg</v>
      </c>
      <c r="E60" s="196">
        <f>'36. Generic chemical products'!E17</f>
        <v>1</v>
      </c>
      <c r="F60" s="196">
        <f>'36. Generic chemical products'!F17</f>
        <v>0</v>
      </c>
      <c r="G60" s="196" t="str">
        <f>'36. Generic chemical products'!G17</f>
        <v>Hydrogen peroxide</v>
      </c>
      <c r="H60" s="196" t="str">
        <f>'36. Generic chemical products'!H17</f>
        <v>high. pop.</v>
      </c>
      <c r="I60" s="196">
        <f>'36. Generic chemical products'!I17</f>
        <v>1E-3</v>
      </c>
      <c r="J60" s="196" t="str">
        <f>'36. Generic chemical products'!J17</f>
        <v>kg</v>
      </c>
      <c r="K60" s="196">
        <f>'36. Generic chemical products'!K17</f>
        <v>0</v>
      </c>
      <c r="L60" s="196">
        <f>'36. Generic chemical products'!L17</f>
        <v>0</v>
      </c>
      <c r="M60" s="196" t="str">
        <f>'36. Generic chemical products'!M17</f>
        <v>Hydrogen peroxide</v>
      </c>
      <c r="N60" s="196" t="str">
        <f>'36. Generic chemical products'!N17</f>
        <v>river</v>
      </c>
      <c r="O60" s="196">
        <f>'36. Generic chemical products'!O17</f>
        <v>1.0000000000000002E-2</v>
      </c>
      <c r="P60" s="196" t="str">
        <f>'36. Generic chemical products'!P17</f>
        <v>kg</v>
      </c>
      <c r="Q60" s="196" t="str">
        <f>'36. Generic chemical products'!Q17</f>
        <v xml:space="preserve">90% of reactive chemicals are degraded during operations. </v>
      </c>
      <c r="R60" s="196">
        <f>'36. Generic chemical products'!R17</f>
        <v>0</v>
      </c>
      <c r="S60" s="196">
        <f>'36. Generic chemical products'!S17</f>
        <v>0</v>
      </c>
      <c r="T60" s="196" t="str">
        <f>'36. Generic chemical products'!T17</f>
        <v>7722-84-1</v>
      </c>
      <c r="U60" s="196">
        <f>'36. Generic chemical products'!U17</f>
        <v>0</v>
      </c>
      <c r="V60" s="196">
        <f>'36. Generic chemical products'!V17</f>
        <v>0</v>
      </c>
      <c r="W60" s="196">
        <f>'36. Generic chemical products'!W17</f>
        <v>0</v>
      </c>
      <c r="X60" s="196">
        <f>'36. Generic chemical products'!X17</f>
        <v>0</v>
      </c>
      <c r="Y60" s="196">
        <f>'36. Generic chemical products'!Y17</f>
        <v>220</v>
      </c>
      <c r="Z60" s="196">
        <f>'36. Generic chemical products'!Z17</f>
        <v>532</v>
      </c>
      <c r="AA60" s="196" t="str">
        <f>'36. Generic chemical products'!AA17</f>
        <v>COSMEDE</v>
      </c>
      <c r="AB60" s="401">
        <f>$C$19*I60</f>
        <v>4.6E-5</v>
      </c>
      <c r="AC60" s="362">
        <f>$C$26*O60</f>
        <v>4.6000000000000007E-4</v>
      </c>
      <c r="AD60" s="402">
        <f t="shared" si="0"/>
        <v>0</v>
      </c>
      <c r="AE60" s="402">
        <f t="shared" si="1"/>
        <v>0</v>
      </c>
      <c r="AF60" s="403">
        <f t="shared" si="2"/>
        <v>0.25484000000000007</v>
      </c>
      <c r="AG60" s="403">
        <f t="shared" si="3"/>
        <v>0</v>
      </c>
      <c r="AH60" s="403">
        <f t="shared" si="4"/>
        <v>0</v>
      </c>
      <c r="AI60" s="403">
        <f t="shared" si="5"/>
        <v>1.0120000000000001E-2</v>
      </c>
      <c r="AJ60" s="403">
        <f t="shared" si="6"/>
        <v>0</v>
      </c>
      <c r="AK60" s="403">
        <f t="shared" si="7"/>
        <v>0</v>
      </c>
      <c r="AL60" s="403">
        <f t="shared" si="8"/>
        <v>0.24472000000000005</v>
      </c>
      <c r="AM60" s="404">
        <f t="shared" si="9"/>
        <v>0</v>
      </c>
      <c r="AN60" s="405">
        <f t="shared" si="9"/>
        <v>0</v>
      </c>
      <c r="AO60" s="406">
        <f t="shared" si="9"/>
        <v>0.25484000000000007</v>
      </c>
    </row>
    <row r="61" spans="1:41" s="49" customFormat="1" ht="15" customHeight="1" x14ac:dyDescent="0.2">
      <c r="A61" s="364" t="str">
        <f>'36. Generic chemical products'!A19</f>
        <v>Acid, sulfuric acid, average</v>
      </c>
      <c r="B61" s="364" t="str">
        <f>'36. Generic chemical products'!B19</f>
        <v>Sulfuric acid</v>
      </c>
      <c r="C61" s="364">
        <f>'36. Generic chemical products'!C19</f>
        <v>1</v>
      </c>
      <c r="D61" s="364" t="str">
        <f>'36. Generic chemical products'!D19</f>
        <v>kg</v>
      </c>
      <c r="E61" s="364">
        <f>'36. Generic chemical products'!E19</f>
        <v>1</v>
      </c>
      <c r="F61" s="364">
        <f>'36. Generic chemical products'!F19</f>
        <v>0</v>
      </c>
      <c r="G61" s="364" t="str">
        <f>'36. Generic chemical products'!G19</f>
        <v>Sulfuric acid</v>
      </c>
      <c r="H61" s="364" t="str">
        <f>'36. Generic chemical products'!H19</f>
        <v>high. pop.</v>
      </c>
      <c r="I61" s="364">
        <f>'36. Generic chemical products'!I19</f>
        <v>1E-3</v>
      </c>
      <c r="J61" s="364" t="str">
        <f>'36. Generic chemical products'!J19</f>
        <v>kg</v>
      </c>
      <c r="K61" s="364">
        <f>'36. Generic chemical products'!K19</f>
        <v>0</v>
      </c>
      <c r="L61" s="364">
        <f>'36. Generic chemical products'!L19</f>
        <v>0</v>
      </c>
      <c r="M61" s="364" t="str">
        <f>'36. Generic chemical products'!M19</f>
        <v>Sulfuric acid</v>
      </c>
      <c r="N61" s="364" t="str">
        <f>'36. Generic chemical products'!N19</f>
        <v>river</v>
      </c>
      <c r="O61" s="364">
        <f>'36. Generic chemical products'!O19</f>
        <v>0.1</v>
      </c>
      <c r="P61" s="364" t="str">
        <f>'36. Generic chemical products'!P19</f>
        <v>kg</v>
      </c>
      <c r="Q61" s="364">
        <f>'36. Generic chemical products'!Q19</f>
        <v>0</v>
      </c>
      <c r="R61" s="364">
        <f>'36. Generic chemical products'!R19</f>
        <v>0</v>
      </c>
      <c r="S61" s="364">
        <f>'36. Generic chemical products'!S19</f>
        <v>0</v>
      </c>
      <c r="T61" s="364" t="str">
        <f>'36. Generic chemical products'!T19</f>
        <v>7664-93-9</v>
      </c>
      <c r="U61" s="364">
        <f>'36. Generic chemical products'!U19</f>
        <v>0</v>
      </c>
      <c r="V61" s="364">
        <f>'36. Generic chemical products'!V19</f>
        <v>0</v>
      </c>
      <c r="W61" s="364">
        <f>'36. Generic chemical products'!W19</f>
        <v>0</v>
      </c>
      <c r="X61" s="364">
        <f>'36. Generic chemical products'!X19</f>
        <v>0</v>
      </c>
      <c r="Y61" s="364">
        <f>'36. Generic chemical products'!Y19</f>
        <v>49.010721972656775</v>
      </c>
      <c r="Z61" s="364">
        <f>'36. Generic chemical products'!Z19</f>
        <v>299.66222151864491</v>
      </c>
      <c r="AA61" s="364" t="str">
        <f>'36. Generic chemical products'!AA19</f>
        <v>USEtox</v>
      </c>
      <c r="AB61" s="28">
        <f>$C$20*I61</f>
        <v>6.0000000000000002E-6</v>
      </c>
      <c r="AC61" s="146">
        <f>$C$27*O61</f>
        <v>6.0000000000000006E-4</v>
      </c>
      <c r="AD61" s="147">
        <f t="shared" si="0"/>
        <v>0</v>
      </c>
      <c r="AE61" s="147">
        <f t="shared" si="1"/>
        <v>0</v>
      </c>
      <c r="AF61" s="25">
        <f t="shared" si="2"/>
        <v>0.18009139724302289</v>
      </c>
      <c r="AG61" s="25">
        <f t="shared" si="3"/>
        <v>0</v>
      </c>
      <c r="AH61" s="25">
        <f t="shared" si="4"/>
        <v>0</v>
      </c>
      <c r="AI61" s="25">
        <f t="shared" si="5"/>
        <v>2.9406433183594064E-4</v>
      </c>
      <c r="AJ61" s="25">
        <f t="shared" si="6"/>
        <v>0</v>
      </c>
      <c r="AK61" s="25">
        <f t="shared" si="7"/>
        <v>0</v>
      </c>
      <c r="AL61" s="25">
        <f t="shared" si="8"/>
        <v>0.17979733291118696</v>
      </c>
      <c r="AM61" s="163">
        <f t="shared" si="9"/>
        <v>0</v>
      </c>
      <c r="AN61" s="164">
        <f t="shared" si="9"/>
        <v>0</v>
      </c>
      <c r="AO61" s="165">
        <f t="shared" si="9"/>
        <v>0.18009139724302289</v>
      </c>
    </row>
    <row r="62" spans="1:41" s="8" customFormat="1" ht="15" customHeight="1" x14ac:dyDescent="0.2">
      <c r="A62" s="34"/>
      <c r="B62" s="54"/>
      <c r="C62" s="74"/>
      <c r="D62" s="51"/>
      <c r="E62" s="64"/>
      <c r="F62" s="51"/>
      <c r="G62" s="51"/>
      <c r="H62" s="69"/>
      <c r="I62" s="51"/>
      <c r="J62" s="51"/>
      <c r="K62" s="51"/>
      <c r="L62" s="51"/>
      <c r="M62" s="69"/>
      <c r="N62" s="51"/>
      <c r="O62" s="51"/>
      <c r="P62" s="54"/>
      <c r="Q62" s="115"/>
      <c r="R62" s="115"/>
      <c r="S62" s="115"/>
      <c r="T62" s="115"/>
      <c r="U62" s="115"/>
      <c r="V62" s="115"/>
      <c r="W62" s="125"/>
      <c r="X62" s="203"/>
      <c r="Y62" s="204"/>
      <c r="Z62" s="205"/>
      <c r="AA62" s="205"/>
      <c r="AB62" s="203"/>
      <c r="AC62" s="203"/>
      <c r="AD62" s="167">
        <f>SUM(AD44:AD61)</f>
        <v>1.1274959045243355E-12</v>
      </c>
      <c r="AE62" s="167">
        <f t="shared" ref="AE62:AF62" si="12">SUM(AE44:AE61)</f>
        <v>1.830640877217158E-9</v>
      </c>
      <c r="AF62" s="167">
        <f t="shared" si="12"/>
        <v>139.92513245059635</v>
      </c>
      <c r="AG62" s="203"/>
      <c r="AH62" s="203"/>
      <c r="AI62" s="157"/>
      <c r="AJ62" s="157"/>
      <c r="AK62" s="157"/>
    </row>
    <row r="63" spans="1:41" x14ac:dyDescent="0.2">
      <c r="A63" s="47" t="s">
        <v>736</v>
      </c>
    </row>
    <row r="67" spans="1:1" x14ac:dyDescent="0.2">
      <c r="A67" s="35" t="s">
        <v>687</v>
      </c>
    </row>
    <row r="68" spans="1:1" x14ac:dyDescent="0.2">
      <c r="A68" s="244" t="s">
        <v>1102</v>
      </c>
    </row>
    <row r="69" spans="1:1" x14ac:dyDescent="0.2">
      <c r="A69" s="244" t="s">
        <v>1103</v>
      </c>
    </row>
    <row r="70" spans="1:1" x14ac:dyDescent="0.2">
      <c r="A70" t="s">
        <v>1068</v>
      </c>
    </row>
    <row r="71" spans="1:1" x14ac:dyDescent="0.2">
      <c r="A71" s="244" t="s">
        <v>1083</v>
      </c>
    </row>
    <row r="72" spans="1:1" x14ac:dyDescent="0.2">
      <c r="A72" s="244" t="s">
        <v>1104</v>
      </c>
    </row>
    <row r="73" spans="1:1" x14ac:dyDescent="0.2">
      <c r="A73" s="244" t="s">
        <v>1087</v>
      </c>
    </row>
    <row r="74" spans="1:1" x14ac:dyDescent="0.2">
      <c r="A74" s="244" t="s">
        <v>1105</v>
      </c>
    </row>
    <row r="75" spans="1:1" x14ac:dyDescent="0.2">
      <c r="A75" s="244" t="s">
        <v>1106</v>
      </c>
    </row>
    <row r="76" spans="1:1" x14ac:dyDescent="0.2">
      <c r="A76" s="244" t="s">
        <v>1097</v>
      </c>
    </row>
    <row r="77" spans="1:1" x14ac:dyDescent="0.2">
      <c r="A77" s="244" t="s">
        <v>1162</v>
      </c>
    </row>
    <row r="78" spans="1:1" x14ac:dyDescent="0.2">
      <c r="A78" s="244" t="s">
        <v>1091</v>
      </c>
    </row>
    <row r="79" spans="1:1" x14ac:dyDescent="0.2">
      <c r="A79" s="244" t="s">
        <v>1107</v>
      </c>
    </row>
    <row r="80" spans="1:1" x14ac:dyDescent="0.2">
      <c r="A80" t="s">
        <v>1098</v>
      </c>
    </row>
    <row r="81" spans="1:1" x14ac:dyDescent="0.2">
      <c r="A81" s="244" t="s">
        <v>1099</v>
      </c>
    </row>
    <row r="82" spans="1:1" x14ac:dyDescent="0.2">
      <c r="A82" s="244" t="s">
        <v>1070</v>
      </c>
    </row>
    <row r="83" spans="1:1" x14ac:dyDescent="0.2">
      <c r="A83" s="244" t="s">
        <v>1096</v>
      </c>
    </row>
    <row r="84" spans="1:1" x14ac:dyDescent="0.2">
      <c r="A84" s="244" t="s">
        <v>1108</v>
      </c>
    </row>
    <row r="85" spans="1:1" x14ac:dyDescent="0.2">
      <c r="A85" s="244" t="s">
        <v>1109</v>
      </c>
    </row>
    <row r="86" spans="1:1" x14ac:dyDescent="0.2">
      <c r="A86" s="244" t="s">
        <v>1072</v>
      </c>
    </row>
    <row r="87" spans="1:1" x14ac:dyDescent="0.2">
      <c r="A87" s="244" t="s">
        <v>1100</v>
      </c>
    </row>
    <row r="88" spans="1:1" x14ac:dyDescent="0.2">
      <c r="A88" s="244" t="s">
        <v>1101</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0"/>
  <sheetViews>
    <sheetView zoomScale="80" zoomScaleNormal="80" workbookViewId="0">
      <selection activeCell="Y27" sqref="Y27"/>
    </sheetView>
  </sheetViews>
  <sheetFormatPr defaultRowHeight="12.75" x14ac:dyDescent="0.2"/>
  <sheetData>
    <row r="1" spans="1:1" ht="18" x14ac:dyDescent="0.25">
      <c r="A1" s="372" t="s">
        <v>1043</v>
      </c>
    </row>
    <row r="3" spans="1:1" ht="15" x14ac:dyDescent="0.25">
      <c r="A3" s="357" t="s">
        <v>1065</v>
      </c>
    </row>
    <row r="40" spans="1:1" ht="15" x14ac:dyDescent="0.25">
      <c r="A40" s="357" t="s">
        <v>1066</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O128"/>
  <sheetViews>
    <sheetView zoomScale="60" zoomScaleNormal="60" workbookViewId="0"/>
  </sheetViews>
  <sheetFormatPr defaultRowHeight="12.75" x14ac:dyDescent="0.2"/>
  <cols>
    <col min="1" max="1" width="49.42578125" style="34" customWidth="1"/>
    <col min="2" max="2" width="26.140625" style="34" customWidth="1"/>
    <col min="3" max="3" width="14.7109375" style="34" customWidth="1"/>
    <col min="4" max="4" width="9.140625" style="34" customWidth="1"/>
    <col min="5" max="5" width="29.85546875" style="34" customWidth="1"/>
    <col min="6" max="6" width="9.140625" style="34" customWidth="1"/>
    <col min="7" max="7" width="62" style="34" customWidth="1"/>
    <col min="8" max="8" width="28" style="34" customWidth="1"/>
    <col min="9" max="10" width="9.140625" style="34" customWidth="1"/>
    <col min="11" max="11" width="21.140625" style="34" customWidth="1"/>
    <col min="12" max="12" width="9.140625" style="34" customWidth="1"/>
    <col min="13" max="13" width="35.5703125" style="34" customWidth="1"/>
    <col min="14" max="14" width="18.85546875" style="34" customWidth="1"/>
    <col min="15" max="15" width="9.5703125" style="34" customWidth="1"/>
    <col min="16" max="16" width="10" style="34" customWidth="1"/>
    <col min="17" max="17" width="27.140625" style="34" customWidth="1"/>
    <col min="18" max="18" width="20.140625" style="34" customWidth="1"/>
    <col min="19" max="19" width="32.5703125" style="34" customWidth="1"/>
    <col min="20" max="24" width="16.28515625" style="34" customWidth="1"/>
    <col min="25" max="25" width="18" style="40" customWidth="1"/>
    <col min="26" max="26" width="10.5703125" style="40" customWidth="1"/>
    <col min="27" max="27" width="9.140625" style="40" customWidth="1"/>
    <col min="28" max="29" width="9.140625" style="40"/>
    <col min="30" max="30" width="11.28515625" style="40" bestFit="1" customWidth="1"/>
    <col min="31" max="31" width="9.140625" style="40"/>
    <col min="32" max="32" width="14.7109375" style="40" customWidth="1"/>
    <col min="33" max="33" width="9.85546875" style="40" bestFit="1" customWidth="1"/>
    <col min="34" max="37" width="9.140625" style="40"/>
    <col min="38" max="16384" width="9.140625" style="34"/>
  </cols>
  <sheetData>
    <row r="1" spans="1:37" ht="16.5" thickBot="1" x14ac:dyDescent="0.3">
      <c r="A1" s="82" t="s">
        <v>711</v>
      </c>
      <c r="B1" s="83"/>
      <c r="C1" s="83" t="s">
        <v>217</v>
      </c>
      <c r="D1" s="83" t="s">
        <v>11</v>
      </c>
      <c r="E1" s="84" t="s">
        <v>180</v>
      </c>
      <c r="G1" s="92" t="s">
        <v>712</v>
      </c>
      <c r="H1" s="93"/>
      <c r="I1" s="93" t="s">
        <v>217</v>
      </c>
      <c r="J1" s="93" t="s">
        <v>11</v>
      </c>
      <c r="K1" s="94" t="s">
        <v>180</v>
      </c>
      <c r="M1" s="95" t="s">
        <v>713</v>
      </c>
      <c r="N1" s="96"/>
      <c r="O1" s="97" t="s">
        <v>217</v>
      </c>
      <c r="P1" s="97" t="s">
        <v>11</v>
      </c>
      <c r="Q1" s="98" t="s">
        <v>180</v>
      </c>
      <c r="S1" s="44" t="s">
        <v>714</v>
      </c>
      <c r="T1" s="45"/>
      <c r="U1" s="45" t="s">
        <v>217</v>
      </c>
      <c r="V1" s="45" t="s">
        <v>11</v>
      </c>
      <c r="W1" s="46" t="s">
        <v>180</v>
      </c>
      <c r="Y1" s="41" t="s">
        <v>715</v>
      </c>
      <c r="Z1" s="42"/>
      <c r="AA1" s="42" t="s">
        <v>217</v>
      </c>
      <c r="AB1" s="42" t="s">
        <v>11</v>
      </c>
      <c r="AC1" s="43" t="s">
        <v>180</v>
      </c>
      <c r="AF1" s="48" t="s">
        <v>710</v>
      </c>
      <c r="AJ1" s="34"/>
      <c r="AK1" s="34"/>
    </row>
    <row r="2" spans="1:37" x14ac:dyDescent="0.2">
      <c r="A2" s="85" t="s">
        <v>218</v>
      </c>
      <c r="B2" s="86"/>
      <c r="C2" s="86"/>
      <c r="D2" s="86"/>
      <c r="E2" s="87"/>
      <c r="G2" s="85" t="s">
        <v>218</v>
      </c>
      <c r="H2" s="86"/>
      <c r="I2" s="86"/>
      <c r="J2" s="86"/>
      <c r="K2" s="87"/>
      <c r="M2" s="85" t="s">
        <v>218</v>
      </c>
      <c r="N2" s="86"/>
      <c r="O2" s="86"/>
      <c r="P2" s="86"/>
      <c r="Q2" s="87"/>
      <c r="S2" s="85" t="s">
        <v>218</v>
      </c>
      <c r="T2" s="86"/>
      <c r="U2" s="86"/>
      <c r="V2" s="86"/>
      <c r="W2" s="87"/>
      <c r="Y2" s="85" t="s">
        <v>218</v>
      </c>
      <c r="Z2" s="86"/>
      <c r="AA2" s="86"/>
      <c r="AB2" s="86"/>
      <c r="AC2" s="87"/>
      <c r="AF2" s="34" t="s">
        <v>949</v>
      </c>
      <c r="AG2" s="40" t="s">
        <v>709</v>
      </c>
      <c r="AI2" s="34"/>
      <c r="AJ2" s="34"/>
      <c r="AK2" s="34"/>
    </row>
    <row r="3" spans="1:37" x14ac:dyDescent="0.2">
      <c r="A3" s="88" t="s">
        <v>716</v>
      </c>
      <c r="B3" s="89"/>
      <c r="C3" s="89">
        <v>1</v>
      </c>
      <c r="D3" s="89" t="s">
        <v>2</v>
      </c>
      <c r="E3" s="90"/>
      <c r="G3" s="88" t="s">
        <v>716</v>
      </c>
      <c r="H3" s="89"/>
      <c r="I3" s="89">
        <v>1</v>
      </c>
      <c r="J3" s="89" t="s">
        <v>2</v>
      </c>
      <c r="K3" s="90"/>
      <c r="M3" s="88" t="s">
        <v>716</v>
      </c>
      <c r="N3" s="89"/>
      <c r="O3" s="89">
        <v>1</v>
      </c>
      <c r="P3" s="89" t="s">
        <v>2</v>
      </c>
      <c r="Q3" s="90"/>
      <c r="S3" s="88" t="s">
        <v>716</v>
      </c>
      <c r="T3" s="89"/>
      <c r="U3" s="89">
        <v>1</v>
      </c>
      <c r="V3" s="89" t="s">
        <v>2</v>
      </c>
      <c r="W3" s="90"/>
      <c r="Y3" s="88" t="s">
        <v>716</v>
      </c>
      <c r="Z3" s="89"/>
      <c r="AA3" s="89">
        <v>1</v>
      </c>
      <c r="AB3" s="89" t="s">
        <v>2</v>
      </c>
      <c r="AC3" s="90"/>
      <c r="AE3" s="40" t="s">
        <v>260</v>
      </c>
      <c r="AF3" s="227">
        <v>1.97063006799721</v>
      </c>
      <c r="AJ3" s="34"/>
      <c r="AK3" s="34"/>
    </row>
    <row r="4" spans="1:37" s="35" customFormat="1" x14ac:dyDescent="0.2">
      <c r="A4" s="85" t="s">
        <v>183</v>
      </c>
      <c r="B4" s="86"/>
      <c r="C4" s="86"/>
      <c r="D4" s="86"/>
      <c r="E4" s="87"/>
      <c r="G4" s="85" t="s">
        <v>183</v>
      </c>
      <c r="H4" s="86"/>
      <c r="I4" s="86"/>
      <c r="J4" s="86"/>
      <c r="K4" s="87"/>
      <c r="M4" s="85" t="s">
        <v>183</v>
      </c>
      <c r="N4" s="86"/>
      <c r="O4" s="86"/>
      <c r="P4" s="86"/>
      <c r="Q4" s="87"/>
      <c r="S4" s="85" t="s">
        <v>183</v>
      </c>
      <c r="T4" s="86"/>
      <c r="U4" s="86"/>
      <c r="V4" s="86"/>
      <c r="W4" s="87"/>
      <c r="Y4" s="85" t="s">
        <v>183</v>
      </c>
      <c r="Z4" s="86"/>
      <c r="AA4" s="86"/>
      <c r="AB4" s="86"/>
      <c r="AC4" s="87"/>
      <c r="AD4" s="99"/>
      <c r="AE4" s="40" t="s">
        <v>261</v>
      </c>
      <c r="AF4" s="226">
        <v>4.2243314498964898E-4</v>
      </c>
      <c r="AG4" s="99"/>
      <c r="AH4" s="99"/>
      <c r="AI4" s="99"/>
    </row>
    <row r="5" spans="1:37" x14ac:dyDescent="0.2">
      <c r="A5" s="88" t="s">
        <v>184</v>
      </c>
      <c r="B5" s="89"/>
      <c r="C5" s="89">
        <v>5.0000000000000001E-3</v>
      </c>
      <c r="D5" s="89" t="s">
        <v>185</v>
      </c>
      <c r="E5" s="90" t="s">
        <v>734</v>
      </c>
      <c r="F5" s="34" t="s">
        <v>179</v>
      </c>
      <c r="G5" s="88" t="s">
        <v>184</v>
      </c>
      <c r="H5" s="89"/>
      <c r="I5" s="89">
        <f>0.005/5*3</f>
        <v>3.0000000000000001E-3</v>
      </c>
      <c r="J5" s="89" t="s">
        <v>185</v>
      </c>
      <c r="K5" s="90" t="s">
        <v>1183</v>
      </c>
      <c r="M5" s="88" t="s">
        <v>184</v>
      </c>
      <c r="N5" s="89"/>
      <c r="O5" s="89">
        <v>0.01</v>
      </c>
      <c r="P5" s="89" t="s">
        <v>185</v>
      </c>
      <c r="Q5" s="90" t="s">
        <v>1184</v>
      </c>
      <c r="S5" s="88" t="s">
        <v>184</v>
      </c>
      <c r="T5" s="89"/>
      <c r="U5" s="89">
        <v>5.0000000000000001E-3</v>
      </c>
      <c r="V5" s="89" t="s">
        <v>185</v>
      </c>
      <c r="W5" s="90" t="s">
        <v>734</v>
      </c>
      <c r="Y5" s="88" t="s">
        <v>184</v>
      </c>
      <c r="Z5" s="89"/>
      <c r="AA5" s="89">
        <v>5.0000000000000001E-3</v>
      </c>
      <c r="AB5" s="89" t="s">
        <v>185</v>
      </c>
      <c r="AC5" s="90" t="s">
        <v>734</v>
      </c>
      <c r="AE5" s="40" t="s">
        <v>262</v>
      </c>
      <c r="AF5" s="227">
        <v>1.18465288524274E-2</v>
      </c>
      <c r="AJ5" s="34"/>
      <c r="AK5" s="34"/>
    </row>
    <row r="6" spans="1:37" s="35" customFormat="1" x14ac:dyDescent="0.2">
      <c r="A6" s="85" t="s">
        <v>187</v>
      </c>
      <c r="B6" s="86"/>
      <c r="C6" s="86"/>
      <c r="D6" s="86"/>
      <c r="E6" s="87"/>
      <c r="G6" s="85" t="s">
        <v>187</v>
      </c>
      <c r="H6" s="86"/>
      <c r="I6" s="86"/>
      <c r="J6" s="86"/>
      <c r="K6" s="87"/>
      <c r="M6" s="85" t="s">
        <v>187</v>
      </c>
      <c r="N6" s="86"/>
      <c r="O6" s="86"/>
      <c r="P6" s="86"/>
      <c r="Q6" s="87"/>
      <c r="S6" s="85" t="s">
        <v>187</v>
      </c>
      <c r="T6" s="86"/>
      <c r="U6" s="86"/>
      <c r="V6" s="86"/>
      <c r="W6" s="87"/>
      <c r="Y6" s="85" t="s">
        <v>187</v>
      </c>
      <c r="Z6" s="86"/>
      <c r="AA6" s="86"/>
      <c r="AB6" s="86"/>
      <c r="AC6" s="87"/>
      <c r="AD6" s="99"/>
      <c r="AE6" s="40" t="s">
        <v>263</v>
      </c>
      <c r="AF6" s="226">
        <v>5.2589277200651803E-3</v>
      </c>
      <c r="AG6" s="99"/>
      <c r="AH6" s="99"/>
      <c r="AI6" s="99"/>
    </row>
    <row r="7" spans="1:37" x14ac:dyDescent="0.2">
      <c r="A7" s="88" t="s">
        <v>45</v>
      </c>
      <c r="B7" s="89"/>
      <c r="C7" s="89">
        <v>0.01</v>
      </c>
      <c r="D7" s="89" t="s">
        <v>2</v>
      </c>
      <c r="E7" s="90" t="s">
        <v>179</v>
      </c>
      <c r="F7" s="34" t="s">
        <v>179</v>
      </c>
      <c r="G7" s="88" t="s">
        <v>45</v>
      </c>
      <c r="H7" s="89"/>
      <c r="I7" s="89">
        <v>0.01</v>
      </c>
      <c r="J7" s="89" t="s">
        <v>2</v>
      </c>
      <c r="K7" s="90" t="s">
        <v>179</v>
      </c>
      <c r="M7" s="88" t="s">
        <v>45</v>
      </c>
      <c r="N7" s="89"/>
      <c r="O7" s="89">
        <v>0.01</v>
      </c>
      <c r="P7" s="89" t="s">
        <v>2</v>
      </c>
      <c r="Q7" s="90" t="s">
        <v>179</v>
      </c>
      <c r="S7" s="88" t="s">
        <v>152</v>
      </c>
      <c r="T7" s="89"/>
      <c r="U7" s="89">
        <v>0.01</v>
      </c>
      <c r="V7" s="89" t="s">
        <v>2</v>
      </c>
      <c r="W7" s="90" t="s">
        <v>179</v>
      </c>
      <c r="Y7" s="88" t="s">
        <v>1136</v>
      </c>
      <c r="Z7" s="89"/>
      <c r="AA7" s="89">
        <v>0.01</v>
      </c>
      <c r="AB7" s="89" t="s">
        <v>2</v>
      </c>
      <c r="AC7" s="90" t="s">
        <v>179</v>
      </c>
      <c r="AE7" s="40" t="s">
        <v>264</v>
      </c>
      <c r="AF7" s="227">
        <v>1.6585652020156799E-2</v>
      </c>
      <c r="AJ7" s="34"/>
      <c r="AK7" s="34"/>
    </row>
    <row r="8" spans="1:37" ht="15" x14ac:dyDescent="0.2">
      <c r="A8" s="88" t="s">
        <v>46</v>
      </c>
      <c r="B8" s="89"/>
      <c r="C8" s="89">
        <v>1E-3</v>
      </c>
      <c r="D8" s="89" t="s">
        <v>2</v>
      </c>
      <c r="E8" s="90" t="s">
        <v>179</v>
      </c>
      <c r="F8" s="34" t="s">
        <v>179</v>
      </c>
      <c r="G8" s="88" t="s">
        <v>46</v>
      </c>
      <c r="H8" s="89"/>
      <c r="I8" s="89">
        <v>1E-3</v>
      </c>
      <c r="J8" s="89" t="s">
        <v>2</v>
      </c>
      <c r="K8" s="90" t="s">
        <v>179</v>
      </c>
      <c r="M8" s="88" t="s">
        <v>46</v>
      </c>
      <c r="N8" s="89"/>
      <c r="O8" s="89">
        <v>1E-3</v>
      </c>
      <c r="P8" s="89" t="s">
        <v>2</v>
      </c>
      <c r="Q8" s="90" t="s">
        <v>179</v>
      </c>
      <c r="S8" s="88" t="s">
        <v>1112</v>
      </c>
      <c r="T8" s="89"/>
      <c r="U8" s="89">
        <v>1E-3</v>
      </c>
      <c r="V8" s="89" t="s">
        <v>2</v>
      </c>
      <c r="W8" s="90" t="s">
        <v>179</v>
      </c>
      <c r="Y8" s="88" t="s">
        <v>1138</v>
      </c>
      <c r="Z8" s="89"/>
      <c r="AA8" s="89">
        <v>1E-3</v>
      </c>
      <c r="AB8" s="89" t="s">
        <v>2</v>
      </c>
      <c r="AC8" s="90" t="s">
        <v>179</v>
      </c>
      <c r="AE8" s="40" t="s">
        <v>675</v>
      </c>
      <c r="AF8" s="227">
        <v>0.92730354726472597</v>
      </c>
      <c r="AJ8" s="34"/>
      <c r="AK8" s="34"/>
    </row>
    <row r="9" spans="1:37" x14ac:dyDescent="0.2">
      <c r="A9" s="88" t="s">
        <v>47</v>
      </c>
      <c r="B9" s="89"/>
      <c r="C9" s="89">
        <v>0.02</v>
      </c>
      <c r="D9" s="89" t="s">
        <v>2</v>
      </c>
      <c r="E9" s="90" t="s">
        <v>179</v>
      </c>
      <c r="F9" s="34" t="s">
        <v>179</v>
      </c>
      <c r="G9" s="88" t="s">
        <v>47</v>
      </c>
      <c r="H9" s="89"/>
      <c r="I9" s="89">
        <v>0.02</v>
      </c>
      <c r="J9" s="89" t="s">
        <v>2</v>
      </c>
      <c r="K9" s="90" t="s">
        <v>179</v>
      </c>
      <c r="M9" s="88" t="s">
        <v>47</v>
      </c>
      <c r="N9" s="89"/>
      <c r="O9" s="89">
        <v>0.02</v>
      </c>
      <c r="P9" s="89" t="s">
        <v>2</v>
      </c>
      <c r="Q9" s="90" t="s">
        <v>179</v>
      </c>
      <c r="S9" s="88" t="s">
        <v>1113</v>
      </c>
      <c r="T9" s="89"/>
      <c r="U9" s="89">
        <v>0.02</v>
      </c>
      <c r="V9" s="89" t="s">
        <v>2</v>
      </c>
      <c r="W9" s="90" t="s">
        <v>179</v>
      </c>
      <c r="Y9" s="88" t="s">
        <v>1139</v>
      </c>
      <c r="Z9" s="89"/>
      <c r="AA9" s="89">
        <v>0.02</v>
      </c>
      <c r="AB9" s="89" t="s">
        <v>2</v>
      </c>
      <c r="AC9" s="90" t="s">
        <v>179</v>
      </c>
      <c r="AE9" s="40" t="s">
        <v>266</v>
      </c>
      <c r="AF9" s="227">
        <v>4.3167513064246202E-7</v>
      </c>
      <c r="AG9" s="191">
        <f>AE102</f>
        <v>3.145465823965292E-9</v>
      </c>
      <c r="AJ9" s="34"/>
      <c r="AK9" s="34"/>
    </row>
    <row r="10" spans="1:37" x14ac:dyDescent="0.2">
      <c r="A10" s="88" t="s">
        <v>48</v>
      </c>
      <c r="B10" s="89"/>
      <c r="C10" s="89">
        <v>3.5000000000000003E-2</v>
      </c>
      <c r="D10" s="89" t="s">
        <v>2</v>
      </c>
      <c r="E10" s="90"/>
      <c r="F10" s="34" t="s">
        <v>179</v>
      </c>
      <c r="G10" s="88" t="s">
        <v>48</v>
      </c>
      <c r="H10" s="89"/>
      <c r="I10" s="89">
        <v>3.5000000000000003E-2</v>
      </c>
      <c r="J10" s="89" t="s">
        <v>2</v>
      </c>
      <c r="K10" s="90"/>
      <c r="M10" s="88" t="s">
        <v>48</v>
      </c>
      <c r="N10" s="89"/>
      <c r="O10" s="89">
        <v>3.5000000000000003E-2</v>
      </c>
      <c r="P10" s="89" t="s">
        <v>2</v>
      </c>
      <c r="Q10" s="90"/>
      <c r="S10" s="88" t="s">
        <v>1114</v>
      </c>
      <c r="T10" s="89"/>
      <c r="U10" s="89">
        <v>3.5000000000000003E-2</v>
      </c>
      <c r="V10" s="89" t="s">
        <v>2</v>
      </c>
      <c r="W10" s="90"/>
      <c r="Y10" s="88" t="s">
        <v>1140</v>
      </c>
      <c r="Z10" s="89"/>
      <c r="AA10" s="89">
        <v>3.5000000000000003E-2</v>
      </c>
      <c r="AB10" s="89" t="s">
        <v>2</v>
      </c>
      <c r="AC10" s="90"/>
      <c r="AE10" s="40" t="s">
        <v>267</v>
      </c>
      <c r="AF10" s="227">
        <v>8.69341119657935E-8</v>
      </c>
      <c r="AG10" s="191">
        <f>AD102</f>
        <v>1.9826967316072806E-12</v>
      </c>
      <c r="AJ10" s="34"/>
      <c r="AK10" s="34"/>
    </row>
    <row r="11" spans="1:37" x14ac:dyDescent="0.2">
      <c r="A11" s="88" t="s">
        <v>49</v>
      </c>
      <c r="B11" s="89"/>
      <c r="C11" s="89">
        <v>0.02</v>
      </c>
      <c r="D11" s="89" t="s">
        <v>2</v>
      </c>
      <c r="E11" s="90"/>
      <c r="F11" s="34" t="s">
        <v>179</v>
      </c>
      <c r="G11" s="88" t="s">
        <v>49</v>
      </c>
      <c r="H11" s="89"/>
      <c r="I11" s="89">
        <v>0.02</v>
      </c>
      <c r="J11" s="89" t="s">
        <v>2</v>
      </c>
      <c r="K11" s="90"/>
      <c r="M11" s="88" t="s">
        <v>49</v>
      </c>
      <c r="N11" s="89"/>
      <c r="O11" s="89">
        <v>0.02</v>
      </c>
      <c r="P11" s="89" t="s">
        <v>2</v>
      </c>
      <c r="Q11" s="90"/>
      <c r="S11" s="88" t="s">
        <v>1185</v>
      </c>
      <c r="T11" s="89"/>
      <c r="U11" s="89">
        <v>0.02</v>
      </c>
      <c r="V11" s="89" t="s">
        <v>2</v>
      </c>
      <c r="W11" s="90"/>
      <c r="Y11" s="88" t="s">
        <v>1211</v>
      </c>
      <c r="Z11" s="89"/>
      <c r="AA11" s="89">
        <v>0.02</v>
      </c>
      <c r="AB11" s="89" t="s">
        <v>2</v>
      </c>
      <c r="AC11" s="90"/>
      <c r="AE11" s="40" t="s">
        <v>268</v>
      </c>
      <c r="AF11" s="227">
        <v>11.817911492181199</v>
      </c>
      <c r="AG11" s="191">
        <f>AF102</f>
        <v>238.68934552400233</v>
      </c>
      <c r="AJ11" s="34"/>
      <c r="AK11" s="34"/>
    </row>
    <row r="12" spans="1:37" x14ac:dyDescent="0.2">
      <c r="A12" s="88" t="s">
        <v>50</v>
      </c>
      <c r="B12" s="89"/>
      <c r="C12" s="89">
        <v>0.02</v>
      </c>
      <c r="D12" s="89" t="s">
        <v>2</v>
      </c>
      <c r="E12" s="90"/>
      <c r="F12" s="34" t="s">
        <v>179</v>
      </c>
      <c r="G12" s="88" t="s">
        <v>50</v>
      </c>
      <c r="H12" s="89"/>
      <c r="I12" s="89">
        <v>0.02</v>
      </c>
      <c r="J12" s="89" t="s">
        <v>2</v>
      </c>
      <c r="K12" s="90"/>
      <c r="M12" s="88" t="s">
        <v>50</v>
      </c>
      <c r="N12" s="89"/>
      <c r="O12" s="89">
        <v>0.02</v>
      </c>
      <c r="P12" s="89" t="s">
        <v>2</v>
      </c>
      <c r="Q12" s="90"/>
      <c r="S12" s="88" t="s">
        <v>1186</v>
      </c>
      <c r="T12" s="89"/>
      <c r="U12" s="89">
        <v>0.02</v>
      </c>
      <c r="V12" s="89" t="s">
        <v>2</v>
      </c>
      <c r="W12" s="90"/>
      <c r="Y12" s="88" t="s">
        <v>1212</v>
      </c>
      <c r="Z12" s="89"/>
      <c r="AA12" s="89">
        <v>0.02</v>
      </c>
      <c r="AB12" s="89" t="s">
        <v>2</v>
      </c>
      <c r="AC12" s="90"/>
      <c r="AJ12" s="34"/>
      <c r="AK12" s="34"/>
    </row>
    <row r="13" spans="1:37" x14ac:dyDescent="0.2">
      <c r="A13" s="88" t="s">
        <v>51</v>
      </c>
      <c r="B13" s="89"/>
      <c r="C13" s="89">
        <v>1.4999999999999999E-2</v>
      </c>
      <c r="D13" s="89" t="s">
        <v>2</v>
      </c>
      <c r="E13" s="91"/>
      <c r="F13" s="34" t="s">
        <v>179</v>
      </c>
      <c r="G13" s="88" t="s">
        <v>51</v>
      </c>
      <c r="H13" s="89"/>
      <c r="I13" s="89">
        <v>1.4999999999999999E-2</v>
      </c>
      <c r="J13" s="89" t="s">
        <v>2</v>
      </c>
      <c r="K13" s="91"/>
      <c r="M13" s="88" t="s">
        <v>51</v>
      </c>
      <c r="N13" s="89"/>
      <c r="O13" s="89">
        <v>1.4999999999999999E-2</v>
      </c>
      <c r="P13" s="89" t="s">
        <v>2</v>
      </c>
      <c r="Q13" s="91"/>
      <c r="S13" s="88" t="s">
        <v>1187</v>
      </c>
      <c r="T13" s="89"/>
      <c r="U13" s="89">
        <v>1.4999999999999999E-2</v>
      </c>
      <c r="V13" s="89" t="s">
        <v>2</v>
      </c>
      <c r="W13" s="91"/>
      <c r="Y13" s="88" t="s">
        <v>1213</v>
      </c>
      <c r="Z13" s="89"/>
      <c r="AA13" s="89">
        <v>1.4999999999999999E-2</v>
      </c>
      <c r="AB13" s="89" t="s">
        <v>2</v>
      </c>
      <c r="AC13" s="91"/>
    </row>
    <row r="14" spans="1:37" x14ac:dyDescent="0.2">
      <c r="A14" s="88" t="s">
        <v>52</v>
      </c>
      <c r="B14" s="89"/>
      <c r="C14" s="89">
        <v>5.0000000000000001E-3</v>
      </c>
      <c r="D14" s="89" t="s">
        <v>2</v>
      </c>
      <c r="E14" s="91"/>
      <c r="G14" s="88" t="s">
        <v>52</v>
      </c>
      <c r="H14" s="89"/>
      <c r="I14" s="89">
        <v>5.0000000000000001E-3</v>
      </c>
      <c r="J14" s="89" t="s">
        <v>2</v>
      </c>
      <c r="K14" s="91"/>
      <c r="M14" s="88" t="s">
        <v>52</v>
      </c>
      <c r="N14" s="89"/>
      <c r="O14" s="89">
        <v>5.0000000000000001E-3</v>
      </c>
      <c r="P14" s="89" t="s">
        <v>2</v>
      </c>
      <c r="Q14" s="91"/>
      <c r="S14" s="88" t="s">
        <v>1188</v>
      </c>
      <c r="T14" s="89"/>
      <c r="U14" s="89">
        <v>5.0000000000000001E-3</v>
      </c>
      <c r="V14" s="89" t="s">
        <v>2</v>
      </c>
      <c r="W14" s="91"/>
      <c r="Y14" s="88" t="s">
        <v>1214</v>
      </c>
      <c r="Z14" s="89"/>
      <c r="AA14" s="89">
        <v>5.0000000000000001E-3</v>
      </c>
      <c r="AB14" s="89" t="s">
        <v>2</v>
      </c>
      <c r="AC14" s="91"/>
    </row>
    <row r="15" spans="1:37" x14ac:dyDescent="0.2">
      <c r="A15" s="88" t="s">
        <v>53</v>
      </c>
      <c r="B15" s="89"/>
      <c r="C15" s="89">
        <v>0.15</v>
      </c>
      <c r="D15" s="89" t="s">
        <v>2</v>
      </c>
      <c r="E15" s="90"/>
      <c r="F15" s="34" t="s">
        <v>179</v>
      </c>
      <c r="G15" s="88" t="s">
        <v>53</v>
      </c>
      <c r="H15" s="89"/>
      <c r="I15" s="89">
        <v>0.15</v>
      </c>
      <c r="J15" s="89" t="s">
        <v>2</v>
      </c>
      <c r="K15" s="90"/>
      <c r="M15" s="88" t="s">
        <v>53</v>
      </c>
      <c r="N15" s="89"/>
      <c r="O15" s="89">
        <v>0.15</v>
      </c>
      <c r="P15" s="89" t="s">
        <v>2</v>
      </c>
      <c r="Q15" s="90"/>
      <c r="S15" s="88" t="s">
        <v>1189</v>
      </c>
      <c r="T15" s="89"/>
      <c r="U15" s="89">
        <v>0.15</v>
      </c>
      <c r="V15" s="89" t="s">
        <v>2</v>
      </c>
      <c r="W15" s="90"/>
      <c r="Y15" s="88" t="s">
        <v>1215</v>
      </c>
      <c r="Z15" s="89"/>
      <c r="AA15" s="89">
        <v>0.15</v>
      </c>
      <c r="AB15" s="89" t="s">
        <v>2</v>
      </c>
      <c r="AC15" s="90"/>
    </row>
    <row r="16" spans="1:37" x14ac:dyDescent="0.2">
      <c r="A16" s="88" t="s">
        <v>54</v>
      </c>
      <c r="B16" s="89"/>
      <c r="C16" s="89">
        <v>0.05</v>
      </c>
      <c r="D16" s="89" t="s">
        <v>2</v>
      </c>
      <c r="E16" s="90"/>
      <c r="F16" s="34" t="s">
        <v>179</v>
      </c>
      <c r="G16" s="88" t="s">
        <v>54</v>
      </c>
      <c r="H16" s="89"/>
      <c r="I16" s="89">
        <v>0.05</v>
      </c>
      <c r="J16" s="89" t="s">
        <v>2</v>
      </c>
      <c r="K16" s="90"/>
      <c r="M16" s="88" t="s">
        <v>54</v>
      </c>
      <c r="N16" s="89"/>
      <c r="O16" s="89">
        <v>0.05</v>
      </c>
      <c r="P16" s="89" t="s">
        <v>2</v>
      </c>
      <c r="Q16" s="90"/>
      <c r="S16" s="88" t="s">
        <v>1116</v>
      </c>
      <c r="T16" s="89"/>
      <c r="U16" s="89">
        <v>0.05</v>
      </c>
      <c r="V16" s="89" t="s">
        <v>2</v>
      </c>
      <c r="W16" s="90"/>
      <c r="Y16" s="88" t="s">
        <v>1142</v>
      </c>
      <c r="Z16" s="89"/>
      <c r="AA16" s="89">
        <v>0.05</v>
      </c>
      <c r="AB16" s="89" t="s">
        <v>2</v>
      </c>
      <c r="AC16" s="90"/>
    </row>
    <row r="17" spans="1:37" x14ac:dyDescent="0.2">
      <c r="A17" s="88" t="s">
        <v>45</v>
      </c>
      <c r="B17" s="89"/>
      <c r="C17" s="89">
        <v>0.01</v>
      </c>
      <c r="D17" s="89" t="s">
        <v>2</v>
      </c>
      <c r="E17" s="90"/>
      <c r="F17" s="34" t="s">
        <v>179</v>
      </c>
      <c r="G17" s="88" t="s">
        <v>45</v>
      </c>
      <c r="H17" s="89"/>
      <c r="I17" s="89">
        <v>0.01</v>
      </c>
      <c r="J17" s="89" t="s">
        <v>2</v>
      </c>
      <c r="K17" s="90"/>
      <c r="M17" s="88" t="s">
        <v>45</v>
      </c>
      <c r="N17" s="89"/>
      <c r="O17" s="89">
        <v>0.01</v>
      </c>
      <c r="P17" s="89" t="s">
        <v>2</v>
      </c>
      <c r="Q17" s="90"/>
      <c r="S17" s="88" t="s">
        <v>152</v>
      </c>
      <c r="T17" s="89"/>
      <c r="U17" s="89">
        <v>0.01</v>
      </c>
      <c r="V17" s="89" t="s">
        <v>2</v>
      </c>
      <c r="W17" s="90"/>
      <c r="Y17" s="88" t="s">
        <v>1136</v>
      </c>
      <c r="Z17" s="89"/>
      <c r="AA17" s="89">
        <v>0.01</v>
      </c>
      <c r="AB17" s="89" t="s">
        <v>2</v>
      </c>
      <c r="AC17" s="90"/>
    </row>
    <row r="18" spans="1:37" x14ac:dyDescent="0.2">
      <c r="A18" s="88" t="s">
        <v>55</v>
      </c>
      <c r="B18" s="89"/>
      <c r="C18" s="89">
        <v>0.01</v>
      </c>
      <c r="D18" s="89" t="s">
        <v>2</v>
      </c>
      <c r="E18" s="90"/>
      <c r="G18" s="88" t="s">
        <v>55</v>
      </c>
      <c r="H18" s="89"/>
      <c r="I18" s="89">
        <v>0.01</v>
      </c>
      <c r="J18" s="89" t="s">
        <v>2</v>
      </c>
      <c r="K18" s="90"/>
      <c r="M18" s="88" t="s">
        <v>55</v>
      </c>
      <c r="N18" s="89"/>
      <c r="O18" s="89">
        <v>0.01</v>
      </c>
      <c r="P18" s="89" t="s">
        <v>2</v>
      </c>
      <c r="Q18" s="90"/>
      <c r="S18" s="88" t="s">
        <v>1190</v>
      </c>
      <c r="T18" s="89"/>
      <c r="U18" s="89">
        <v>0.01</v>
      </c>
      <c r="V18" s="89" t="s">
        <v>2</v>
      </c>
      <c r="W18" s="90"/>
      <c r="Y18" s="88" t="s">
        <v>1216</v>
      </c>
      <c r="Z18" s="89"/>
      <c r="AA18" s="89">
        <v>0.01</v>
      </c>
      <c r="AB18" s="89" t="s">
        <v>2</v>
      </c>
      <c r="AC18" s="90"/>
    </row>
    <row r="19" spans="1:37" x14ac:dyDescent="0.2">
      <c r="A19" s="88" t="s">
        <v>56</v>
      </c>
      <c r="B19" s="89"/>
      <c r="C19" s="89">
        <v>0.1</v>
      </c>
      <c r="D19" s="89" t="s">
        <v>2</v>
      </c>
      <c r="E19" s="90" t="s">
        <v>735</v>
      </c>
      <c r="F19" s="34" t="s">
        <v>179</v>
      </c>
      <c r="G19" s="88" t="s">
        <v>56</v>
      </c>
      <c r="H19" s="89"/>
      <c r="I19" s="89">
        <v>0.1</v>
      </c>
      <c r="J19" s="89" t="s">
        <v>2</v>
      </c>
      <c r="K19" s="90"/>
      <c r="M19" s="88" t="s">
        <v>56</v>
      </c>
      <c r="N19" s="89"/>
      <c r="O19" s="89">
        <v>0.1</v>
      </c>
      <c r="P19" s="89" t="s">
        <v>2</v>
      </c>
      <c r="Q19" s="90"/>
      <c r="S19" s="88" t="s">
        <v>1191</v>
      </c>
      <c r="T19" s="89"/>
      <c r="U19" s="89">
        <v>0.1</v>
      </c>
      <c r="V19" s="89" t="s">
        <v>2</v>
      </c>
      <c r="W19" s="90"/>
      <c r="Y19" s="88" t="s">
        <v>1217</v>
      </c>
      <c r="Z19" s="89"/>
      <c r="AA19" s="89">
        <v>0.1</v>
      </c>
      <c r="AB19" s="89" t="s">
        <v>2</v>
      </c>
      <c r="AC19" s="90"/>
    </row>
    <row r="20" spans="1:37" x14ac:dyDescent="0.2">
      <c r="A20" s="88" t="s">
        <v>57</v>
      </c>
      <c r="B20" s="89"/>
      <c r="C20" s="89">
        <v>0.02</v>
      </c>
      <c r="D20" s="89" t="s">
        <v>2</v>
      </c>
      <c r="E20" s="90"/>
      <c r="F20" s="34" t="s">
        <v>179</v>
      </c>
      <c r="G20" s="88" t="s">
        <v>57</v>
      </c>
      <c r="H20" s="89"/>
      <c r="I20" s="89">
        <v>0.02</v>
      </c>
      <c r="J20" s="89" t="s">
        <v>2</v>
      </c>
      <c r="K20" s="90"/>
      <c r="M20" s="88" t="s">
        <v>57</v>
      </c>
      <c r="N20" s="89"/>
      <c r="O20" s="89">
        <v>0.02</v>
      </c>
      <c r="P20" s="89" t="s">
        <v>2</v>
      </c>
      <c r="Q20" s="90"/>
      <c r="S20" s="88" t="s">
        <v>1192</v>
      </c>
      <c r="T20" s="89"/>
      <c r="U20" s="89">
        <v>0.02</v>
      </c>
      <c r="V20" s="89" t="s">
        <v>2</v>
      </c>
      <c r="W20" s="90"/>
      <c r="Y20" s="88" t="s">
        <v>1218</v>
      </c>
      <c r="Z20" s="89"/>
      <c r="AA20" s="89">
        <v>0.02</v>
      </c>
      <c r="AB20" s="89" t="s">
        <v>2</v>
      </c>
      <c r="AC20" s="90"/>
    </row>
    <row r="21" spans="1:37" x14ac:dyDescent="0.2">
      <c r="A21" s="88" t="s">
        <v>191</v>
      </c>
      <c r="B21" s="89"/>
      <c r="C21" s="89">
        <v>0.01</v>
      </c>
      <c r="D21" s="89" t="s">
        <v>2</v>
      </c>
      <c r="E21" s="90" t="s">
        <v>179</v>
      </c>
      <c r="F21" s="34" t="s">
        <v>179</v>
      </c>
      <c r="G21" s="88" t="s">
        <v>191</v>
      </c>
      <c r="H21" s="89"/>
      <c r="I21" s="89">
        <v>0.01</v>
      </c>
      <c r="J21" s="89" t="s">
        <v>2</v>
      </c>
      <c r="K21" s="324" t="s">
        <v>283</v>
      </c>
      <c r="M21" s="88" t="s">
        <v>191</v>
      </c>
      <c r="N21" s="89"/>
      <c r="O21" s="89">
        <v>0.01</v>
      </c>
      <c r="P21" s="89" t="s">
        <v>2</v>
      </c>
      <c r="Q21" s="324" t="s">
        <v>1237</v>
      </c>
      <c r="S21" s="88" t="s">
        <v>285</v>
      </c>
      <c r="T21" s="89"/>
      <c r="U21" s="89">
        <v>0.01</v>
      </c>
      <c r="V21" s="89" t="s">
        <v>2</v>
      </c>
      <c r="W21" s="90"/>
      <c r="Y21" s="88" t="s">
        <v>1145</v>
      </c>
      <c r="Z21" s="89"/>
      <c r="AA21" s="89">
        <v>0.01</v>
      </c>
      <c r="AB21" s="89" t="s">
        <v>2</v>
      </c>
      <c r="AC21" s="90"/>
      <c r="AJ21" s="34"/>
      <c r="AK21" s="34"/>
    </row>
    <row r="22" spans="1:37" x14ac:dyDescent="0.2">
      <c r="A22" s="88" t="s">
        <v>193</v>
      </c>
      <c r="B22" s="89"/>
      <c r="C22" s="89">
        <v>1E-3</v>
      </c>
      <c r="D22" s="89" t="s">
        <v>2</v>
      </c>
      <c r="E22" s="90" t="s">
        <v>179</v>
      </c>
      <c r="F22" s="34" t="s">
        <v>179</v>
      </c>
      <c r="G22" s="88" t="s">
        <v>193</v>
      </c>
      <c r="H22" s="89"/>
      <c r="I22" s="89">
        <v>1E-3</v>
      </c>
      <c r="J22" s="89" t="s">
        <v>2</v>
      </c>
      <c r="K22" s="324" t="s">
        <v>283</v>
      </c>
      <c r="M22" s="88" t="s">
        <v>193</v>
      </c>
      <c r="N22" s="89"/>
      <c r="O22" s="89">
        <v>1E-3</v>
      </c>
      <c r="P22" s="89" t="s">
        <v>2</v>
      </c>
      <c r="Q22" s="324" t="s">
        <v>1237</v>
      </c>
      <c r="S22" s="88" t="s">
        <v>1120</v>
      </c>
      <c r="T22" s="89"/>
      <c r="U22" s="89">
        <v>1E-3</v>
      </c>
      <c r="V22" s="89" t="s">
        <v>2</v>
      </c>
      <c r="W22" s="90"/>
      <c r="Y22" s="88" t="s">
        <v>1147</v>
      </c>
      <c r="Z22" s="89"/>
      <c r="AA22" s="89">
        <v>1E-3</v>
      </c>
      <c r="AB22" s="89" t="s">
        <v>2</v>
      </c>
      <c r="AC22" s="90"/>
      <c r="AJ22" s="34"/>
      <c r="AK22" s="34"/>
    </row>
    <row r="23" spans="1:37" x14ac:dyDescent="0.2">
      <c r="A23" s="88" t="s">
        <v>703</v>
      </c>
      <c r="B23" s="89"/>
      <c r="C23" s="89">
        <v>0</v>
      </c>
      <c r="D23" s="89" t="s">
        <v>2</v>
      </c>
      <c r="E23" s="90" t="s">
        <v>271</v>
      </c>
      <c r="F23" s="34" t="s">
        <v>179</v>
      </c>
      <c r="G23" s="88" t="s">
        <v>703</v>
      </c>
      <c r="H23" s="89"/>
      <c r="I23" s="89">
        <v>0</v>
      </c>
      <c r="J23" s="89" t="s">
        <v>2</v>
      </c>
      <c r="K23" s="324" t="s">
        <v>283</v>
      </c>
      <c r="M23" s="88" t="s">
        <v>703</v>
      </c>
      <c r="N23" s="89"/>
      <c r="O23" s="89">
        <v>0</v>
      </c>
      <c r="P23" s="89" t="s">
        <v>2</v>
      </c>
      <c r="Q23" s="324" t="s">
        <v>1237</v>
      </c>
      <c r="S23" s="88" t="s">
        <v>1121</v>
      </c>
      <c r="T23" s="89"/>
      <c r="U23" s="89">
        <v>0</v>
      </c>
      <c r="V23" s="89" t="s">
        <v>2</v>
      </c>
      <c r="W23" s="90"/>
      <c r="Y23" s="88" t="s">
        <v>1148</v>
      </c>
      <c r="Z23" s="89"/>
      <c r="AA23" s="89">
        <v>0</v>
      </c>
      <c r="AB23" s="89" t="s">
        <v>2</v>
      </c>
      <c r="AC23" s="90"/>
      <c r="AJ23" s="34"/>
      <c r="AK23" s="34"/>
    </row>
    <row r="24" spans="1:37" x14ac:dyDescent="0.2">
      <c r="A24" s="88" t="s">
        <v>194</v>
      </c>
      <c r="B24" s="89"/>
      <c r="C24" s="89">
        <v>3.5000000000000003E-2</v>
      </c>
      <c r="D24" s="89" t="s">
        <v>2</v>
      </c>
      <c r="E24" s="90"/>
      <c r="F24" s="34" t="s">
        <v>179</v>
      </c>
      <c r="G24" s="88" t="s">
        <v>194</v>
      </c>
      <c r="H24" s="89"/>
      <c r="I24" s="89">
        <v>3.5000000000000003E-2</v>
      </c>
      <c r="J24" s="89" t="s">
        <v>2</v>
      </c>
      <c r="K24" s="324" t="s">
        <v>283</v>
      </c>
      <c r="M24" s="88" t="s">
        <v>194</v>
      </c>
      <c r="N24" s="89"/>
      <c r="O24" s="89">
        <v>3.5000000000000003E-2</v>
      </c>
      <c r="P24" s="89" t="s">
        <v>2</v>
      </c>
      <c r="Q24" s="324" t="s">
        <v>1237</v>
      </c>
      <c r="S24" s="88" t="s">
        <v>1122</v>
      </c>
      <c r="T24" s="89"/>
      <c r="U24" s="89">
        <v>3.5000000000000003E-2</v>
      </c>
      <c r="V24" s="89" t="s">
        <v>2</v>
      </c>
      <c r="W24" s="90"/>
      <c r="Y24" s="88" t="s">
        <v>1149</v>
      </c>
      <c r="Z24" s="89"/>
      <c r="AA24" s="89">
        <v>3.5000000000000003E-2</v>
      </c>
      <c r="AB24" s="89" t="s">
        <v>2</v>
      </c>
      <c r="AC24" s="90"/>
      <c r="AJ24" s="34"/>
      <c r="AK24" s="34"/>
    </row>
    <row r="25" spans="1:37" x14ac:dyDescent="0.2">
      <c r="A25" s="88" t="s">
        <v>717</v>
      </c>
      <c r="B25" s="89"/>
      <c r="C25" s="89">
        <v>0.02</v>
      </c>
      <c r="D25" s="89" t="s">
        <v>2</v>
      </c>
      <c r="E25" s="90"/>
      <c r="F25" s="34" t="s">
        <v>179</v>
      </c>
      <c r="G25" s="88" t="s">
        <v>717</v>
      </c>
      <c r="H25" s="89"/>
      <c r="I25" s="89">
        <v>0.02</v>
      </c>
      <c r="J25" s="89" t="s">
        <v>2</v>
      </c>
      <c r="K25" s="324" t="s">
        <v>283</v>
      </c>
      <c r="M25" s="88" t="s">
        <v>717</v>
      </c>
      <c r="N25" s="89"/>
      <c r="O25" s="89">
        <v>0.02</v>
      </c>
      <c r="P25" s="89" t="s">
        <v>2</v>
      </c>
      <c r="Q25" s="324" t="s">
        <v>1237</v>
      </c>
      <c r="S25" s="88" t="s">
        <v>1193</v>
      </c>
      <c r="T25" s="89"/>
      <c r="U25" s="89">
        <v>0.02</v>
      </c>
      <c r="V25" s="89" t="s">
        <v>2</v>
      </c>
      <c r="W25" s="90"/>
      <c r="Y25" s="88" t="s">
        <v>1219</v>
      </c>
      <c r="Z25" s="89"/>
      <c r="AA25" s="89">
        <v>0.02</v>
      </c>
      <c r="AB25" s="89" t="s">
        <v>2</v>
      </c>
      <c r="AC25" s="90"/>
      <c r="AJ25" s="34"/>
      <c r="AK25" s="34"/>
    </row>
    <row r="26" spans="1:37" x14ac:dyDescent="0.2">
      <c r="A26" s="88" t="s">
        <v>718</v>
      </c>
      <c r="B26" s="89"/>
      <c r="C26" s="89">
        <v>0.02</v>
      </c>
      <c r="D26" s="89" t="s">
        <v>2</v>
      </c>
      <c r="E26" s="90"/>
      <c r="F26" s="34" t="s">
        <v>179</v>
      </c>
      <c r="G26" s="88" t="s">
        <v>718</v>
      </c>
      <c r="H26" s="89"/>
      <c r="I26" s="89">
        <v>0.02</v>
      </c>
      <c r="J26" s="89" t="s">
        <v>2</v>
      </c>
      <c r="K26" s="324" t="s">
        <v>283</v>
      </c>
      <c r="M26" s="88" t="s">
        <v>718</v>
      </c>
      <c r="N26" s="89"/>
      <c r="O26" s="89">
        <v>0.02</v>
      </c>
      <c r="P26" s="89" t="s">
        <v>2</v>
      </c>
      <c r="Q26" s="324" t="s">
        <v>1237</v>
      </c>
      <c r="S26" s="88" t="s">
        <v>1194</v>
      </c>
      <c r="T26" s="89"/>
      <c r="U26" s="89">
        <v>0.02</v>
      </c>
      <c r="V26" s="89" t="s">
        <v>2</v>
      </c>
      <c r="W26" s="90"/>
      <c r="Y26" s="88" t="s">
        <v>1220</v>
      </c>
      <c r="Z26" s="89"/>
      <c r="AA26" s="89">
        <v>0.02</v>
      </c>
      <c r="AB26" s="89" t="s">
        <v>2</v>
      </c>
      <c r="AC26" s="90"/>
      <c r="AJ26" s="34"/>
      <c r="AK26" s="34"/>
    </row>
    <row r="27" spans="1:37" x14ac:dyDescent="0.2">
      <c r="A27" s="88" t="s">
        <v>719</v>
      </c>
      <c r="B27" s="89"/>
      <c r="C27" s="89">
        <v>1.4999999999999999E-2</v>
      </c>
      <c r="D27" s="89" t="s">
        <v>2</v>
      </c>
      <c r="E27" s="91"/>
      <c r="F27" s="34" t="s">
        <v>179</v>
      </c>
      <c r="G27" s="88" t="s">
        <v>719</v>
      </c>
      <c r="H27" s="89"/>
      <c r="I27" s="89">
        <v>1.4999999999999999E-2</v>
      </c>
      <c r="J27" s="89" t="s">
        <v>2</v>
      </c>
      <c r="K27" s="324" t="s">
        <v>283</v>
      </c>
      <c r="M27" s="88" t="s">
        <v>719</v>
      </c>
      <c r="N27" s="89"/>
      <c r="O27" s="89">
        <v>1.4999999999999999E-2</v>
      </c>
      <c r="P27" s="89" t="s">
        <v>2</v>
      </c>
      <c r="Q27" s="324" t="s">
        <v>1237</v>
      </c>
      <c r="S27" s="88" t="s">
        <v>1195</v>
      </c>
      <c r="T27" s="89"/>
      <c r="U27" s="89">
        <v>1.4999999999999999E-2</v>
      </c>
      <c r="V27" s="89" t="s">
        <v>2</v>
      </c>
      <c r="W27" s="91"/>
      <c r="Y27" s="88" t="s">
        <v>1221</v>
      </c>
      <c r="Z27" s="89"/>
      <c r="AA27" s="89">
        <v>1.4999999999999999E-2</v>
      </c>
      <c r="AB27" s="89" t="s">
        <v>2</v>
      </c>
      <c r="AC27" s="91"/>
    </row>
    <row r="28" spans="1:37" x14ac:dyDescent="0.2">
      <c r="A28" s="88" t="s">
        <v>720</v>
      </c>
      <c r="B28" s="89"/>
      <c r="C28" s="89">
        <v>5.0000000000000001E-3</v>
      </c>
      <c r="D28" s="89" t="s">
        <v>2</v>
      </c>
      <c r="E28" s="91"/>
      <c r="G28" s="88" t="s">
        <v>720</v>
      </c>
      <c r="H28" s="89"/>
      <c r="I28" s="89">
        <v>5.0000000000000001E-3</v>
      </c>
      <c r="J28" s="89" t="s">
        <v>2</v>
      </c>
      <c r="K28" s="324" t="s">
        <v>283</v>
      </c>
      <c r="M28" s="88" t="s">
        <v>720</v>
      </c>
      <c r="N28" s="89"/>
      <c r="O28" s="89">
        <v>5.0000000000000001E-3</v>
      </c>
      <c r="P28" s="89" t="s">
        <v>2</v>
      </c>
      <c r="Q28" s="324" t="s">
        <v>1237</v>
      </c>
      <c r="S28" s="88" t="s">
        <v>1196</v>
      </c>
      <c r="T28" s="89"/>
      <c r="U28" s="89">
        <v>5.0000000000000001E-3</v>
      </c>
      <c r="V28" s="89" t="s">
        <v>2</v>
      </c>
      <c r="W28" s="91"/>
      <c r="Y28" s="88" t="s">
        <v>1222</v>
      </c>
      <c r="Z28" s="89"/>
      <c r="AA28" s="89">
        <v>5.0000000000000001E-3</v>
      </c>
      <c r="AB28" s="89" t="s">
        <v>2</v>
      </c>
      <c r="AC28" s="91"/>
    </row>
    <row r="29" spans="1:37" x14ac:dyDescent="0.2">
      <c r="A29" s="88" t="s">
        <v>721</v>
      </c>
      <c r="B29" s="89"/>
      <c r="C29" s="89">
        <v>0</v>
      </c>
      <c r="D29" s="89" t="s">
        <v>2</v>
      </c>
      <c r="E29" s="90" t="s">
        <v>271</v>
      </c>
      <c r="F29" s="34" t="s">
        <v>179</v>
      </c>
      <c r="G29" s="88" t="s">
        <v>721</v>
      </c>
      <c r="H29" s="89"/>
      <c r="I29" s="89">
        <v>0</v>
      </c>
      <c r="J29" s="89" t="s">
        <v>2</v>
      </c>
      <c r="K29" s="324" t="s">
        <v>283</v>
      </c>
      <c r="M29" s="88" t="s">
        <v>721</v>
      </c>
      <c r="N29" s="89"/>
      <c r="O29" s="89">
        <v>0</v>
      </c>
      <c r="P29" s="89" t="s">
        <v>2</v>
      </c>
      <c r="Q29" s="324" t="s">
        <v>1237</v>
      </c>
      <c r="S29" s="88" t="s">
        <v>1197</v>
      </c>
      <c r="T29" s="89"/>
      <c r="U29" s="89">
        <v>0</v>
      </c>
      <c r="V29" s="89" t="s">
        <v>2</v>
      </c>
      <c r="W29" s="90"/>
      <c r="Y29" s="88" t="s">
        <v>1223</v>
      </c>
      <c r="Z29" s="89"/>
      <c r="AA29" s="89">
        <v>0</v>
      </c>
      <c r="AB29" s="89" t="s">
        <v>2</v>
      </c>
      <c r="AC29" s="90"/>
    </row>
    <row r="30" spans="1:37" x14ac:dyDescent="0.2">
      <c r="A30" s="88" t="s">
        <v>722</v>
      </c>
      <c r="B30" s="89"/>
      <c r="C30" s="89">
        <v>0.05</v>
      </c>
      <c r="D30" s="89" t="s">
        <v>2</v>
      </c>
      <c r="E30" s="90"/>
      <c r="F30" s="34" t="s">
        <v>179</v>
      </c>
      <c r="G30" s="88" t="s">
        <v>722</v>
      </c>
      <c r="H30" s="89"/>
      <c r="I30" s="89">
        <v>0.05</v>
      </c>
      <c r="J30" s="89" t="s">
        <v>2</v>
      </c>
      <c r="K30" s="324" t="s">
        <v>283</v>
      </c>
      <c r="M30" s="88" t="s">
        <v>722</v>
      </c>
      <c r="N30" s="89"/>
      <c r="O30" s="89">
        <v>0.05</v>
      </c>
      <c r="P30" s="89" t="s">
        <v>2</v>
      </c>
      <c r="Q30" s="324" t="s">
        <v>1237</v>
      </c>
      <c r="S30" s="88" t="s">
        <v>1198</v>
      </c>
      <c r="T30" s="89"/>
      <c r="U30" s="89">
        <v>0.05</v>
      </c>
      <c r="V30" s="89" t="s">
        <v>2</v>
      </c>
      <c r="W30" s="90"/>
      <c r="Y30" s="88" t="s">
        <v>1224</v>
      </c>
      <c r="Z30" s="89"/>
      <c r="AA30" s="89">
        <v>0.05</v>
      </c>
      <c r="AB30" s="89" t="s">
        <v>2</v>
      </c>
      <c r="AC30" s="90"/>
    </row>
    <row r="31" spans="1:37" x14ac:dyDescent="0.2">
      <c r="A31" s="88" t="s">
        <v>191</v>
      </c>
      <c r="B31" s="89"/>
      <c r="C31" s="89">
        <v>0.01</v>
      </c>
      <c r="D31" s="89" t="s">
        <v>2</v>
      </c>
      <c r="E31" s="90"/>
      <c r="F31" s="34" t="s">
        <v>179</v>
      </c>
      <c r="G31" s="88" t="s">
        <v>191</v>
      </c>
      <c r="H31" s="89"/>
      <c r="I31" s="89">
        <v>0.01</v>
      </c>
      <c r="J31" s="89" t="s">
        <v>2</v>
      </c>
      <c r="K31" s="324" t="s">
        <v>283</v>
      </c>
      <c r="M31" s="88" t="s">
        <v>191</v>
      </c>
      <c r="N31" s="89"/>
      <c r="O31" s="89">
        <v>0.01</v>
      </c>
      <c r="P31" s="89" t="s">
        <v>2</v>
      </c>
      <c r="Q31" s="324" t="s">
        <v>1237</v>
      </c>
      <c r="S31" s="88" t="s">
        <v>285</v>
      </c>
      <c r="T31" s="89"/>
      <c r="U31" s="89">
        <v>0.01</v>
      </c>
      <c r="V31" s="89" t="s">
        <v>2</v>
      </c>
      <c r="W31" s="90"/>
      <c r="Y31" s="88" t="s">
        <v>1145</v>
      </c>
      <c r="Z31" s="89"/>
      <c r="AA31" s="89">
        <v>0.01</v>
      </c>
      <c r="AB31" s="89" t="s">
        <v>2</v>
      </c>
      <c r="AC31" s="90"/>
    </row>
    <row r="32" spans="1:37" x14ac:dyDescent="0.2">
      <c r="A32" s="88" t="s">
        <v>723</v>
      </c>
      <c r="B32" s="89"/>
      <c r="C32" s="89">
        <v>0</v>
      </c>
      <c r="D32" s="89" t="s">
        <v>2</v>
      </c>
      <c r="E32" s="90" t="s">
        <v>271</v>
      </c>
      <c r="G32" s="88" t="s">
        <v>723</v>
      </c>
      <c r="H32" s="89"/>
      <c r="I32" s="89">
        <v>0</v>
      </c>
      <c r="J32" s="89" t="s">
        <v>2</v>
      </c>
      <c r="K32" s="324" t="s">
        <v>283</v>
      </c>
      <c r="M32" s="88" t="s">
        <v>723</v>
      </c>
      <c r="N32" s="89"/>
      <c r="O32" s="89">
        <v>0</v>
      </c>
      <c r="P32" s="89" t="s">
        <v>2</v>
      </c>
      <c r="Q32" s="324" t="s">
        <v>1237</v>
      </c>
      <c r="S32" s="88" t="s">
        <v>1199</v>
      </c>
      <c r="T32" s="89"/>
      <c r="U32" s="89">
        <v>0</v>
      </c>
      <c r="V32" s="89" t="s">
        <v>2</v>
      </c>
      <c r="W32" s="90"/>
      <c r="Y32" s="88" t="s">
        <v>1225</v>
      </c>
      <c r="Z32" s="89"/>
      <c r="AA32" s="89">
        <v>0</v>
      </c>
      <c r="AB32" s="89" t="s">
        <v>2</v>
      </c>
      <c r="AC32" s="90"/>
    </row>
    <row r="33" spans="1:37" x14ac:dyDescent="0.2">
      <c r="A33" s="88" t="s">
        <v>724</v>
      </c>
      <c r="B33" s="89"/>
      <c r="C33" s="89">
        <v>0.1</v>
      </c>
      <c r="D33" s="89" t="s">
        <v>2</v>
      </c>
      <c r="E33" s="90"/>
      <c r="F33" s="34" t="s">
        <v>179</v>
      </c>
      <c r="G33" s="88" t="s">
        <v>724</v>
      </c>
      <c r="H33" s="89"/>
      <c r="I33" s="89">
        <v>0.1</v>
      </c>
      <c r="J33" s="89" t="s">
        <v>2</v>
      </c>
      <c r="K33" s="324" t="s">
        <v>283</v>
      </c>
      <c r="M33" s="88" t="s">
        <v>724</v>
      </c>
      <c r="N33" s="89"/>
      <c r="O33" s="89">
        <v>0.1</v>
      </c>
      <c r="P33" s="89" t="s">
        <v>2</v>
      </c>
      <c r="Q33" s="324" t="s">
        <v>1237</v>
      </c>
      <c r="S33" s="88" t="s">
        <v>1200</v>
      </c>
      <c r="T33" s="89"/>
      <c r="U33" s="89">
        <v>0.1</v>
      </c>
      <c r="V33" s="89" t="s">
        <v>2</v>
      </c>
      <c r="W33" s="90"/>
      <c r="Y33" s="88" t="s">
        <v>1226</v>
      </c>
      <c r="Z33" s="89"/>
      <c r="AA33" s="89">
        <v>0.1</v>
      </c>
      <c r="AB33" s="89" t="s">
        <v>2</v>
      </c>
      <c r="AC33" s="90"/>
    </row>
    <row r="34" spans="1:37" x14ac:dyDescent="0.2">
      <c r="A34" s="88" t="s">
        <v>725</v>
      </c>
      <c r="B34" s="89"/>
      <c r="C34" s="89">
        <v>0.02</v>
      </c>
      <c r="D34" s="89" t="s">
        <v>2</v>
      </c>
      <c r="E34" s="90"/>
      <c r="F34" s="34" t="s">
        <v>179</v>
      </c>
      <c r="G34" s="88" t="s">
        <v>725</v>
      </c>
      <c r="H34" s="89"/>
      <c r="I34" s="89">
        <v>0.02</v>
      </c>
      <c r="J34" s="89" t="s">
        <v>2</v>
      </c>
      <c r="K34" s="324" t="s">
        <v>283</v>
      </c>
      <c r="M34" s="88" t="s">
        <v>725</v>
      </c>
      <c r="N34" s="89"/>
      <c r="O34" s="89">
        <v>0.02</v>
      </c>
      <c r="P34" s="89" t="s">
        <v>2</v>
      </c>
      <c r="Q34" s="324" t="s">
        <v>1237</v>
      </c>
      <c r="S34" s="88" t="s">
        <v>1201</v>
      </c>
      <c r="T34" s="89"/>
      <c r="U34" s="89">
        <v>0.02</v>
      </c>
      <c r="V34" s="89" t="s">
        <v>2</v>
      </c>
      <c r="W34" s="90"/>
      <c r="Y34" s="88" t="s">
        <v>1227</v>
      </c>
      <c r="Z34" s="89"/>
      <c r="AA34" s="89">
        <v>0.02</v>
      </c>
      <c r="AB34" s="89" t="s">
        <v>2</v>
      </c>
      <c r="AC34" s="90"/>
    </row>
    <row r="35" spans="1:37" x14ac:dyDescent="0.2">
      <c r="A35" s="88" t="s">
        <v>706</v>
      </c>
      <c r="B35" s="89"/>
      <c r="C35" s="89">
        <v>0.01</v>
      </c>
      <c r="D35" s="89" t="s">
        <v>2</v>
      </c>
      <c r="E35" s="90" t="s">
        <v>179</v>
      </c>
      <c r="F35" s="34" t="s">
        <v>179</v>
      </c>
      <c r="G35" s="88" t="s">
        <v>706</v>
      </c>
      <c r="H35" s="89"/>
      <c r="I35" s="89">
        <v>0.01</v>
      </c>
      <c r="J35" s="89" t="s">
        <v>2</v>
      </c>
      <c r="K35" s="324" t="s">
        <v>283</v>
      </c>
      <c r="M35" s="88" t="s">
        <v>706</v>
      </c>
      <c r="N35" s="89"/>
      <c r="O35" s="89">
        <v>0.01</v>
      </c>
      <c r="P35" s="89" t="s">
        <v>2</v>
      </c>
      <c r="Q35" s="324" t="s">
        <v>1237</v>
      </c>
      <c r="S35" s="88" t="s">
        <v>753</v>
      </c>
      <c r="T35" s="89"/>
      <c r="U35" s="89">
        <v>0.01</v>
      </c>
      <c r="V35" s="89" t="s">
        <v>2</v>
      </c>
      <c r="W35" s="90"/>
      <c r="Y35" s="88" t="s">
        <v>1180</v>
      </c>
      <c r="Z35" s="89"/>
      <c r="AA35" s="89">
        <v>0.01</v>
      </c>
      <c r="AB35" s="89" t="s">
        <v>2</v>
      </c>
      <c r="AC35" s="90"/>
      <c r="AJ35" s="34"/>
      <c r="AK35" s="34"/>
    </row>
    <row r="36" spans="1:37" x14ac:dyDescent="0.2">
      <c r="A36" s="88" t="s">
        <v>199</v>
      </c>
      <c r="B36" s="89"/>
      <c r="C36" s="89">
        <v>1E-3</v>
      </c>
      <c r="D36" s="89" t="s">
        <v>2</v>
      </c>
      <c r="E36" s="90" t="s">
        <v>179</v>
      </c>
      <c r="F36" s="34" t="s">
        <v>179</v>
      </c>
      <c r="G36" s="88" t="s">
        <v>199</v>
      </c>
      <c r="H36" s="89"/>
      <c r="I36" s="89">
        <v>1E-3</v>
      </c>
      <c r="J36" s="89" t="s">
        <v>2</v>
      </c>
      <c r="K36" s="324" t="s">
        <v>283</v>
      </c>
      <c r="M36" s="88" t="s">
        <v>199</v>
      </c>
      <c r="N36" s="89"/>
      <c r="O36" s="89">
        <v>1E-3</v>
      </c>
      <c r="P36" s="89" t="s">
        <v>2</v>
      </c>
      <c r="Q36" s="324" t="s">
        <v>1237</v>
      </c>
      <c r="S36" s="88" t="s">
        <v>1129</v>
      </c>
      <c r="T36" s="89"/>
      <c r="U36" s="89">
        <v>1E-3</v>
      </c>
      <c r="V36" s="89" t="s">
        <v>2</v>
      </c>
      <c r="W36" s="90"/>
      <c r="Y36" s="88" t="s">
        <v>1156</v>
      </c>
      <c r="Z36" s="89"/>
      <c r="AA36" s="89">
        <v>1E-3</v>
      </c>
      <c r="AB36" s="89" t="s">
        <v>2</v>
      </c>
      <c r="AC36" s="90"/>
      <c r="AJ36" s="34"/>
      <c r="AK36" s="34"/>
    </row>
    <row r="37" spans="1:37" x14ac:dyDescent="0.2">
      <c r="A37" s="88" t="s">
        <v>707</v>
      </c>
      <c r="B37" s="89"/>
      <c r="C37" s="89">
        <v>0.02</v>
      </c>
      <c r="D37" s="89" t="s">
        <v>2</v>
      </c>
      <c r="E37" s="90" t="s">
        <v>179</v>
      </c>
      <c r="F37" s="34" t="s">
        <v>179</v>
      </c>
      <c r="G37" s="88" t="s">
        <v>707</v>
      </c>
      <c r="H37" s="89"/>
      <c r="I37" s="89">
        <v>0.02</v>
      </c>
      <c r="J37" s="89" t="s">
        <v>2</v>
      </c>
      <c r="K37" s="324" t="s">
        <v>283</v>
      </c>
      <c r="M37" s="88" t="s">
        <v>707</v>
      </c>
      <c r="N37" s="89"/>
      <c r="O37" s="89">
        <v>0.02</v>
      </c>
      <c r="P37" s="89" t="s">
        <v>2</v>
      </c>
      <c r="Q37" s="324" t="s">
        <v>1237</v>
      </c>
      <c r="S37" s="88" t="s">
        <v>1173</v>
      </c>
      <c r="T37" s="89"/>
      <c r="U37" s="89">
        <v>0.02</v>
      </c>
      <c r="V37" s="89" t="s">
        <v>2</v>
      </c>
      <c r="W37" s="90"/>
      <c r="Y37" s="88" t="s">
        <v>1182</v>
      </c>
      <c r="Z37" s="89"/>
      <c r="AA37" s="89">
        <v>0.02</v>
      </c>
      <c r="AB37" s="89" t="s">
        <v>2</v>
      </c>
      <c r="AC37" s="90"/>
      <c r="AJ37" s="34"/>
      <c r="AK37" s="34"/>
    </row>
    <row r="38" spans="1:37" x14ac:dyDescent="0.2">
      <c r="A38" s="88" t="s">
        <v>201</v>
      </c>
      <c r="B38" s="89"/>
      <c r="C38" s="89">
        <v>3.5000000000000003E-2</v>
      </c>
      <c r="D38" s="89" t="s">
        <v>2</v>
      </c>
      <c r="E38" s="90"/>
      <c r="F38" s="34" t="s">
        <v>179</v>
      </c>
      <c r="G38" s="88" t="s">
        <v>201</v>
      </c>
      <c r="H38" s="89"/>
      <c r="I38" s="89">
        <v>3.5000000000000003E-2</v>
      </c>
      <c r="J38" s="89" t="s">
        <v>2</v>
      </c>
      <c r="K38" s="324" t="s">
        <v>283</v>
      </c>
      <c r="M38" s="88" t="s">
        <v>201</v>
      </c>
      <c r="N38" s="89"/>
      <c r="O38" s="89">
        <v>3.5000000000000003E-2</v>
      </c>
      <c r="P38" s="89" t="s">
        <v>2</v>
      </c>
      <c r="Q38" s="324" t="s">
        <v>1237</v>
      </c>
      <c r="S38" s="88" t="s">
        <v>1131</v>
      </c>
      <c r="T38" s="89"/>
      <c r="U38" s="89">
        <v>3.5000000000000003E-2</v>
      </c>
      <c r="V38" s="89" t="s">
        <v>2</v>
      </c>
      <c r="W38" s="90"/>
      <c r="Y38" s="88" t="s">
        <v>1158</v>
      </c>
      <c r="Z38" s="89"/>
      <c r="AA38" s="89">
        <v>3.5000000000000003E-2</v>
      </c>
      <c r="AB38" s="89" t="s">
        <v>2</v>
      </c>
      <c r="AC38" s="90"/>
      <c r="AJ38" s="34"/>
      <c r="AK38" s="34"/>
    </row>
    <row r="39" spans="1:37" x14ac:dyDescent="0.2">
      <c r="A39" s="88" t="s">
        <v>233</v>
      </c>
      <c r="B39" s="89"/>
      <c r="C39" s="89">
        <v>0.02</v>
      </c>
      <c r="D39" s="89" t="s">
        <v>2</v>
      </c>
      <c r="E39" s="90"/>
      <c r="F39" s="34" t="s">
        <v>179</v>
      </c>
      <c r="G39" s="88" t="s">
        <v>233</v>
      </c>
      <c r="H39" s="89"/>
      <c r="I39" s="89">
        <v>0.02</v>
      </c>
      <c r="J39" s="89" t="s">
        <v>2</v>
      </c>
      <c r="K39" s="324" t="s">
        <v>283</v>
      </c>
      <c r="M39" s="88" t="s">
        <v>233</v>
      </c>
      <c r="N39" s="89"/>
      <c r="O39" s="89">
        <v>0.02</v>
      </c>
      <c r="P39" s="89" t="s">
        <v>2</v>
      </c>
      <c r="Q39" s="324" t="s">
        <v>1237</v>
      </c>
      <c r="S39" s="88" t="s">
        <v>1202</v>
      </c>
      <c r="T39" s="89"/>
      <c r="U39" s="89">
        <v>0.02</v>
      </c>
      <c r="V39" s="89" t="s">
        <v>2</v>
      </c>
      <c r="W39" s="90"/>
      <c r="Y39" s="88" t="s">
        <v>1228</v>
      </c>
      <c r="Z39" s="89"/>
      <c r="AA39" s="89">
        <v>0.02</v>
      </c>
      <c r="AB39" s="89" t="s">
        <v>2</v>
      </c>
      <c r="AC39" s="90"/>
      <c r="AJ39" s="34"/>
      <c r="AK39" s="34"/>
    </row>
    <row r="40" spans="1:37" x14ac:dyDescent="0.2">
      <c r="A40" s="88" t="s">
        <v>726</v>
      </c>
      <c r="B40" s="89"/>
      <c r="C40" s="89">
        <v>0.02</v>
      </c>
      <c r="D40" s="89" t="s">
        <v>2</v>
      </c>
      <c r="E40" s="90"/>
      <c r="F40" s="34" t="s">
        <v>179</v>
      </c>
      <c r="G40" s="88" t="s">
        <v>726</v>
      </c>
      <c r="H40" s="89"/>
      <c r="I40" s="89">
        <v>0.02</v>
      </c>
      <c r="J40" s="89" t="s">
        <v>2</v>
      </c>
      <c r="K40" s="324" t="s">
        <v>283</v>
      </c>
      <c r="M40" s="88" t="s">
        <v>726</v>
      </c>
      <c r="N40" s="89"/>
      <c r="O40" s="89">
        <v>0.02</v>
      </c>
      <c r="P40" s="89" t="s">
        <v>2</v>
      </c>
      <c r="Q40" s="324" t="s">
        <v>1237</v>
      </c>
      <c r="S40" s="88" t="s">
        <v>1203</v>
      </c>
      <c r="T40" s="89"/>
      <c r="U40" s="89">
        <v>0.02</v>
      </c>
      <c r="V40" s="89" t="s">
        <v>2</v>
      </c>
      <c r="W40" s="90"/>
      <c r="Y40" s="88" t="s">
        <v>1229</v>
      </c>
      <c r="Z40" s="89"/>
      <c r="AA40" s="89">
        <v>0.02</v>
      </c>
      <c r="AB40" s="89" t="s">
        <v>2</v>
      </c>
      <c r="AC40" s="90"/>
      <c r="AJ40" s="34"/>
      <c r="AK40" s="34"/>
    </row>
    <row r="41" spans="1:37" x14ac:dyDescent="0.2">
      <c r="A41" s="88" t="s">
        <v>727</v>
      </c>
      <c r="B41" s="89"/>
      <c r="C41" s="89">
        <v>1.4999999999999999E-2</v>
      </c>
      <c r="D41" s="89" t="s">
        <v>2</v>
      </c>
      <c r="E41" s="91"/>
      <c r="F41" s="34" t="s">
        <v>179</v>
      </c>
      <c r="G41" s="88" t="s">
        <v>727</v>
      </c>
      <c r="H41" s="89"/>
      <c r="I41" s="89">
        <v>1.4999999999999999E-2</v>
      </c>
      <c r="J41" s="89" t="s">
        <v>2</v>
      </c>
      <c r="K41" s="324" t="s">
        <v>283</v>
      </c>
      <c r="M41" s="88" t="s">
        <v>727</v>
      </c>
      <c r="N41" s="89"/>
      <c r="O41" s="89">
        <v>1.4999999999999999E-2</v>
      </c>
      <c r="P41" s="89" t="s">
        <v>2</v>
      </c>
      <c r="Q41" s="324" t="s">
        <v>1237</v>
      </c>
      <c r="S41" s="88" t="s">
        <v>1204</v>
      </c>
      <c r="T41" s="89"/>
      <c r="U41" s="89">
        <v>1.4999999999999999E-2</v>
      </c>
      <c r="V41" s="89" t="s">
        <v>2</v>
      </c>
      <c r="W41" s="91"/>
      <c r="Y41" s="88" t="s">
        <v>1230</v>
      </c>
      <c r="Z41" s="89"/>
      <c r="AA41" s="89">
        <v>1.4999999999999999E-2</v>
      </c>
      <c r="AB41" s="89" t="s">
        <v>2</v>
      </c>
      <c r="AC41" s="91"/>
    </row>
    <row r="42" spans="1:37" x14ac:dyDescent="0.2">
      <c r="A42" s="88" t="s">
        <v>728</v>
      </c>
      <c r="B42" s="89"/>
      <c r="C42" s="89">
        <v>5.0000000000000001E-3</v>
      </c>
      <c r="D42" s="89" t="s">
        <v>2</v>
      </c>
      <c r="E42" s="91"/>
      <c r="G42" s="88" t="s">
        <v>728</v>
      </c>
      <c r="H42" s="89"/>
      <c r="I42" s="89">
        <v>5.0000000000000001E-3</v>
      </c>
      <c r="J42" s="89" t="s">
        <v>2</v>
      </c>
      <c r="K42" s="324" t="s">
        <v>283</v>
      </c>
      <c r="M42" s="88" t="s">
        <v>728</v>
      </c>
      <c r="N42" s="89"/>
      <c r="O42" s="89">
        <v>5.0000000000000001E-3</v>
      </c>
      <c r="P42" s="89" t="s">
        <v>2</v>
      </c>
      <c r="Q42" s="324" t="s">
        <v>1237</v>
      </c>
      <c r="S42" s="88" t="s">
        <v>1205</v>
      </c>
      <c r="T42" s="89"/>
      <c r="U42" s="89">
        <v>5.0000000000000001E-3</v>
      </c>
      <c r="V42" s="89" t="s">
        <v>2</v>
      </c>
      <c r="W42" s="91"/>
      <c r="Y42" s="88" t="s">
        <v>1231</v>
      </c>
      <c r="Z42" s="89"/>
      <c r="AA42" s="89">
        <v>5.0000000000000001E-3</v>
      </c>
      <c r="AB42" s="89" t="s">
        <v>2</v>
      </c>
      <c r="AC42" s="91"/>
    </row>
    <row r="43" spans="1:37" x14ac:dyDescent="0.2">
      <c r="A43" s="88" t="s">
        <v>729</v>
      </c>
      <c r="B43" s="89"/>
      <c r="C43" s="89">
        <v>0.15</v>
      </c>
      <c r="D43" s="89" t="s">
        <v>2</v>
      </c>
      <c r="E43" s="90"/>
      <c r="F43" s="34" t="s">
        <v>179</v>
      </c>
      <c r="G43" s="88" t="s">
        <v>729</v>
      </c>
      <c r="H43" s="89"/>
      <c r="I43" s="89">
        <v>0.15</v>
      </c>
      <c r="J43" s="89" t="s">
        <v>2</v>
      </c>
      <c r="K43" s="324" t="s">
        <v>283</v>
      </c>
      <c r="M43" s="88" t="s">
        <v>729</v>
      </c>
      <c r="N43" s="89"/>
      <c r="O43" s="89">
        <v>0.15</v>
      </c>
      <c r="P43" s="89" t="s">
        <v>2</v>
      </c>
      <c r="Q43" s="324" t="s">
        <v>1237</v>
      </c>
      <c r="S43" s="88" t="s">
        <v>1206</v>
      </c>
      <c r="T43" s="89"/>
      <c r="U43" s="89">
        <v>0.15</v>
      </c>
      <c r="V43" s="89" t="s">
        <v>2</v>
      </c>
      <c r="W43" s="90"/>
      <c r="Y43" s="88" t="s">
        <v>1232</v>
      </c>
      <c r="Z43" s="89"/>
      <c r="AA43" s="89">
        <v>0.15</v>
      </c>
      <c r="AB43" s="89" t="s">
        <v>2</v>
      </c>
      <c r="AC43" s="90"/>
    </row>
    <row r="44" spans="1:37" x14ac:dyDescent="0.2">
      <c r="A44" s="88" t="s">
        <v>730</v>
      </c>
      <c r="B44" s="89"/>
      <c r="C44" s="89">
        <v>0.05</v>
      </c>
      <c r="D44" s="89" t="s">
        <v>2</v>
      </c>
      <c r="E44" s="90"/>
      <c r="F44" s="34" t="s">
        <v>179</v>
      </c>
      <c r="G44" s="88" t="s">
        <v>730</v>
      </c>
      <c r="H44" s="89"/>
      <c r="I44" s="89">
        <v>0.05</v>
      </c>
      <c r="J44" s="89" t="s">
        <v>2</v>
      </c>
      <c r="K44" s="324" t="s">
        <v>283</v>
      </c>
      <c r="M44" s="88" t="s">
        <v>730</v>
      </c>
      <c r="N44" s="89"/>
      <c r="O44" s="89">
        <v>0.05</v>
      </c>
      <c r="P44" s="89" t="s">
        <v>2</v>
      </c>
      <c r="Q44" s="324" t="s">
        <v>1237</v>
      </c>
      <c r="S44" s="88" t="s">
        <v>1207</v>
      </c>
      <c r="T44" s="89"/>
      <c r="U44" s="89">
        <v>0.05</v>
      </c>
      <c r="V44" s="89" t="s">
        <v>2</v>
      </c>
      <c r="W44" s="90"/>
      <c r="Y44" s="88" t="s">
        <v>1233</v>
      </c>
      <c r="Z44" s="89"/>
      <c r="AA44" s="89">
        <v>0.05</v>
      </c>
      <c r="AB44" s="89" t="s">
        <v>2</v>
      </c>
      <c r="AC44" s="90"/>
    </row>
    <row r="45" spans="1:37" x14ac:dyDescent="0.2">
      <c r="A45" s="88" t="s">
        <v>706</v>
      </c>
      <c r="B45" s="89"/>
      <c r="C45" s="89">
        <v>0.01</v>
      </c>
      <c r="D45" s="89" t="s">
        <v>2</v>
      </c>
      <c r="E45" s="90"/>
      <c r="F45" s="34" t="s">
        <v>179</v>
      </c>
      <c r="G45" s="88" t="s">
        <v>706</v>
      </c>
      <c r="H45" s="89"/>
      <c r="I45" s="89">
        <v>0.01</v>
      </c>
      <c r="J45" s="89" t="s">
        <v>2</v>
      </c>
      <c r="K45" s="324" t="s">
        <v>283</v>
      </c>
      <c r="M45" s="88" t="s">
        <v>706</v>
      </c>
      <c r="N45" s="89"/>
      <c r="O45" s="89">
        <v>0.01</v>
      </c>
      <c r="P45" s="89" t="s">
        <v>2</v>
      </c>
      <c r="Q45" s="324" t="s">
        <v>1237</v>
      </c>
      <c r="S45" s="88" t="s">
        <v>753</v>
      </c>
      <c r="T45" s="89"/>
      <c r="U45" s="89">
        <v>0.01</v>
      </c>
      <c r="V45" s="89" t="s">
        <v>2</v>
      </c>
      <c r="W45" s="90"/>
      <c r="Y45" s="88" t="s">
        <v>1180</v>
      </c>
      <c r="Z45" s="89"/>
      <c r="AA45" s="89">
        <v>0.01</v>
      </c>
      <c r="AB45" s="89" t="s">
        <v>2</v>
      </c>
      <c r="AC45" s="90"/>
    </row>
    <row r="46" spans="1:37" x14ac:dyDescent="0.2">
      <c r="A46" s="88" t="s">
        <v>731</v>
      </c>
      <c r="B46" s="89"/>
      <c r="C46" s="89">
        <v>0.01</v>
      </c>
      <c r="D46" s="89" t="s">
        <v>2</v>
      </c>
      <c r="E46" s="90"/>
      <c r="G46" s="88" t="s">
        <v>731</v>
      </c>
      <c r="H46" s="89"/>
      <c r="I46" s="89">
        <v>0.01</v>
      </c>
      <c r="J46" s="89" t="s">
        <v>2</v>
      </c>
      <c r="K46" s="324" t="s">
        <v>283</v>
      </c>
      <c r="M46" s="88" t="s">
        <v>731</v>
      </c>
      <c r="N46" s="89"/>
      <c r="O46" s="89">
        <v>0.01</v>
      </c>
      <c r="P46" s="89" t="s">
        <v>2</v>
      </c>
      <c r="Q46" s="324" t="s">
        <v>1237</v>
      </c>
      <c r="S46" s="88" t="s">
        <v>1208</v>
      </c>
      <c r="T46" s="89"/>
      <c r="U46" s="89">
        <v>0.01</v>
      </c>
      <c r="V46" s="89" t="s">
        <v>2</v>
      </c>
      <c r="W46" s="90"/>
      <c r="Y46" s="88" t="s">
        <v>1234</v>
      </c>
      <c r="Z46" s="89"/>
      <c r="AA46" s="89">
        <v>0.01</v>
      </c>
      <c r="AB46" s="89" t="s">
        <v>2</v>
      </c>
      <c r="AC46" s="90"/>
    </row>
    <row r="47" spans="1:37" x14ac:dyDescent="0.2">
      <c r="A47" s="88" t="s">
        <v>732</v>
      </c>
      <c r="B47" s="89"/>
      <c r="C47" s="89">
        <v>0.1</v>
      </c>
      <c r="D47" s="89" t="s">
        <v>2</v>
      </c>
      <c r="E47" s="90"/>
      <c r="F47" s="34" t="s">
        <v>179</v>
      </c>
      <c r="G47" s="88" t="s">
        <v>732</v>
      </c>
      <c r="H47" s="89"/>
      <c r="I47" s="89">
        <v>0.1</v>
      </c>
      <c r="J47" s="89" t="s">
        <v>2</v>
      </c>
      <c r="K47" s="324" t="s">
        <v>283</v>
      </c>
      <c r="M47" s="88" t="s">
        <v>732</v>
      </c>
      <c r="N47" s="89"/>
      <c r="O47" s="89">
        <v>0.1</v>
      </c>
      <c r="P47" s="89" t="s">
        <v>2</v>
      </c>
      <c r="Q47" s="324" t="s">
        <v>1237</v>
      </c>
      <c r="S47" s="88" t="s">
        <v>1209</v>
      </c>
      <c r="T47" s="89"/>
      <c r="U47" s="89">
        <v>0.1</v>
      </c>
      <c r="V47" s="89" t="s">
        <v>2</v>
      </c>
      <c r="W47" s="90"/>
      <c r="Y47" s="88" t="s">
        <v>1235</v>
      </c>
      <c r="Z47" s="89"/>
      <c r="AA47" s="89">
        <v>0.1</v>
      </c>
      <c r="AB47" s="89" t="s">
        <v>2</v>
      </c>
      <c r="AC47" s="90"/>
    </row>
    <row r="48" spans="1:37" x14ac:dyDescent="0.2">
      <c r="A48" s="88" t="s">
        <v>733</v>
      </c>
      <c r="B48" s="89"/>
      <c r="C48" s="89">
        <v>0.02</v>
      </c>
      <c r="D48" s="89" t="s">
        <v>2</v>
      </c>
      <c r="E48" s="90"/>
      <c r="F48" s="34" t="s">
        <v>179</v>
      </c>
      <c r="G48" s="88" t="s">
        <v>733</v>
      </c>
      <c r="H48" s="89"/>
      <c r="I48" s="89">
        <v>0.02</v>
      </c>
      <c r="J48" s="89" t="s">
        <v>2</v>
      </c>
      <c r="K48" s="324" t="s">
        <v>283</v>
      </c>
      <c r="M48" s="88" t="s">
        <v>733</v>
      </c>
      <c r="N48" s="89"/>
      <c r="O48" s="89">
        <v>0.02</v>
      </c>
      <c r="P48" s="89" t="s">
        <v>2</v>
      </c>
      <c r="Q48" s="324" t="s">
        <v>1237</v>
      </c>
      <c r="S48" s="88" t="s">
        <v>1210</v>
      </c>
      <c r="T48" s="89"/>
      <c r="U48" s="89">
        <v>0.02</v>
      </c>
      <c r="V48" s="89" t="s">
        <v>2</v>
      </c>
      <c r="W48" s="90"/>
      <c r="Y48" s="88" t="s">
        <v>1236</v>
      </c>
      <c r="Z48" s="89"/>
      <c r="AA48" s="89">
        <v>0.02</v>
      </c>
      <c r="AB48" s="89" t="s">
        <v>2</v>
      </c>
      <c r="AC48" s="90"/>
    </row>
    <row r="49" spans="1:41" s="35" customFormat="1" x14ac:dyDescent="0.2">
      <c r="A49" s="277" t="s">
        <v>205</v>
      </c>
      <c r="B49" s="278"/>
      <c r="C49" s="278"/>
      <c r="D49" s="278"/>
      <c r="E49" s="279"/>
      <c r="F49" s="1"/>
      <c r="G49" s="277" t="s">
        <v>205</v>
      </c>
      <c r="H49" s="278"/>
      <c r="I49" s="278"/>
      <c r="J49" s="278"/>
      <c r="K49" s="279"/>
      <c r="L49" s="1"/>
      <c r="M49" s="277" t="s">
        <v>205</v>
      </c>
      <c r="N49" s="278"/>
      <c r="O49" s="278"/>
      <c r="P49" s="278"/>
      <c r="Q49" s="279"/>
      <c r="R49" s="1"/>
      <c r="S49" s="277" t="s">
        <v>205</v>
      </c>
      <c r="T49" s="278"/>
      <c r="U49" s="278"/>
      <c r="V49" s="278"/>
      <c r="W49" s="279"/>
      <c r="X49" s="1"/>
      <c r="Y49" s="277" t="s">
        <v>205</v>
      </c>
      <c r="Z49" s="278"/>
      <c r="AA49" s="278"/>
      <c r="AB49" s="278"/>
      <c r="AC49" s="279"/>
      <c r="AD49" s="99"/>
      <c r="AE49" s="99"/>
      <c r="AF49" s="99"/>
      <c r="AG49" s="99"/>
      <c r="AH49" s="99"/>
      <c r="AI49" s="99"/>
      <c r="AJ49" s="99"/>
      <c r="AK49" s="99"/>
    </row>
    <row r="50" spans="1:41" x14ac:dyDescent="0.2">
      <c r="A50" s="280" t="s">
        <v>206</v>
      </c>
      <c r="B50" s="281"/>
      <c r="C50" s="288">
        <v>0.7</v>
      </c>
      <c r="D50" s="281" t="s">
        <v>207</v>
      </c>
      <c r="E50" s="373" t="s">
        <v>1076</v>
      </c>
      <c r="F50" s="244" t="s">
        <v>179</v>
      </c>
      <c r="G50" s="280" t="s">
        <v>206</v>
      </c>
      <c r="H50" s="281"/>
      <c r="I50" s="288">
        <f>0.0933*0.8</f>
        <v>7.4639999999999998E-2</v>
      </c>
      <c r="J50" s="281" t="s">
        <v>207</v>
      </c>
      <c r="K50" s="373" t="s">
        <v>1163</v>
      </c>
      <c r="L50" s="244"/>
      <c r="M50" s="280" t="s">
        <v>206</v>
      </c>
      <c r="N50" s="281"/>
      <c r="O50" s="288">
        <v>2.73</v>
      </c>
      <c r="P50" s="281" t="s">
        <v>207</v>
      </c>
      <c r="Q50" s="373" t="s">
        <v>1080</v>
      </c>
      <c r="R50" s="244"/>
      <c r="S50" s="280" t="s">
        <v>206</v>
      </c>
      <c r="T50" s="281"/>
      <c r="U50" s="288">
        <v>0.7</v>
      </c>
      <c r="V50" s="281" t="s">
        <v>207</v>
      </c>
      <c r="W50" s="373" t="s">
        <v>1076</v>
      </c>
      <c r="X50" s="244"/>
      <c r="Y50" s="280" t="s">
        <v>206</v>
      </c>
      <c r="Z50" s="281"/>
      <c r="AA50" s="288">
        <v>0.7</v>
      </c>
      <c r="AB50" s="281" t="s">
        <v>207</v>
      </c>
      <c r="AC50" s="373" t="s">
        <v>1076</v>
      </c>
    </row>
    <row r="51" spans="1:41" x14ac:dyDescent="0.2">
      <c r="A51" s="280" t="s">
        <v>208</v>
      </c>
      <c r="B51" s="281"/>
      <c r="C51" s="288">
        <f>30/3.6</f>
        <v>8.3333333333333339</v>
      </c>
      <c r="D51" s="281" t="s">
        <v>207</v>
      </c>
      <c r="E51" s="373"/>
      <c r="F51" s="244" t="s">
        <v>179</v>
      </c>
      <c r="G51" s="280" t="s">
        <v>208</v>
      </c>
      <c r="H51" s="281"/>
      <c r="I51" s="288">
        <f>123/350</f>
        <v>0.35142857142857142</v>
      </c>
      <c r="J51" s="281" t="s">
        <v>207</v>
      </c>
      <c r="K51" s="373"/>
      <c r="L51" s="244"/>
      <c r="M51" s="280" t="s">
        <v>208</v>
      </c>
      <c r="N51" s="281"/>
      <c r="O51" s="288">
        <f>(69.9+0.38)/3.6</f>
        <v>19.522222222222222</v>
      </c>
      <c r="P51" s="281" t="s">
        <v>207</v>
      </c>
      <c r="Q51" s="373"/>
      <c r="R51" s="244"/>
      <c r="S51" s="280" t="s">
        <v>208</v>
      </c>
      <c r="T51" s="281"/>
      <c r="U51" s="288">
        <f>30/3.6</f>
        <v>8.3333333333333339</v>
      </c>
      <c r="V51" s="281" t="s">
        <v>207</v>
      </c>
      <c r="W51" s="373"/>
      <c r="X51" s="244"/>
      <c r="Y51" s="280" t="s">
        <v>208</v>
      </c>
      <c r="Z51" s="281"/>
      <c r="AA51" s="288">
        <f>30/3.6</f>
        <v>8.3333333333333339</v>
      </c>
      <c r="AB51" s="281" t="s">
        <v>207</v>
      </c>
      <c r="AC51" s="373"/>
    </row>
    <row r="52" spans="1:41" s="35" customFormat="1" x14ac:dyDescent="0.2">
      <c r="A52" s="277" t="s">
        <v>209</v>
      </c>
      <c r="B52" s="278"/>
      <c r="C52" s="278"/>
      <c r="D52" s="278"/>
      <c r="E52" s="279"/>
      <c r="F52" s="1"/>
      <c r="G52" s="277" t="s">
        <v>209</v>
      </c>
      <c r="H52" s="278"/>
      <c r="I52" s="278"/>
      <c r="J52" s="278"/>
      <c r="K52" s="279"/>
      <c r="L52" s="1"/>
      <c r="M52" s="277" t="s">
        <v>209</v>
      </c>
      <c r="N52" s="278"/>
      <c r="O52" s="278"/>
      <c r="P52" s="278"/>
      <c r="Q52" s="279"/>
      <c r="R52" s="1"/>
      <c r="S52" s="277" t="s">
        <v>209</v>
      </c>
      <c r="T52" s="278"/>
      <c r="U52" s="278"/>
      <c r="V52" s="278"/>
      <c r="W52" s="279"/>
      <c r="X52" s="1"/>
      <c r="Y52" s="277" t="s">
        <v>209</v>
      </c>
      <c r="Z52" s="278"/>
      <c r="AA52" s="278"/>
      <c r="AB52" s="278"/>
      <c r="AC52" s="279"/>
      <c r="AD52" s="99"/>
      <c r="AE52" s="99"/>
      <c r="AF52" s="99"/>
      <c r="AG52" s="99"/>
      <c r="AH52" s="99"/>
      <c r="AI52" s="99"/>
      <c r="AJ52" s="99"/>
      <c r="AK52" s="99"/>
    </row>
    <row r="53" spans="1:41" x14ac:dyDescent="0.2">
      <c r="A53" s="280" t="s">
        <v>210</v>
      </c>
      <c r="B53" s="281"/>
      <c r="C53" s="281">
        <v>2.0000000000000001E-4</v>
      </c>
      <c r="D53" s="281" t="s">
        <v>2</v>
      </c>
      <c r="E53" s="282" t="s">
        <v>211</v>
      </c>
      <c r="F53" s="244" t="s">
        <v>179</v>
      </c>
      <c r="G53" s="280" t="s">
        <v>210</v>
      </c>
      <c r="H53" s="281"/>
      <c r="I53" s="281">
        <v>2.0000000000000002E-5</v>
      </c>
      <c r="J53" s="281" t="s">
        <v>2</v>
      </c>
      <c r="K53" s="324" t="s">
        <v>283</v>
      </c>
      <c r="L53" t="s">
        <v>87</v>
      </c>
      <c r="M53" s="280" t="s">
        <v>210</v>
      </c>
      <c r="N53" s="281"/>
      <c r="O53" s="281">
        <v>2E-3</v>
      </c>
      <c r="P53" s="281" t="s">
        <v>2</v>
      </c>
      <c r="Q53" s="373" t="s">
        <v>1164</v>
      </c>
      <c r="R53" t="s">
        <v>87</v>
      </c>
      <c r="S53" s="280" t="s">
        <v>210</v>
      </c>
      <c r="T53" s="281"/>
      <c r="U53" s="281">
        <v>2.0000000000000001E-4</v>
      </c>
      <c r="V53" s="281" t="s">
        <v>2</v>
      </c>
      <c r="W53" s="282" t="s">
        <v>211</v>
      </c>
      <c r="X53" t="s">
        <v>87</v>
      </c>
      <c r="Y53" s="280" t="s">
        <v>210</v>
      </c>
      <c r="Z53" s="281"/>
      <c r="AA53" s="281">
        <v>2.0000000000000001E-4</v>
      </c>
      <c r="AB53" s="281" t="s">
        <v>2</v>
      </c>
      <c r="AC53" s="282" t="s">
        <v>211</v>
      </c>
      <c r="AD53" s="40" t="s">
        <v>87</v>
      </c>
    </row>
    <row r="54" spans="1:41" s="35" customFormat="1" x14ac:dyDescent="0.2">
      <c r="A54" s="85" t="s">
        <v>212</v>
      </c>
      <c r="B54" s="86"/>
      <c r="C54" s="86"/>
      <c r="D54" s="86"/>
      <c r="E54" s="87"/>
      <c r="G54" s="85" t="s">
        <v>212</v>
      </c>
      <c r="H54" s="86"/>
      <c r="I54" s="86"/>
      <c r="J54" s="86"/>
      <c r="K54" s="87"/>
      <c r="M54" s="85" t="s">
        <v>212</v>
      </c>
      <c r="N54" s="86"/>
      <c r="O54" s="86"/>
      <c r="P54" s="86"/>
      <c r="Q54" s="87"/>
      <c r="S54" s="85" t="s">
        <v>212</v>
      </c>
      <c r="T54" s="86"/>
      <c r="U54" s="86"/>
      <c r="V54" s="86"/>
      <c r="W54" s="87"/>
      <c r="Y54" s="85" t="s">
        <v>212</v>
      </c>
      <c r="Z54" s="86"/>
      <c r="AA54" s="86"/>
      <c r="AB54" s="86"/>
      <c r="AC54" s="87"/>
      <c r="AD54" s="99"/>
      <c r="AE54" s="99"/>
      <c r="AF54" s="99"/>
      <c r="AG54" s="99"/>
      <c r="AH54" s="99"/>
      <c r="AI54" s="99"/>
      <c r="AJ54" s="99"/>
      <c r="AK54" s="99"/>
    </row>
    <row r="55" spans="1:41" ht="13.5" thickBot="1" x14ac:dyDescent="0.25">
      <c r="A55" s="100" t="s">
        <v>213</v>
      </c>
      <c r="B55" s="101"/>
      <c r="C55" s="206">
        <v>0.5</v>
      </c>
      <c r="D55" s="101" t="s">
        <v>2</v>
      </c>
      <c r="E55" s="102" t="s">
        <v>214</v>
      </c>
      <c r="F55" s="34" t="s">
        <v>179</v>
      </c>
      <c r="G55" s="100" t="s">
        <v>213</v>
      </c>
      <c r="H55" s="101"/>
      <c r="I55" s="206">
        <v>0.5</v>
      </c>
      <c r="J55" s="101" t="s">
        <v>2</v>
      </c>
      <c r="K55" s="102" t="s">
        <v>214</v>
      </c>
      <c r="M55" s="100" t="s">
        <v>213</v>
      </c>
      <c r="N55" s="101"/>
      <c r="O55" s="206">
        <v>0.5</v>
      </c>
      <c r="P55" s="101" t="s">
        <v>2</v>
      </c>
      <c r="Q55" s="102" t="s">
        <v>214</v>
      </c>
      <c r="S55" s="100" t="s">
        <v>213</v>
      </c>
      <c r="T55" s="101"/>
      <c r="U55" s="206">
        <v>0.5</v>
      </c>
      <c r="V55" s="101" t="s">
        <v>2</v>
      </c>
      <c r="W55" s="102" t="s">
        <v>214</v>
      </c>
      <c r="Y55" s="100" t="s">
        <v>213</v>
      </c>
      <c r="Z55" s="101"/>
      <c r="AA55" s="206">
        <v>0.5</v>
      </c>
      <c r="AB55" s="101" t="s">
        <v>2</v>
      </c>
      <c r="AC55" s="102" t="s">
        <v>214</v>
      </c>
    </row>
    <row r="59" spans="1:41" x14ac:dyDescent="0.2">
      <c r="Y59" s="34"/>
      <c r="Z59" s="34"/>
    </row>
    <row r="60" spans="1:41" x14ac:dyDescent="0.2">
      <c r="Y60" s="34"/>
      <c r="Z60" s="34"/>
    </row>
    <row r="61" spans="1:41" x14ac:dyDescent="0.2">
      <c r="Y61" s="34"/>
      <c r="Z61" s="34"/>
    </row>
    <row r="62" spans="1:41" s="59" customFormat="1" x14ac:dyDescent="0.2">
      <c r="A62" s="58"/>
      <c r="B62" s="58"/>
    </row>
    <row r="63" spans="1:41" s="7" customFormat="1" x14ac:dyDescent="0.2">
      <c r="A63" s="17" t="s">
        <v>708</v>
      </c>
      <c r="U63" s="197" t="s">
        <v>550</v>
      </c>
      <c r="V63" s="198" t="s">
        <v>551</v>
      </c>
      <c r="W63" s="198" t="s">
        <v>550</v>
      </c>
      <c r="X63" s="198" t="s">
        <v>551</v>
      </c>
      <c r="Y63" s="199" t="s">
        <v>552</v>
      </c>
      <c r="Z63" s="200"/>
      <c r="AA63" s="201"/>
      <c r="AB63" s="17" t="s">
        <v>105</v>
      </c>
      <c r="AC63" s="17"/>
      <c r="AD63" s="148" t="s">
        <v>549</v>
      </c>
      <c r="AE63" s="149"/>
      <c r="AF63" s="149"/>
      <c r="AG63" s="149" t="s">
        <v>548</v>
      </c>
      <c r="AH63" s="149"/>
      <c r="AI63" s="149"/>
      <c r="AJ63" s="149" t="s">
        <v>547</v>
      </c>
      <c r="AK63" s="149"/>
      <c r="AL63" s="149"/>
      <c r="AM63" s="202" t="s">
        <v>553</v>
      </c>
      <c r="AN63" s="200"/>
      <c r="AO63" s="201"/>
    </row>
    <row r="64" spans="1:41" s="49" customFormat="1" ht="15" customHeight="1" x14ac:dyDescent="0.2">
      <c r="A64" s="57" t="s">
        <v>58</v>
      </c>
      <c r="B64" s="55" t="s">
        <v>289</v>
      </c>
      <c r="C64" s="56" t="s">
        <v>100</v>
      </c>
      <c r="D64" s="56" t="s">
        <v>11</v>
      </c>
      <c r="E64" s="63" t="s">
        <v>291</v>
      </c>
      <c r="F64" s="63"/>
      <c r="G64" s="66" t="s">
        <v>292</v>
      </c>
      <c r="H64" s="66" t="s">
        <v>8</v>
      </c>
      <c r="I64" s="66" t="s">
        <v>217</v>
      </c>
      <c r="J64" s="66" t="s">
        <v>11</v>
      </c>
      <c r="K64" s="66" t="s">
        <v>291</v>
      </c>
      <c r="L64" s="63"/>
      <c r="M64" s="67" t="s">
        <v>293</v>
      </c>
      <c r="N64" s="67" t="s">
        <v>8</v>
      </c>
      <c r="O64" s="67" t="s">
        <v>217</v>
      </c>
      <c r="P64" s="67" t="s">
        <v>11</v>
      </c>
      <c r="Q64" s="67" t="s">
        <v>291</v>
      </c>
      <c r="R64" s="67"/>
      <c r="S64" s="63"/>
      <c r="T64" s="79" t="s">
        <v>275</v>
      </c>
      <c r="U64" s="234" t="s">
        <v>530</v>
      </c>
      <c r="V64" s="55" t="s">
        <v>531</v>
      </c>
      <c r="W64" s="55" t="s">
        <v>532</v>
      </c>
      <c r="X64" s="55" t="s">
        <v>533</v>
      </c>
      <c r="Y64" s="55" t="s">
        <v>534</v>
      </c>
      <c r="Z64" s="55" t="s">
        <v>535</v>
      </c>
      <c r="AA64" s="235" t="s">
        <v>536</v>
      </c>
      <c r="AB64" s="22" t="s">
        <v>545</v>
      </c>
      <c r="AC64" s="23" t="s">
        <v>546</v>
      </c>
      <c r="AD64" s="148" t="s">
        <v>31</v>
      </c>
      <c r="AE64" s="149" t="s">
        <v>32</v>
      </c>
      <c r="AF64" s="150" t="s">
        <v>33</v>
      </c>
      <c r="AG64" s="148" t="s">
        <v>31</v>
      </c>
      <c r="AH64" s="149" t="s">
        <v>32</v>
      </c>
      <c r="AI64" s="150" t="s">
        <v>33</v>
      </c>
      <c r="AJ64" s="148" t="s">
        <v>31</v>
      </c>
      <c r="AK64" s="149" t="s">
        <v>32</v>
      </c>
      <c r="AL64" s="149" t="s">
        <v>33</v>
      </c>
      <c r="AM64" s="159"/>
      <c r="AN64" s="156"/>
      <c r="AO64" s="160"/>
    </row>
    <row r="65" spans="1:41" s="8" customFormat="1" ht="15" customHeight="1" x14ac:dyDescent="0.2">
      <c r="A65" s="68" t="str">
        <f>'36. Generic chemical products'!A5</f>
        <v>Detergent, average (Ultravon EL)</v>
      </c>
      <c r="B65" s="68" t="str">
        <f>'36. Generic chemical products'!B5</f>
        <v>Polyacrylic acid, sodium salt</v>
      </c>
      <c r="C65" s="68">
        <f>'36. Generic chemical products'!C5</f>
        <v>0.1</v>
      </c>
      <c r="D65" s="68" t="str">
        <f>'36. Generic chemical products'!D5</f>
        <v>kg</v>
      </c>
      <c r="E65" s="68" t="str">
        <f>'36. Generic chemical products'!E5</f>
        <v>MSDS</v>
      </c>
      <c r="F65" s="68">
        <f>'36. Generic chemical products'!F5</f>
        <v>0</v>
      </c>
      <c r="G65" s="68" t="str">
        <f>'36. Generic chemical products'!G5</f>
        <v>-</v>
      </c>
      <c r="H65" s="68">
        <f>'36. Generic chemical products'!H5</f>
        <v>0</v>
      </c>
      <c r="I65" s="68">
        <f>'36. Generic chemical products'!I5</f>
        <v>0</v>
      </c>
      <c r="J65" s="68">
        <f>'36. Generic chemical products'!J5</f>
        <v>0</v>
      </c>
      <c r="K65" s="68">
        <f>'36. Generic chemical products'!K5</f>
        <v>0</v>
      </c>
      <c r="L65" s="68">
        <f>'36. Generic chemical products'!L5</f>
        <v>0</v>
      </c>
      <c r="M65" s="68" t="str">
        <f>'36. Generic chemical products'!M5</f>
        <v>Polyacrylic acid, sodium salt</v>
      </c>
      <c r="N65" s="68" t="str">
        <f>'36. Generic chemical products'!N5</f>
        <v>river</v>
      </c>
      <c r="O65" s="68">
        <f>'36. Generic chemical products'!O5</f>
        <v>9.9000000000000008E-3</v>
      </c>
      <c r="P65" s="68" t="str">
        <f>'36. Generic chemical products'!P5</f>
        <v>kg</v>
      </c>
      <c r="Q65" s="68" t="str">
        <f>'36. Generic chemical products'!Q5</f>
        <v>1% of polymer content remains as monomers from the production process.</v>
      </c>
      <c r="R65" s="68">
        <f>'36. Generic chemical products'!R5</f>
        <v>0</v>
      </c>
      <c r="S65" s="68">
        <f>'36. Generic chemical products'!S5</f>
        <v>0</v>
      </c>
      <c r="T65" s="68" t="str">
        <f>'36. Generic chemical products'!T5</f>
        <v>9003-04-7</v>
      </c>
      <c r="U65" s="68">
        <f>'36. Generic chemical products'!U5</f>
        <v>0</v>
      </c>
      <c r="V65" s="68">
        <f>'36. Generic chemical products'!V5</f>
        <v>0</v>
      </c>
      <c r="W65" s="68">
        <f>'36. Generic chemical products'!W5</f>
        <v>0</v>
      </c>
      <c r="X65" s="68">
        <f>'36. Generic chemical products'!X5</f>
        <v>0</v>
      </c>
      <c r="Y65" s="68">
        <f>'36. Generic chemical products'!Y5</f>
        <v>7.06</v>
      </c>
      <c r="Z65" s="68">
        <f>'36. Generic chemical products'!Z5</f>
        <v>78.599999999999994</v>
      </c>
      <c r="AA65" s="68" t="str">
        <f>'36. Generic chemical products'!AA5</f>
        <v>COSMEDE</v>
      </c>
      <c r="AB65" s="27">
        <f t="shared" ref="AB65:AB70" si="0">$C$21*I65</f>
        <v>0</v>
      </c>
      <c r="AC65" s="29">
        <f t="shared" ref="AC65:AC70" si="1">$C$35*O65</f>
        <v>9.9000000000000008E-5</v>
      </c>
      <c r="AD65" s="135">
        <f t="shared" ref="AD65:AD101" si="2">AB65*U65+AC65*W65</f>
        <v>0</v>
      </c>
      <c r="AE65" s="135">
        <f t="shared" ref="AE65:AE101" si="3">AB65*V65+AC65*X65</f>
        <v>0</v>
      </c>
      <c r="AF65" s="24">
        <f t="shared" ref="AF65:AF101" si="4">AB65*Y65+AC65*Z65</f>
        <v>7.7813999999999999E-3</v>
      </c>
      <c r="AG65" s="24">
        <f t="shared" ref="AG65:AG101" si="5">AB65*U65</f>
        <v>0</v>
      </c>
      <c r="AH65" s="24">
        <f t="shared" ref="AH65:AH101" si="6">AB65*V65</f>
        <v>0</v>
      </c>
      <c r="AI65" s="24">
        <f t="shared" ref="AI65:AI101" si="7">AB65*Y65</f>
        <v>0</v>
      </c>
      <c r="AJ65" s="24">
        <f t="shared" ref="AJ65:AJ101" si="8">AC65*W65</f>
        <v>0</v>
      </c>
      <c r="AK65" s="24">
        <f t="shared" ref="AK65:AK101" si="9">AC65*X65</f>
        <v>0</v>
      </c>
      <c r="AL65" s="24">
        <f t="shared" ref="AL65:AL101" si="10">AC65*Z65</f>
        <v>7.7813999999999999E-3</v>
      </c>
      <c r="AM65" s="161">
        <f t="shared" ref="AM65:AO80" si="11">AG65+AJ65</f>
        <v>0</v>
      </c>
      <c r="AN65" s="157">
        <f t="shared" si="11"/>
        <v>0</v>
      </c>
      <c r="AO65" s="162">
        <f t="shared" si="11"/>
        <v>7.7813999999999999E-3</v>
      </c>
    </row>
    <row r="66" spans="1:41" s="8" customFormat="1" ht="15" customHeight="1" x14ac:dyDescent="0.2">
      <c r="A66" s="68" t="str">
        <f>'36. Generic chemical products'!A6</f>
        <v>Detergent, average (Ultravon EL)</v>
      </c>
      <c r="B66" s="68" t="str">
        <f>'36. Generic chemical products'!B6</f>
        <v>Oxirane, methyl-, polymer with oxirane, decyl ether</v>
      </c>
      <c r="C66" s="68">
        <f>'36. Generic chemical products'!C6</f>
        <v>0.25</v>
      </c>
      <c r="D66" s="68" t="str">
        <f>'36. Generic chemical products'!D6</f>
        <v>kg</v>
      </c>
      <c r="E66" s="68" t="str">
        <f>'36. Generic chemical products'!E6</f>
        <v>MSDS</v>
      </c>
      <c r="F66" s="68">
        <f>'36. Generic chemical products'!F6</f>
        <v>0</v>
      </c>
      <c r="G66" s="68" t="str">
        <f>'36. Generic chemical products'!G6</f>
        <v>-</v>
      </c>
      <c r="H66" s="68">
        <f>'36. Generic chemical products'!H6</f>
        <v>0</v>
      </c>
      <c r="I66" s="68">
        <f>'36. Generic chemical products'!I6</f>
        <v>0</v>
      </c>
      <c r="J66" s="68">
        <f>'36. Generic chemical products'!J6</f>
        <v>0</v>
      </c>
      <c r="K66" s="68">
        <f>'36. Generic chemical products'!K6</f>
        <v>0</v>
      </c>
      <c r="L66" s="68">
        <f>'36. Generic chemical products'!L6</f>
        <v>0</v>
      </c>
      <c r="M66" s="68" t="str">
        <f>'36. Generic chemical products'!M6</f>
        <v>Oxirane, methyl-, polymer with oxirane, decyl ether</v>
      </c>
      <c r="N66" s="68" t="str">
        <f>'36. Generic chemical products'!N6</f>
        <v>river</v>
      </c>
      <c r="O66" s="68">
        <f>'36. Generic chemical products'!O6</f>
        <v>2.5000000000000001E-2</v>
      </c>
      <c r="P66" s="68" t="str">
        <f>'36. Generic chemical products'!P6</f>
        <v>kg</v>
      </c>
      <c r="Q66" s="68">
        <f>'36. Generic chemical products'!Q6</f>
        <v>0</v>
      </c>
      <c r="R66" s="68">
        <f>'36. Generic chemical products'!R6</f>
        <v>0</v>
      </c>
      <c r="S66" s="68">
        <f>'36. Generic chemical products'!S6</f>
        <v>0</v>
      </c>
      <c r="T66" s="68" t="str">
        <f>'36. Generic chemical products'!T6</f>
        <v>37251-67-5</v>
      </c>
      <c r="U66" s="68">
        <f>'36. Generic chemical products'!U6</f>
        <v>0</v>
      </c>
      <c r="V66" s="68">
        <f>'36. Generic chemical products'!V6</f>
        <v>1.2009414857886904E-7</v>
      </c>
      <c r="W66" s="68">
        <f>'36. Generic chemical products'!W6</f>
        <v>0</v>
      </c>
      <c r="X66" s="68">
        <f>'36. Generic chemical products'!X6</f>
        <v>3.2843909509658706E-7</v>
      </c>
      <c r="Y66" s="68">
        <f>'36. Generic chemical products'!Y6</f>
        <v>14.526941022240393</v>
      </c>
      <c r="Z66" s="68">
        <f>'36. Generic chemical products'!Z6</f>
        <v>111.251141519207</v>
      </c>
      <c r="AA66" s="68" t="str">
        <f>'36. Generic chemical products'!AA6</f>
        <v>Roos 2017</v>
      </c>
      <c r="AB66" s="27">
        <f t="shared" si="0"/>
        <v>0</v>
      </c>
      <c r="AC66" s="29">
        <f t="shared" si="1"/>
        <v>2.5000000000000001E-4</v>
      </c>
      <c r="AD66" s="135">
        <f t="shared" si="2"/>
        <v>0</v>
      </c>
      <c r="AE66" s="135">
        <f t="shared" si="3"/>
        <v>8.2109773774146761E-11</v>
      </c>
      <c r="AF66" s="24">
        <f t="shared" si="4"/>
        <v>2.7812785379801749E-2</v>
      </c>
      <c r="AG66" s="24">
        <f t="shared" si="5"/>
        <v>0</v>
      </c>
      <c r="AH66" s="24">
        <f t="shared" si="6"/>
        <v>0</v>
      </c>
      <c r="AI66" s="24">
        <f t="shared" si="7"/>
        <v>0</v>
      </c>
      <c r="AJ66" s="24">
        <f t="shared" si="8"/>
        <v>0</v>
      </c>
      <c r="AK66" s="24">
        <f t="shared" si="9"/>
        <v>8.2109773774146761E-11</v>
      </c>
      <c r="AL66" s="24">
        <f t="shared" si="10"/>
        <v>2.7812785379801749E-2</v>
      </c>
      <c r="AM66" s="161">
        <f t="shared" si="11"/>
        <v>0</v>
      </c>
      <c r="AN66" s="157">
        <f t="shared" si="11"/>
        <v>8.2109773774146761E-11</v>
      </c>
      <c r="AO66" s="162">
        <f t="shared" si="11"/>
        <v>2.7812785379801749E-2</v>
      </c>
    </row>
    <row r="67" spans="1:41" s="8" customFormat="1" ht="15" customHeight="1" x14ac:dyDescent="0.2">
      <c r="A67" s="68" t="str">
        <f>'36. Generic chemical products'!A7</f>
        <v>Detergent, average (Ultravon EL)</v>
      </c>
      <c r="B67" s="68" t="str">
        <f>'36. Generic chemical products'!B7</f>
        <v>Ethoxylated fatty alcohol (&gt;6 EO)</v>
      </c>
      <c r="C67" s="68">
        <f>'36. Generic chemical products'!C7</f>
        <v>0.1</v>
      </c>
      <c r="D67" s="68" t="str">
        <f>'36. Generic chemical products'!D7</f>
        <v>kg</v>
      </c>
      <c r="E67" s="68" t="str">
        <f>'36. Generic chemical products'!E7</f>
        <v>MSDS</v>
      </c>
      <c r="F67" s="68">
        <f>'36. Generic chemical products'!F7</f>
        <v>0</v>
      </c>
      <c r="G67" s="68" t="str">
        <f>'36. Generic chemical products'!G7</f>
        <v>-</v>
      </c>
      <c r="H67" s="68">
        <f>'36. Generic chemical products'!H7</f>
        <v>0</v>
      </c>
      <c r="I67" s="68">
        <f>'36. Generic chemical products'!I7</f>
        <v>0</v>
      </c>
      <c r="J67" s="68">
        <f>'36. Generic chemical products'!J7</f>
        <v>0</v>
      </c>
      <c r="K67" s="68">
        <f>'36. Generic chemical products'!K7</f>
        <v>0</v>
      </c>
      <c r="L67" s="68">
        <f>'36. Generic chemical products'!L7</f>
        <v>0</v>
      </c>
      <c r="M67" s="68" t="str">
        <f>'36. Generic chemical products'!M7</f>
        <v>Alcohols, c12-14, ethoxylated</v>
      </c>
      <c r="N67" s="68" t="str">
        <f>'36. Generic chemical products'!N7</f>
        <v>river</v>
      </c>
      <c r="O67" s="68">
        <f>'36. Generic chemical products'!O7</f>
        <v>1.0000000000000002E-2</v>
      </c>
      <c r="P67" s="68" t="str">
        <f>'36. Generic chemical products'!P7</f>
        <v>kg</v>
      </c>
      <c r="Q67" s="68">
        <f>'36. Generic chemical products'!Q7</f>
        <v>0</v>
      </c>
      <c r="R67" s="68">
        <f>'36. Generic chemical products'!R7</f>
        <v>0</v>
      </c>
      <c r="S67" s="68">
        <f>'36. Generic chemical products'!S7</f>
        <v>0</v>
      </c>
      <c r="T67" s="68" t="str">
        <f>'36. Generic chemical products'!T7</f>
        <v>69011-36-5</v>
      </c>
      <c r="U67" s="68">
        <f>'36. Generic chemical products'!U7</f>
        <v>0</v>
      </c>
      <c r="V67" s="68">
        <f>'36. Generic chemical products'!V7</f>
        <v>0</v>
      </c>
      <c r="W67" s="68">
        <f>'36. Generic chemical products'!W7</f>
        <v>0</v>
      </c>
      <c r="X67" s="68">
        <f>'36. Generic chemical products'!X7</f>
        <v>0</v>
      </c>
      <c r="Y67" s="68">
        <f>'36. Generic chemical products'!Y7</f>
        <v>47</v>
      </c>
      <c r="Z67" s="68">
        <f>'36. Generic chemical products'!Z7</f>
        <v>913</v>
      </c>
      <c r="AA67" s="68" t="str">
        <f>'36. Generic chemical products'!AA7</f>
        <v>COSMEDE</v>
      </c>
      <c r="AB67" s="27">
        <f t="shared" si="0"/>
        <v>0</v>
      </c>
      <c r="AC67" s="29">
        <f t="shared" si="1"/>
        <v>1.0000000000000002E-4</v>
      </c>
      <c r="AD67" s="135">
        <f t="shared" si="2"/>
        <v>0</v>
      </c>
      <c r="AE67" s="135">
        <f t="shared" si="3"/>
        <v>0</v>
      </c>
      <c r="AF67" s="24">
        <f t="shared" si="4"/>
        <v>9.130000000000002E-2</v>
      </c>
      <c r="AG67" s="24">
        <f t="shared" si="5"/>
        <v>0</v>
      </c>
      <c r="AH67" s="24">
        <f t="shared" si="6"/>
        <v>0</v>
      </c>
      <c r="AI67" s="24">
        <f t="shared" si="7"/>
        <v>0</v>
      </c>
      <c r="AJ67" s="24">
        <f t="shared" si="8"/>
        <v>0</v>
      </c>
      <c r="AK67" s="24">
        <f t="shared" si="9"/>
        <v>0</v>
      </c>
      <c r="AL67" s="24">
        <f t="shared" si="10"/>
        <v>9.130000000000002E-2</v>
      </c>
      <c r="AM67" s="161">
        <f t="shared" si="11"/>
        <v>0</v>
      </c>
      <c r="AN67" s="157">
        <f t="shared" si="11"/>
        <v>0</v>
      </c>
      <c r="AO67" s="162">
        <f t="shared" si="11"/>
        <v>9.130000000000002E-2</v>
      </c>
    </row>
    <row r="68" spans="1:41" s="8" customFormat="1" ht="15" customHeight="1" x14ac:dyDescent="0.2">
      <c r="A68" s="68" t="str">
        <f>'36. Generic chemical products'!A8</f>
        <v>Detergent, average (Ultravon EL)</v>
      </c>
      <c r="B68" s="68" t="str">
        <f>'36. Generic chemical products'!B8</f>
        <v>Sodium mono(2-ethylhexyl)estersulfate</v>
      </c>
      <c r="C68" s="68">
        <f>'36. Generic chemical products'!C8</f>
        <v>0.05</v>
      </c>
      <c r="D68" s="68" t="str">
        <f>'36. Generic chemical products'!D8</f>
        <v>kg</v>
      </c>
      <c r="E68" s="68" t="str">
        <f>'36. Generic chemical products'!E8</f>
        <v>MSDS</v>
      </c>
      <c r="F68" s="68">
        <f>'36. Generic chemical products'!F8</f>
        <v>0</v>
      </c>
      <c r="G68" s="68" t="str">
        <f>'36. Generic chemical products'!G8</f>
        <v>-</v>
      </c>
      <c r="H68" s="68">
        <f>'36. Generic chemical products'!H8</f>
        <v>0</v>
      </c>
      <c r="I68" s="68">
        <f>'36. Generic chemical products'!I8</f>
        <v>0</v>
      </c>
      <c r="J68" s="68">
        <f>'36. Generic chemical products'!J8</f>
        <v>0</v>
      </c>
      <c r="K68" s="68">
        <f>'36. Generic chemical products'!K8</f>
        <v>0</v>
      </c>
      <c r="L68" s="68">
        <f>'36. Generic chemical products'!L8</f>
        <v>0</v>
      </c>
      <c r="M68" s="68" t="str">
        <f>'36. Generic chemical products'!M8</f>
        <v>Sodium mono(2-ethylhexyl)estersulfate</v>
      </c>
      <c r="N68" s="68" t="str">
        <f>'36. Generic chemical products'!N8</f>
        <v>river</v>
      </c>
      <c r="O68" s="68">
        <f>'36. Generic chemical products'!O8</f>
        <v>5.000000000000001E-3</v>
      </c>
      <c r="P68" s="68" t="str">
        <f>'36. Generic chemical products'!P8</f>
        <v>kg</v>
      </c>
      <c r="Q68" s="68">
        <f>'36. Generic chemical products'!Q8</f>
        <v>0</v>
      </c>
      <c r="R68" s="68">
        <f>'36. Generic chemical products'!R8</f>
        <v>0</v>
      </c>
      <c r="S68" s="68">
        <f>'36. Generic chemical products'!S8</f>
        <v>0</v>
      </c>
      <c r="T68" s="68" t="str">
        <f>'36. Generic chemical products'!T8</f>
        <v>126-92-1</v>
      </c>
      <c r="U68" s="68">
        <f>'36. Generic chemical products'!U8</f>
        <v>0</v>
      </c>
      <c r="V68" s="68">
        <f>'36. Generic chemical products'!V8</f>
        <v>0</v>
      </c>
      <c r="W68" s="68">
        <f>'36. Generic chemical products'!W8</f>
        <v>0</v>
      </c>
      <c r="X68" s="68">
        <f>'36. Generic chemical products'!X8</f>
        <v>0</v>
      </c>
      <c r="Y68" s="68">
        <f>'36. Generic chemical products'!Y8</f>
        <v>109.72</v>
      </c>
      <c r="Z68" s="68">
        <f>'36. Generic chemical products'!Z8</f>
        <v>110</v>
      </c>
      <c r="AA68" s="68" t="str">
        <f>'36. Generic chemical products'!AA8</f>
        <v>COSMEDE</v>
      </c>
      <c r="AB68" s="27">
        <f t="shared" si="0"/>
        <v>0</v>
      </c>
      <c r="AC68" s="29">
        <f t="shared" si="1"/>
        <v>5.0000000000000009E-5</v>
      </c>
      <c r="AD68" s="135">
        <f t="shared" si="2"/>
        <v>0</v>
      </c>
      <c r="AE68" s="135">
        <f t="shared" si="3"/>
        <v>0</v>
      </c>
      <c r="AF68" s="24">
        <f t="shared" si="4"/>
        <v>5.5000000000000014E-3</v>
      </c>
      <c r="AG68" s="24">
        <f t="shared" si="5"/>
        <v>0</v>
      </c>
      <c r="AH68" s="24">
        <f t="shared" si="6"/>
        <v>0</v>
      </c>
      <c r="AI68" s="24">
        <f t="shared" si="7"/>
        <v>0</v>
      </c>
      <c r="AJ68" s="24">
        <f t="shared" si="8"/>
        <v>0</v>
      </c>
      <c r="AK68" s="24">
        <f t="shared" si="9"/>
        <v>0</v>
      </c>
      <c r="AL68" s="24">
        <f t="shared" si="10"/>
        <v>5.5000000000000014E-3</v>
      </c>
      <c r="AM68" s="161">
        <f t="shared" si="11"/>
        <v>0</v>
      </c>
      <c r="AN68" s="157">
        <f t="shared" si="11"/>
        <v>0</v>
      </c>
      <c r="AO68" s="162">
        <f t="shared" si="11"/>
        <v>5.5000000000000014E-3</v>
      </c>
    </row>
    <row r="69" spans="1:41" s="8" customFormat="1" ht="15" customHeight="1" x14ac:dyDescent="0.2">
      <c r="A69" s="68" t="str">
        <f>'36. Generic chemical products'!A9</f>
        <v>Detergent, average (Ultravon EL)</v>
      </c>
      <c r="B69" s="68" t="str">
        <f>'36. Generic chemical products'!B9</f>
        <v>Ethylene oxide</v>
      </c>
      <c r="C69" s="68">
        <f>'36. Generic chemical products'!C9</f>
        <v>0</v>
      </c>
      <c r="D69" s="68">
        <f>'36. Generic chemical products'!D9</f>
        <v>0</v>
      </c>
      <c r="E69" s="68" t="str">
        <f>'36. Generic chemical products'!E9</f>
        <v>&lt;= 0.1% in alcohol ethoxylates</v>
      </c>
      <c r="F69" s="68">
        <f>'36. Generic chemical products'!F9</f>
        <v>0</v>
      </c>
      <c r="G69" s="68" t="str">
        <f>'36. Generic chemical products'!G9</f>
        <v>Ethylene oxide</v>
      </c>
      <c r="H69" s="68" t="str">
        <f>'36. Generic chemical products'!H9</f>
        <v>high. pop.</v>
      </c>
      <c r="I69" s="68">
        <f>'36. Generic chemical products'!I9</f>
        <v>1.0000000000000001E-7</v>
      </c>
      <c r="J69" s="68" t="str">
        <f>'36. Generic chemical products'!J9</f>
        <v>kg</v>
      </c>
      <c r="K69" s="68">
        <f>'36. Generic chemical products'!K9</f>
        <v>0</v>
      </c>
      <c r="L69" s="68">
        <f>'36. Generic chemical products'!L9</f>
        <v>0</v>
      </c>
      <c r="M69" s="68" t="str">
        <f>'36. Generic chemical products'!M9</f>
        <v>Ethylene oxide</v>
      </c>
      <c r="N69" s="68" t="str">
        <f>'36. Generic chemical products'!N9</f>
        <v>river</v>
      </c>
      <c r="O69" s="68">
        <f>'36. Generic chemical products'!O9</f>
        <v>1.0000000000000001E-5</v>
      </c>
      <c r="P69" s="68" t="str">
        <f>'36. Generic chemical products'!P9</f>
        <v>kg</v>
      </c>
      <c r="Q69" s="68" t="str">
        <f>'36. Generic chemical products'!Q9</f>
        <v>&lt;= 0.001 in alcohol ethoxylates</v>
      </c>
      <c r="R69" s="68">
        <f>'36. Generic chemical products'!R9</f>
        <v>0</v>
      </c>
      <c r="S69" s="68">
        <f>'36. Generic chemical products'!S9</f>
        <v>0</v>
      </c>
      <c r="T69" s="68" t="str">
        <f>'36. Generic chemical products'!T9</f>
        <v>75-21-8</v>
      </c>
      <c r="U69" s="68">
        <f>'36. Generic chemical products'!U9</f>
        <v>1.0252176328593382E-6</v>
      </c>
      <c r="V69" s="68">
        <f>'36. Generic chemical products'!V9</f>
        <v>0</v>
      </c>
      <c r="W69" s="68">
        <f>'36. Generic chemical products'!W9</f>
        <v>8.6533271568247147E-7</v>
      </c>
      <c r="X69" s="68">
        <f>'36. Generic chemical products'!X9</f>
        <v>0</v>
      </c>
      <c r="Y69" s="68">
        <f>'36. Generic chemical products'!Y9</f>
        <v>0.65406517859613422</v>
      </c>
      <c r="Z69" s="68">
        <f>'36. Generic chemical products'!Z9</f>
        <v>11.248588270889815</v>
      </c>
      <c r="AA69" s="68" t="str">
        <f>'36. Generic chemical products'!AA9</f>
        <v>USEtox</v>
      </c>
      <c r="AB69" s="27">
        <f t="shared" si="0"/>
        <v>1.0000000000000001E-9</v>
      </c>
      <c r="AC69" s="29">
        <f t="shared" si="1"/>
        <v>1.0000000000000001E-7</v>
      </c>
      <c r="AD69" s="135">
        <f t="shared" si="2"/>
        <v>8.755848920110649E-14</v>
      </c>
      <c r="AE69" s="135">
        <f t="shared" si="3"/>
        <v>0</v>
      </c>
      <c r="AF69" s="24">
        <f t="shared" si="4"/>
        <v>1.125512892267578E-6</v>
      </c>
      <c r="AG69" s="24">
        <f t="shared" si="5"/>
        <v>1.0252176328593383E-15</v>
      </c>
      <c r="AH69" s="24">
        <f t="shared" si="6"/>
        <v>0</v>
      </c>
      <c r="AI69" s="24">
        <f t="shared" si="7"/>
        <v>6.5406517859613422E-10</v>
      </c>
      <c r="AJ69" s="24">
        <f t="shared" si="8"/>
        <v>8.6533271568247152E-14</v>
      </c>
      <c r="AK69" s="24">
        <f t="shared" si="9"/>
        <v>0</v>
      </c>
      <c r="AL69" s="24">
        <f t="shared" si="10"/>
        <v>1.1248588270889817E-6</v>
      </c>
      <c r="AM69" s="161">
        <f t="shared" si="11"/>
        <v>8.755848920110649E-14</v>
      </c>
      <c r="AN69" s="157">
        <f t="shared" si="11"/>
        <v>0</v>
      </c>
      <c r="AO69" s="162">
        <f t="shared" si="11"/>
        <v>1.125512892267578E-6</v>
      </c>
    </row>
    <row r="70" spans="1:41" s="49" customFormat="1" ht="15" customHeight="1" x14ac:dyDescent="0.2">
      <c r="A70" s="193" t="str">
        <f>'36. Generic chemical products'!A10</f>
        <v>Detergent, average (Ultravon EL)</v>
      </c>
      <c r="B70" s="193" t="str">
        <f>'36. Generic chemical products'!B10</f>
        <v xml:space="preserve"> </v>
      </c>
      <c r="C70" s="193">
        <f>'36. Generic chemical products'!C10</f>
        <v>0</v>
      </c>
      <c r="D70" s="193">
        <f>'36. Generic chemical products'!D10</f>
        <v>0</v>
      </c>
      <c r="E70" s="193" t="str">
        <f>'36. Generic chemical products'!E10</f>
        <v>Common breakdown product of of acrylics, 0.001 % assumed</v>
      </c>
      <c r="F70" s="193">
        <f>'36. Generic chemical products'!F10</f>
        <v>0</v>
      </c>
      <c r="G70" s="193" t="str">
        <f>'36. Generic chemical products'!G10</f>
        <v>Formaldehyde</v>
      </c>
      <c r="H70" s="193" t="str">
        <f>'36. Generic chemical products'!H10</f>
        <v>high. pop.</v>
      </c>
      <c r="I70" s="193">
        <f>'36. Generic chemical products'!I10</f>
        <v>1.0000000000000001E-7</v>
      </c>
      <c r="J70" s="193" t="str">
        <f>'36. Generic chemical products'!J10</f>
        <v>kg</v>
      </c>
      <c r="K70" s="193">
        <f>'36. Generic chemical products'!K10</f>
        <v>0</v>
      </c>
      <c r="L70" s="193">
        <f>'36. Generic chemical products'!L10</f>
        <v>0</v>
      </c>
      <c r="M70" s="193" t="str">
        <f>'36. Generic chemical products'!M10</f>
        <v>Formaldehyde</v>
      </c>
      <c r="N70" s="193" t="str">
        <f>'36. Generic chemical products'!N10</f>
        <v>river</v>
      </c>
      <c r="O70" s="193">
        <f>'36. Generic chemical products'!O10</f>
        <v>1.0000000000000002E-6</v>
      </c>
      <c r="P70" s="193" t="str">
        <f>'36. Generic chemical products'!P10</f>
        <v>kg</v>
      </c>
      <c r="Q70" s="193" t="str">
        <f>'36. Generic chemical products'!Q10</f>
        <v xml:space="preserve">0.1 % of the content is degraded to common breakdown products. 90% of reactive chemicals are degraded during operations. </v>
      </c>
      <c r="R70" s="193">
        <f>'36. Generic chemical products'!R10</f>
        <v>0</v>
      </c>
      <c r="S70" s="193">
        <f>'36. Generic chemical products'!S10</f>
        <v>0</v>
      </c>
      <c r="T70" s="193" t="str">
        <f>'36. Generic chemical products'!T10</f>
        <v>50-00-0</v>
      </c>
      <c r="U70" s="193">
        <f>'36. Generic chemical products'!U10</f>
        <v>2.5208446330720887E-5</v>
      </c>
      <c r="V70" s="193">
        <f>'36. Generic chemical products'!V10</f>
        <v>2.6504960021309262E-7</v>
      </c>
      <c r="W70" s="193">
        <f>'36. Generic chemical products'!W10</f>
        <v>1.4222228897488039E-7</v>
      </c>
      <c r="X70" s="193">
        <f>'36. Generic chemical products'!X10</f>
        <v>3.170874313501273E-7</v>
      </c>
      <c r="Y70" s="193">
        <f>'36. Generic chemical products'!Y10</f>
        <v>17.989178582912412</v>
      </c>
      <c r="Z70" s="193">
        <f>'36. Generic chemical products'!Z10</f>
        <v>290.05086067463066</v>
      </c>
      <c r="AA70" s="193" t="str">
        <f>'36. Generic chemical products'!AA10</f>
        <v>USEtox</v>
      </c>
      <c r="AB70" s="28">
        <f t="shared" si="0"/>
        <v>1.0000000000000001E-9</v>
      </c>
      <c r="AC70" s="146">
        <f t="shared" si="1"/>
        <v>1.0000000000000002E-8</v>
      </c>
      <c r="AD70" s="147">
        <f t="shared" si="2"/>
        <v>2.6630669220469693E-14</v>
      </c>
      <c r="AE70" s="147">
        <f t="shared" si="3"/>
        <v>3.4359239137143663E-15</v>
      </c>
      <c r="AF70" s="25">
        <f t="shared" si="4"/>
        <v>2.9184977853292197E-6</v>
      </c>
      <c r="AG70" s="25">
        <f t="shared" si="5"/>
        <v>2.5208446330720887E-14</v>
      </c>
      <c r="AH70" s="25">
        <f t="shared" si="6"/>
        <v>2.6504960021309264E-16</v>
      </c>
      <c r="AI70" s="25">
        <f t="shared" si="7"/>
        <v>1.7989178582912414E-8</v>
      </c>
      <c r="AJ70" s="25">
        <f t="shared" si="8"/>
        <v>1.4222228897488041E-15</v>
      </c>
      <c r="AK70" s="25">
        <f t="shared" si="9"/>
        <v>3.1708743135012737E-15</v>
      </c>
      <c r="AL70" s="25">
        <f t="shared" si="10"/>
        <v>2.9005086067463073E-6</v>
      </c>
      <c r="AM70" s="163">
        <f t="shared" si="11"/>
        <v>2.6630669220469693E-14</v>
      </c>
      <c r="AN70" s="164">
        <f t="shared" si="11"/>
        <v>3.4359239137143663E-15</v>
      </c>
      <c r="AO70" s="165">
        <f t="shared" si="11"/>
        <v>2.9184977853292197E-6</v>
      </c>
    </row>
    <row r="71" spans="1:41" s="8" customFormat="1" ht="15" customHeight="1" x14ac:dyDescent="0.2">
      <c r="A71" s="70" t="str">
        <f>'36. Generic chemical products'!A12</f>
        <v>Peroxide stabilizer, average (Clarite 3X)</v>
      </c>
      <c r="B71" s="70" t="str">
        <f>'36. Generic chemical products'!B12</f>
        <v>Polyacrylic acid, sodium salt</v>
      </c>
      <c r="C71" s="70">
        <f>'36. Generic chemical products'!C12</f>
        <v>0.1</v>
      </c>
      <c r="D71" s="70" t="str">
        <f>'36. Generic chemical products'!D12</f>
        <v>kg</v>
      </c>
      <c r="E71" s="70" t="str">
        <f>'36. Generic chemical products'!E12</f>
        <v>MSDS + Expert estimation for concentration</v>
      </c>
      <c r="F71" s="70">
        <f>'36. Generic chemical products'!F12</f>
        <v>0</v>
      </c>
      <c r="G71" s="70" t="str">
        <f>'36. Generic chemical products'!G12</f>
        <v>-</v>
      </c>
      <c r="H71" s="70">
        <f>'36. Generic chemical products'!H12</f>
        <v>0</v>
      </c>
      <c r="I71" s="70">
        <f>'36. Generic chemical products'!I12</f>
        <v>0</v>
      </c>
      <c r="J71" s="70">
        <f>'36. Generic chemical products'!J12</f>
        <v>0</v>
      </c>
      <c r="K71" s="70">
        <f>'36. Generic chemical products'!K12</f>
        <v>0</v>
      </c>
      <c r="L71" s="70">
        <f>'36. Generic chemical products'!L12</f>
        <v>0</v>
      </c>
      <c r="M71" s="70" t="str">
        <f>'36. Generic chemical products'!M12</f>
        <v>Polyacrylic acid, sodium salt</v>
      </c>
      <c r="N71" s="70" t="str">
        <f>'36. Generic chemical products'!N12</f>
        <v>river</v>
      </c>
      <c r="O71" s="70">
        <f>'36. Generic chemical products'!O12</f>
        <v>1.0000000000000002E-2</v>
      </c>
      <c r="P71" s="70" t="str">
        <f>'36. Generic chemical products'!P12</f>
        <v>kg</v>
      </c>
      <c r="Q71" s="70">
        <f>'36. Generic chemical products'!Q12</f>
        <v>0</v>
      </c>
      <c r="R71" s="70">
        <f>'36. Generic chemical products'!R12</f>
        <v>0</v>
      </c>
      <c r="S71" s="70">
        <f>'36. Generic chemical products'!S12</f>
        <v>0</v>
      </c>
      <c r="T71" s="70" t="str">
        <f>'36. Generic chemical products'!T12</f>
        <v>9003-04-7</v>
      </c>
      <c r="U71" s="70">
        <f>'36. Generic chemical products'!U12</f>
        <v>0</v>
      </c>
      <c r="V71" s="70">
        <f>'36. Generic chemical products'!V12</f>
        <v>0</v>
      </c>
      <c r="W71" s="70">
        <f>'36. Generic chemical products'!W12</f>
        <v>0</v>
      </c>
      <c r="X71" s="70">
        <f>'36. Generic chemical products'!X12</f>
        <v>0</v>
      </c>
      <c r="Y71" s="70">
        <f>'36. Generic chemical products'!Y12</f>
        <v>7.06</v>
      </c>
      <c r="Z71" s="70">
        <f>'36. Generic chemical products'!Z12</f>
        <v>78.599999999999994</v>
      </c>
      <c r="AA71" s="70" t="str">
        <f>'36. Generic chemical products'!AA12</f>
        <v>COSMEDE</v>
      </c>
      <c r="AB71" s="27">
        <f>$C$22*I71</f>
        <v>0</v>
      </c>
      <c r="AC71" s="29">
        <f>$C$36*O71</f>
        <v>1.0000000000000003E-5</v>
      </c>
      <c r="AD71" s="135">
        <f t="shared" si="2"/>
        <v>0</v>
      </c>
      <c r="AE71" s="135">
        <f t="shared" si="3"/>
        <v>0</v>
      </c>
      <c r="AF71" s="24">
        <f t="shared" si="4"/>
        <v>7.8600000000000013E-4</v>
      </c>
      <c r="AG71" s="24">
        <f t="shared" si="5"/>
        <v>0</v>
      </c>
      <c r="AH71" s="24">
        <f t="shared" si="6"/>
        <v>0</v>
      </c>
      <c r="AI71" s="24">
        <f t="shared" si="7"/>
        <v>0</v>
      </c>
      <c r="AJ71" s="24">
        <f t="shared" si="8"/>
        <v>0</v>
      </c>
      <c r="AK71" s="24">
        <f t="shared" si="9"/>
        <v>0</v>
      </c>
      <c r="AL71" s="24">
        <f t="shared" si="10"/>
        <v>7.8600000000000013E-4</v>
      </c>
      <c r="AM71" s="161">
        <f t="shared" si="11"/>
        <v>0</v>
      </c>
      <c r="AN71" s="157">
        <f t="shared" si="11"/>
        <v>0</v>
      </c>
      <c r="AO71" s="162">
        <f t="shared" si="11"/>
        <v>7.8600000000000013E-4</v>
      </c>
    </row>
    <row r="72" spans="1:41" s="8" customFormat="1" ht="15" customHeight="1" x14ac:dyDescent="0.2">
      <c r="A72" s="70" t="str">
        <f>'36. Generic chemical products'!A13</f>
        <v>Peroxide stabilizer, average (Clarite 3X)</v>
      </c>
      <c r="B72" s="70" t="str">
        <f>'36. Generic chemical products'!B13</f>
        <v>Phosphonic acid, disodium salt</v>
      </c>
      <c r="C72" s="70">
        <f>'36. Generic chemical products'!C13</f>
        <v>0.1</v>
      </c>
      <c r="D72" s="70" t="str">
        <f>'36. Generic chemical products'!D13</f>
        <v>kg</v>
      </c>
      <c r="E72" s="70" t="str">
        <f>'36. Generic chemical products'!E13</f>
        <v>MSDS + Expert estimation for concentration</v>
      </c>
      <c r="F72" s="70">
        <f>'36. Generic chemical products'!F13</f>
        <v>0</v>
      </c>
      <c r="G72" s="70" t="str">
        <f>'36. Generic chemical products'!G13</f>
        <v>-</v>
      </c>
      <c r="H72" s="70">
        <f>'36. Generic chemical products'!H13</f>
        <v>0</v>
      </c>
      <c r="I72" s="70">
        <f>'36. Generic chemical products'!I13</f>
        <v>0</v>
      </c>
      <c r="J72" s="70">
        <f>'36. Generic chemical products'!J13</f>
        <v>0</v>
      </c>
      <c r="K72" s="70">
        <f>'36. Generic chemical products'!K13</f>
        <v>0</v>
      </c>
      <c r="L72" s="70">
        <f>'36. Generic chemical products'!L13</f>
        <v>0</v>
      </c>
      <c r="M72" s="70" t="str">
        <f>'36. Generic chemical products'!M13</f>
        <v>Phosphonic acid</v>
      </c>
      <c r="N72" s="70" t="str">
        <f>'36. Generic chemical products'!N13</f>
        <v>river</v>
      </c>
      <c r="O72" s="70">
        <f>'36. Generic chemical products'!O13</f>
        <v>1.0000000000000002E-2</v>
      </c>
      <c r="P72" s="70" t="str">
        <f>'36. Generic chemical products'!P13</f>
        <v>kg</v>
      </c>
      <c r="Q72" s="70">
        <f>'36. Generic chemical products'!Q13</f>
        <v>0</v>
      </c>
      <c r="R72" s="70">
        <f>'36. Generic chemical products'!R13</f>
        <v>0</v>
      </c>
      <c r="S72" s="70">
        <f>'36. Generic chemical products'!S13</f>
        <v>0</v>
      </c>
      <c r="T72" s="70" t="str">
        <f>'36. Generic chemical products'!T13</f>
        <v>13708-85-5</v>
      </c>
      <c r="U72" s="70">
        <f>'36. Generic chemical products'!U13</f>
        <v>0</v>
      </c>
      <c r="V72" s="70">
        <f>'36. Generic chemical products'!V13</f>
        <v>2.5624272316803493E-8</v>
      </c>
      <c r="W72" s="70">
        <f>'36. Generic chemical products'!W13</f>
        <v>0</v>
      </c>
      <c r="X72" s="70">
        <f>'36. Generic chemical products'!X13</f>
        <v>6.1179997974786175E-9</v>
      </c>
      <c r="Y72" s="70">
        <f>'36. Generic chemical products'!Y13</f>
        <v>95.727827940780713</v>
      </c>
      <c r="Z72" s="70">
        <f>'36. Generic chemical products'!Z13</f>
        <v>451.93033608164546</v>
      </c>
      <c r="AA72" s="70" t="str">
        <f>'36. Generic chemical products'!AA13</f>
        <v>Roos 2017</v>
      </c>
      <c r="AB72" s="27">
        <f>$C$22*I72</f>
        <v>0</v>
      </c>
      <c r="AC72" s="29">
        <f>$C$36*O72</f>
        <v>1.0000000000000003E-5</v>
      </c>
      <c r="AD72" s="135">
        <f t="shared" si="2"/>
        <v>0</v>
      </c>
      <c r="AE72" s="135">
        <f t="shared" si="3"/>
        <v>6.1179997974786186E-14</v>
      </c>
      <c r="AF72" s="24">
        <f t="shared" si="4"/>
        <v>4.5193033608164554E-3</v>
      </c>
      <c r="AG72" s="24">
        <f t="shared" si="5"/>
        <v>0</v>
      </c>
      <c r="AH72" s="24">
        <f t="shared" si="6"/>
        <v>0</v>
      </c>
      <c r="AI72" s="24">
        <f t="shared" si="7"/>
        <v>0</v>
      </c>
      <c r="AJ72" s="24">
        <f t="shared" si="8"/>
        <v>0</v>
      </c>
      <c r="AK72" s="24">
        <f t="shared" si="9"/>
        <v>6.1179997974786186E-14</v>
      </c>
      <c r="AL72" s="24">
        <f t="shared" si="10"/>
        <v>4.5193033608164554E-3</v>
      </c>
      <c r="AM72" s="161">
        <f t="shared" si="11"/>
        <v>0</v>
      </c>
      <c r="AN72" s="157">
        <f t="shared" si="11"/>
        <v>6.1179997974786186E-14</v>
      </c>
      <c r="AO72" s="162">
        <f t="shared" si="11"/>
        <v>4.5193033608164554E-3</v>
      </c>
    </row>
    <row r="73" spans="1:41" s="8" customFormat="1" ht="15" customHeight="1" x14ac:dyDescent="0.2">
      <c r="A73" s="70" t="str">
        <f>'36. Generic chemical products'!A14</f>
        <v>Peroxide stabilizer, average (Clarite 3X)</v>
      </c>
      <c r="B73" s="70" t="str">
        <f>'36. Generic chemical products'!B14</f>
        <v>Magnesium chloride</v>
      </c>
      <c r="C73" s="70">
        <f>'36. Generic chemical products'!C14</f>
        <v>5.0000000000000001E-3</v>
      </c>
      <c r="D73" s="70" t="str">
        <f>'36. Generic chemical products'!D14</f>
        <v>kg</v>
      </c>
      <c r="E73" s="70" t="str">
        <f>'36. Generic chemical products'!E14</f>
        <v>MSDS + Expert estimation for concentration</v>
      </c>
      <c r="F73" s="70">
        <f>'36. Generic chemical products'!F14</f>
        <v>0</v>
      </c>
      <c r="G73" s="70" t="str">
        <f>'36. Generic chemical products'!G14</f>
        <v>-</v>
      </c>
      <c r="H73" s="70">
        <f>'36. Generic chemical products'!H14</f>
        <v>0</v>
      </c>
      <c r="I73" s="70">
        <f>'36. Generic chemical products'!I14</f>
        <v>0</v>
      </c>
      <c r="J73" s="70">
        <f>'36. Generic chemical products'!J14</f>
        <v>0</v>
      </c>
      <c r="K73" s="70" t="str">
        <f>'36. Generic chemical products'!K14</f>
        <v>Worst case - mist carries substance</v>
      </c>
      <c r="L73" s="70">
        <f>'36. Generic chemical products'!L14</f>
        <v>0</v>
      </c>
      <c r="M73" s="70" t="str">
        <f>'36. Generic chemical products'!M14</f>
        <v>Magnesium chloride</v>
      </c>
      <c r="N73" s="70" t="str">
        <f>'36. Generic chemical products'!N14</f>
        <v>river</v>
      </c>
      <c r="O73" s="70">
        <f>'36. Generic chemical products'!O14</f>
        <v>5.0000000000000001E-4</v>
      </c>
      <c r="P73" s="70" t="str">
        <f>'36. Generic chemical products'!P14</f>
        <v>kg</v>
      </c>
      <c r="Q73" s="70">
        <f>'36. Generic chemical products'!Q14</f>
        <v>0</v>
      </c>
      <c r="R73" s="70">
        <f>'36. Generic chemical products'!R14</f>
        <v>0</v>
      </c>
      <c r="S73" s="70">
        <f>'36. Generic chemical products'!S14</f>
        <v>0</v>
      </c>
      <c r="T73" s="70" t="str">
        <f>'36. Generic chemical products'!T14</f>
        <v>7786-30-3</v>
      </c>
      <c r="U73" s="70">
        <f>'36. Generic chemical products'!U14</f>
        <v>0</v>
      </c>
      <c r="V73" s="70">
        <f>'36. Generic chemical products'!V14</f>
        <v>0</v>
      </c>
      <c r="W73" s="70">
        <f>'36. Generic chemical products'!W14</f>
        <v>0</v>
      </c>
      <c r="X73" s="70">
        <f>'36. Generic chemical products'!X14</f>
        <v>0</v>
      </c>
      <c r="Y73" s="70">
        <f>'36. Generic chemical products'!Y14</f>
        <v>7.4</v>
      </c>
      <c r="Z73" s="70">
        <f>'36. Generic chemical products'!Z14</f>
        <v>17.7</v>
      </c>
      <c r="AA73" s="70" t="str">
        <f>'36. Generic chemical products'!AA14</f>
        <v>COSMEDE</v>
      </c>
      <c r="AB73" s="27">
        <f>$C$22*I73</f>
        <v>0</v>
      </c>
      <c r="AC73" s="29">
        <f>$C$36*O73</f>
        <v>4.9999999999999998E-7</v>
      </c>
      <c r="AD73" s="135">
        <f t="shared" si="2"/>
        <v>0</v>
      </c>
      <c r="AE73" s="135">
        <f t="shared" si="3"/>
        <v>0</v>
      </c>
      <c r="AF73" s="24">
        <f>AB73*Y73+AC73*Z73</f>
        <v>8.85E-6</v>
      </c>
      <c r="AG73" s="24">
        <f t="shared" si="5"/>
        <v>0</v>
      </c>
      <c r="AH73" s="24">
        <f t="shared" si="6"/>
        <v>0</v>
      </c>
      <c r="AI73" s="24">
        <f t="shared" si="7"/>
        <v>0</v>
      </c>
      <c r="AJ73" s="24">
        <f t="shared" si="8"/>
        <v>0</v>
      </c>
      <c r="AK73" s="24">
        <f t="shared" si="9"/>
        <v>0</v>
      </c>
      <c r="AL73" s="24">
        <f t="shared" si="10"/>
        <v>8.85E-6</v>
      </c>
      <c r="AM73" s="161">
        <f t="shared" si="11"/>
        <v>0</v>
      </c>
      <c r="AN73" s="157">
        <f t="shared" si="11"/>
        <v>0</v>
      </c>
      <c r="AO73" s="162">
        <f t="shared" si="11"/>
        <v>8.85E-6</v>
      </c>
    </row>
    <row r="74" spans="1:41" s="49" customFormat="1" ht="15" customHeight="1" x14ac:dyDescent="0.2">
      <c r="A74" s="136" t="str">
        <f>'36. Generic chemical products'!A15</f>
        <v>Peroxide stabilizer, average (Clarite 3X)</v>
      </c>
      <c r="B74" s="136" t="str">
        <f>'36. Generic chemical products'!B15</f>
        <v xml:space="preserve"> </v>
      </c>
      <c r="C74" s="136">
        <f>'36. Generic chemical products'!C15</f>
        <v>0</v>
      </c>
      <c r="D74" s="136">
        <f>'36. Generic chemical products'!D15</f>
        <v>0</v>
      </c>
      <c r="E74" s="136" t="str">
        <f>'36. Generic chemical products'!E15</f>
        <v>Common breakdown product of of acrylics, 0.001 % assumed</v>
      </c>
      <c r="F74" s="136">
        <f>'36. Generic chemical products'!F15</f>
        <v>0</v>
      </c>
      <c r="G74" s="136" t="str">
        <f>'36. Generic chemical products'!G15</f>
        <v>Formaldehyde</v>
      </c>
      <c r="H74" s="136" t="str">
        <f>'36. Generic chemical products'!H15</f>
        <v>high. pop.</v>
      </c>
      <c r="I74" s="136">
        <f>'36. Generic chemical products'!I15</f>
        <v>1.0000000000000001E-7</v>
      </c>
      <c r="J74" s="136" t="str">
        <f>'36. Generic chemical products'!J15</f>
        <v>kg</v>
      </c>
      <c r="K74" s="136">
        <f>'36. Generic chemical products'!K15</f>
        <v>0</v>
      </c>
      <c r="L74" s="136">
        <f>'36. Generic chemical products'!L15</f>
        <v>0</v>
      </c>
      <c r="M74" s="136" t="str">
        <f>'36. Generic chemical products'!M15</f>
        <v>Formaldehyde</v>
      </c>
      <c r="N74" s="136" t="str">
        <f>'36. Generic chemical products'!N15</f>
        <v>river</v>
      </c>
      <c r="O74" s="136">
        <f>'36. Generic chemical products'!O15</f>
        <v>1.0000000000000002E-6</v>
      </c>
      <c r="P74" s="136" t="str">
        <f>'36. Generic chemical products'!P15</f>
        <v>kg</v>
      </c>
      <c r="Q74" s="136" t="str">
        <f>'36. Generic chemical products'!Q15</f>
        <v xml:space="preserve">0.1 % of the content is degraded to common breakdown products. 90% of reactive chemicals are degraded during operations. </v>
      </c>
      <c r="R74" s="136">
        <f>'36. Generic chemical products'!R15</f>
        <v>0</v>
      </c>
      <c r="S74" s="136">
        <f>'36. Generic chemical products'!S15</f>
        <v>0</v>
      </c>
      <c r="T74" s="136" t="str">
        <f>'36. Generic chemical products'!T15</f>
        <v>50-00-0</v>
      </c>
      <c r="U74" s="136">
        <f>'36. Generic chemical products'!U15</f>
        <v>2.5208446330720887E-5</v>
      </c>
      <c r="V74" s="136">
        <f>'36. Generic chemical products'!V15</f>
        <v>2.6504960021309262E-7</v>
      </c>
      <c r="W74" s="136">
        <f>'36. Generic chemical products'!W15</f>
        <v>1.4222228897488039E-7</v>
      </c>
      <c r="X74" s="136">
        <f>'36. Generic chemical products'!X15</f>
        <v>3.170874313501273E-7</v>
      </c>
      <c r="Y74" s="136">
        <f>'36. Generic chemical products'!Y15</f>
        <v>17.989178582912412</v>
      </c>
      <c r="Z74" s="136">
        <f>'36. Generic chemical products'!Z15</f>
        <v>290.05086067463066</v>
      </c>
      <c r="AA74" s="136" t="str">
        <f>'36. Generic chemical products'!AA15</f>
        <v>USEtox</v>
      </c>
      <c r="AB74" s="28">
        <f>$C$22*I74</f>
        <v>1.0000000000000002E-10</v>
      </c>
      <c r="AC74" s="146">
        <f>$C$36*O74</f>
        <v>1.0000000000000003E-9</v>
      </c>
      <c r="AD74" s="147">
        <f t="shared" si="2"/>
        <v>2.6630669220469697E-15</v>
      </c>
      <c r="AE74" s="147">
        <f t="shared" si="3"/>
        <v>3.435923913714367E-16</v>
      </c>
      <c r="AF74" s="25">
        <f t="shared" si="4"/>
        <v>2.91849778532922E-7</v>
      </c>
      <c r="AG74" s="25">
        <f t="shared" si="5"/>
        <v>2.5208446330720891E-15</v>
      </c>
      <c r="AH74" s="25">
        <f t="shared" si="6"/>
        <v>2.6504960021309265E-17</v>
      </c>
      <c r="AI74" s="25">
        <f t="shared" si="7"/>
        <v>1.7989178582912415E-9</v>
      </c>
      <c r="AJ74" s="25">
        <f t="shared" si="8"/>
        <v>1.4222228897488043E-16</v>
      </c>
      <c r="AK74" s="25">
        <f t="shared" si="9"/>
        <v>3.1708743135012741E-16</v>
      </c>
      <c r="AL74" s="25">
        <f t="shared" si="10"/>
        <v>2.9005086067463075E-7</v>
      </c>
      <c r="AM74" s="163">
        <f t="shared" si="11"/>
        <v>2.6630669220469697E-15</v>
      </c>
      <c r="AN74" s="164">
        <f t="shared" si="11"/>
        <v>3.435923913714367E-16</v>
      </c>
      <c r="AO74" s="165">
        <f t="shared" si="11"/>
        <v>2.91849778532922E-7</v>
      </c>
    </row>
    <row r="75" spans="1:41" s="361" customFormat="1" ht="15" customHeight="1" x14ac:dyDescent="0.2">
      <c r="A75" s="196" t="str">
        <f>'36. Generic chemical products'!A16</f>
        <v>Base (alkali) (NaOH), average</v>
      </c>
      <c r="B75" s="196" t="str">
        <f>'36. Generic chemical products'!B16</f>
        <v>Sodium hydroxide</v>
      </c>
      <c r="C75" s="196">
        <f>'36. Generic chemical products'!C16</f>
        <v>1</v>
      </c>
      <c r="D75" s="196" t="str">
        <f>'36. Generic chemical products'!D16</f>
        <v>kg</v>
      </c>
      <c r="E75" s="196">
        <f>'36. Generic chemical products'!E16</f>
        <v>1</v>
      </c>
      <c r="F75" s="196">
        <f>'36. Generic chemical products'!F16</f>
        <v>0</v>
      </c>
      <c r="G75" s="196" t="str">
        <f>'36. Generic chemical products'!G16</f>
        <v>-</v>
      </c>
      <c r="H75" s="196">
        <f>'36. Generic chemical products'!H16</f>
        <v>0</v>
      </c>
      <c r="I75" s="196">
        <f>'36. Generic chemical products'!I16</f>
        <v>0</v>
      </c>
      <c r="J75" s="196">
        <f>'36. Generic chemical products'!J16</f>
        <v>0</v>
      </c>
      <c r="K75" s="196" t="str">
        <f>'36. Generic chemical products'!K16</f>
        <v>Worst case - mist carries substance</v>
      </c>
      <c r="L75" s="196">
        <f>'36. Generic chemical products'!L16</f>
        <v>0</v>
      </c>
      <c r="M75" s="196" t="str">
        <f>'36. Generic chemical products'!M16</f>
        <v>Sodium hydroxide</v>
      </c>
      <c r="N75" s="196" t="str">
        <f>'36. Generic chemical products'!N16</f>
        <v>river</v>
      </c>
      <c r="O75" s="196">
        <f>'36. Generic chemical products'!O16</f>
        <v>0.1</v>
      </c>
      <c r="P75" s="196" t="str">
        <f>'36. Generic chemical products'!P16</f>
        <v>kg</v>
      </c>
      <c r="Q75" s="196">
        <f>'36. Generic chemical products'!Q16</f>
        <v>0</v>
      </c>
      <c r="R75" s="196">
        <f>'36. Generic chemical products'!R16</f>
        <v>0</v>
      </c>
      <c r="S75" s="196">
        <f>'36. Generic chemical products'!S16</f>
        <v>0</v>
      </c>
      <c r="T75" s="196" t="str">
        <f>'36. Generic chemical products'!T16</f>
        <v>1310-73-2</v>
      </c>
      <c r="U75" s="196">
        <f>'36. Generic chemical products'!U16</f>
        <v>0</v>
      </c>
      <c r="V75" s="196">
        <f>'36. Generic chemical products'!V16</f>
        <v>0</v>
      </c>
      <c r="W75" s="196">
        <f>'36. Generic chemical products'!W16</f>
        <v>0</v>
      </c>
      <c r="X75" s="196">
        <f>'36. Generic chemical products'!X16</f>
        <v>0</v>
      </c>
      <c r="Y75" s="196">
        <f>'36. Generic chemical products'!Y16</f>
        <v>164.24</v>
      </c>
      <c r="Z75" s="196">
        <f>'36. Generic chemical products'!Z16</f>
        <v>400.09</v>
      </c>
      <c r="AA75" s="196" t="str">
        <f>'36. Generic chemical products'!AA16</f>
        <v>COSMEDE</v>
      </c>
      <c r="AB75" s="401">
        <f>$C$23*I75</f>
        <v>0</v>
      </c>
      <c r="AC75" s="362">
        <f>$C$37*O75</f>
        <v>2E-3</v>
      </c>
      <c r="AD75" s="402">
        <f t="shared" si="2"/>
        <v>0</v>
      </c>
      <c r="AE75" s="402">
        <f t="shared" si="3"/>
        <v>0</v>
      </c>
      <c r="AF75" s="403">
        <f t="shared" si="4"/>
        <v>0.80018</v>
      </c>
      <c r="AG75" s="403">
        <f t="shared" si="5"/>
        <v>0</v>
      </c>
      <c r="AH75" s="403">
        <f t="shared" si="6"/>
        <v>0</v>
      </c>
      <c r="AI75" s="403">
        <f t="shared" si="7"/>
        <v>0</v>
      </c>
      <c r="AJ75" s="403">
        <f t="shared" si="8"/>
        <v>0</v>
      </c>
      <c r="AK75" s="403">
        <f t="shared" si="9"/>
        <v>0</v>
      </c>
      <c r="AL75" s="403">
        <f t="shared" si="10"/>
        <v>0.80018</v>
      </c>
      <c r="AM75" s="404">
        <f t="shared" si="11"/>
        <v>0</v>
      </c>
      <c r="AN75" s="405">
        <f t="shared" si="11"/>
        <v>0</v>
      </c>
      <c r="AO75" s="406">
        <f t="shared" si="11"/>
        <v>0.80018</v>
      </c>
    </row>
    <row r="76" spans="1:41" s="361" customFormat="1" ht="15" customHeight="1" x14ac:dyDescent="0.2">
      <c r="A76" s="194" t="str">
        <f>'36. Generic chemical products'!A17</f>
        <v>Bleach, hydrogen peroxide, BAT</v>
      </c>
      <c r="B76" s="194" t="str">
        <f>'36. Generic chemical products'!B17</f>
        <v>Hydrogen peroxide</v>
      </c>
      <c r="C76" s="194">
        <f>'36. Generic chemical products'!C17</f>
        <v>1</v>
      </c>
      <c r="D76" s="194" t="str">
        <f>'36. Generic chemical products'!D17</f>
        <v>kg</v>
      </c>
      <c r="E76" s="194">
        <f>'36. Generic chemical products'!E17</f>
        <v>1</v>
      </c>
      <c r="F76" s="194">
        <f>'36. Generic chemical products'!F17</f>
        <v>0</v>
      </c>
      <c r="G76" s="194" t="str">
        <f>'36. Generic chemical products'!G17</f>
        <v>Hydrogen peroxide</v>
      </c>
      <c r="H76" s="194" t="str">
        <f>'36. Generic chemical products'!H17</f>
        <v>high. pop.</v>
      </c>
      <c r="I76" s="194">
        <f>'36. Generic chemical products'!I17</f>
        <v>1E-3</v>
      </c>
      <c r="J76" s="194" t="str">
        <f>'36. Generic chemical products'!J17</f>
        <v>kg</v>
      </c>
      <c r="K76" s="194">
        <f>'36. Generic chemical products'!K17</f>
        <v>0</v>
      </c>
      <c r="L76" s="194">
        <f>'36. Generic chemical products'!L17</f>
        <v>0</v>
      </c>
      <c r="M76" s="194" t="str">
        <f>'36. Generic chemical products'!M17</f>
        <v>Hydrogen peroxide</v>
      </c>
      <c r="N76" s="194" t="str">
        <f>'36. Generic chemical products'!N17</f>
        <v>river</v>
      </c>
      <c r="O76" s="194">
        <f>'36. Generic chemical products'!O17</f>
        <v>1.0000000000000002E-2</v>
      </c>
      <c r="P76" s="194" t="str">
        <f>'36. Generic chemical products'!P17</f>
        <v>kg</v>
      </c>
      <c r="Q76" s="194" t="str">
        <f>'36. Generic chemical products'!Q17</f>
        <v xml:space="preserve">90% of reactive chemicals are degraded during operations. </v>
      </c>
      <c r="R76" s="194">
        <f>'36. Generic chemical products'!R17</f>
        <v>0</v>
      </c>
      <c r="S76" s="194">
        <f>'36. Generic chemical products'!S17</f>
        <v>0</v>
      </c>
      <c r="T76" s="194" t="str">
        <f>'36. Generic chemical products'!T17</f>
        <v>7722-84-1</v>
      </c>
      <c r="U76" s="194">
        <f>'36. Generic chemical products'!U17</f>
        <v>0</v>
      </c>
      <c r="V76" s="194">
        <f>'36. Generic chemical products'!V17</f>
        <v>0</v>
      </c>
      <c r="W76" s="194">
        <f>'36. Generic chemical products'!W17</f>
        <v>0</v>
      </c>
      <c r="X76" s="194">
        <f>'36. Generic chemical products'!X17</f>
        <v>0</v>
      </c>
      <c r="Y76" s="194">
        <f>'36. Generic chemical products'!Y17</f>
        <v>220</v>
      </c>
      <c r="Z76" s="194">
        <f>'36. Generic chemical products'!Z17</f>
        <v>532</v>
      </c>
      <c r="AA76" s="194" t="str">
        <f>'36. Generic chemical products'!AA17</f>
        <v>COSMEDE</v>
      </c>
      <c r="AB76" s="401">
        <f>$C$24*I76</f>
        <v>3.5000000000000004E-5</v>
      </c>
      <c r="AC76" s="362">
        <f>$C$38*O76</f>
        <v>3.500000000000001E-4</v>
      </c>
      <c r="AD76" s="402">
        <f t="shared" si="2"/>
        <v>0</v>
      </c>
      <c r="AE76" s="402">
        <f t="shared" si="3"/>
        <v>0</v>
      </c>
      <c r="AF76" s="403">
        <f t="shared" si="4"/>
        <v>0.19390000000000007</v>
      </c>
      <c r="AG76" s="403">
        <f t="shared" si="5"/>
        <v>0</v>
      </c>
      <c r="AH76" s="403">
        <f t="shared" si="6"/>
        <v>0</v>
      </c>
      <c r="AI76" s="403">
        <f t="shared" si="7"/>
        <v>7.7000000000000011E-3</v>
      </c>
      <c r="AJ76" s="403">
        <f t="shared" si="8"/>
        <v>0</v>
      </c>
      <c r="AK76" s="403">
        <f t="shared" si="9"/>
        <v>0</v>
      </c>
      <c r="AL76" s="403">
        <f t="shared" si="10"/>
        <v>0.18620000000000006</v>
      </c>
      <c r="AM76" s="404">
        <f t="shared" si="11"/>
        <v>0</v>
      </c>
      <c r="AN76" s="405">
        <f t="shared" si="11"/>
        <v>0</v>
      </c>
      <c r="AO76" s="406">
        <f t="shared" si="11"/>
        <v>0.19390000000000007</v>
      </c>
    </row>
    <row r="77" spans="1:41" s="8" customFormat="1" ht="15" customHeight="1" x14ac:dyDescent="0.2">
      <c r="A77" s="68" t="str">
        <f>'36. Generic chemical products'!A27</f>
        <v>Antifoaming agent, average (3M Defoamer)</v>
      </c>
      <c r="B77" s="68" t="str">
        <f>'36. Generic chemical products'!B27</f>
        <v>Dimethyl siloxane, reaction product with silica</v>
      </c>
      <c r="C77" s="68">
        <f>'36. Generic chemical products'!C27</f>
        <v>0.05</v>
      </c>
      <c r="D77" s="68" t="str">
        <f>'36. Generic chemical products'!D27</f>
        <v>kg</v>
      </c>
      <c r="E77" s="68" t="str">
        <f>'36. Generic chemical products'!E27</f>
        <v>MSDS</v>
      </c>
      <c r="F77" s="68">
        <f>'36. Generic chemical products'!F27</f>
        <v>0</v>
      </c>
      <c r="G77" s="68" t="str">
        <f>'36. Generic chemical products'!G27</f>
        <v>-</v>
      </c>
      <c r="H77" s="68">
        <f>'36. Generic chemical products'!H27</f>
        <v>0</v>
      </c>
      <c r="I77" s="68">
        <f>'36. Generic chemical products'!I27</f>
        <v>0</v>
      </c>
      <c r="J77" s="68">
        <f>'36. Generic chemical products'!J27</f>
        <v>0</v>
      </c>
      <c r="K77" s="68">
        <f>'36. Generic chemical products'!K27</f>
        <v>0</v>
      </c>
      <c r="L77" s="68">
        <f>'36. Generic chemical products'!L27</f>
        <v>0</v>
      </c>
      <c r="M77" s="68" t="str">
        <f>'36. Generic chemical products'!M27</f>
        <v>Dimethyl siloxane, reaction product with silica</v>
      </c>
      <c r="N77" s="68" t="str">
        <f>'36. Generic chemical products'!N27</f>
        <v>river</v>
      </c>
      <c r="O77" s="68">
        <f>'36. Generic chemical products'!O27</f>
        <v>5.000000000000001E-3</v>
      </c>
      <c r="P77" s="68" t="str">
        <f>'36. Generic chemical products'!P27</f>
        <v>kg</v>
      </c>
      <c r="Q77" s="68">
        <f>'36. Generic chemical products'!Q27</f>
        <v>0</v>
      </c>
      <c r="R77" s="68">
        <f>'36. Generic chemical products'!R27</f>
        <v>0</v>
      </c>
      <c r="S77" s="68">
        <f>'36. Generic chemical products'!S27</f>
        <v>0</v>
      </c>
      <c r="T77" s="68" t="str">
        <f>'36. Generic chemical products'!T27</f>
        <v>67762-90-7</v>
      </c>
      <c r="U77" s="68">
        <f>'36. Generic chemical products'!U27</f>
        <v>0</v>
      </c>
      <c r="V77" s="68">
        <f>'36. Generic chemical products'!V27</f>
        <v>3.4962401965755862E-5</v>
      </c>
      <c r="W77" s="68">
        <f>'36. Generic chemical products'!W27</f>
        <v>0</v>
      </c>
      <c r="X77" s="68">
        <f>'36. Generic chemical products'!X27</f>
        <v>1.4442852689626513E-7</v>
      </c>
      <c r="Y77" s="68">
        <f>'36. Generic chemical products'!Y27</f>
        <v>1.7253896630384493</v>
      </c>
      <c r="Z77" s="68">
        <f>'36. Generic chemical products'!Z27</f>
        <v>5.4794308572283885</v>
      </c>
      <c r="AA77" s="68" t="str">
        <f>'36. Generic chemical products'!AA27</f>
        <v>Roos 2017</v>
      </c>
      <c r="AB77" s="27">
        <f>$C$25*I77</f>
        <v>0</v>
      </c>
      <c r="AC77" s="29">
        <f>$C$39*O77</f>
        <v>1.0000000000000002E-4</v>
      </c>
      <c r="AD77" s="135">
        <f>AB77*U77+AC77*W77</f>
        <v>0</v>
      </c>
      <c r="AE77" s="135">
        <f t="shared" si="3"/>
        <v>1.4442852689626515E-11</v>
      </c>
      <c r="AF77" s="24">
        <f t="shared" si="4"/>
        <v>5.4794308572283894E-4</v>
      </c>
      <c r="AG77" s="24">
        <f t="shared" si="5"/>
        <v>0</v>
      </c>
      <c r="AH77" s="24">
        <f t="shared" si="6"/>
        <v>0</v>
      </c>
      <c r="AI77" s="24">
        <f t="shared" si="7"/>
        <v>0</v>
      </c>
      <c r="AJ77" s="24">
        <f t="shared" si="8"/>
        <v>0</v>
      </c>
      <c r="AK77" s="24">
        <f t="shared" si="9"/>
        <v>1.4442852689626515E-11</v>
      </c>
      <c r="AL77" s="24">
        <f t="shared" si="10"/>
        <v>5.4794308572283894E-4</v>
      </c>
      <c r="AM77" s="161">
        <f t="shared" si="11"/>
        <v>0</v>
      </c>
      <c r="AN77" s="157">
        <f t="shared" si="11"/>
        <v>1.4442852689626515E-11</v>
      </c>
      <c r="AO77" s="162">
        <f t="shared" si="11"/>
        <v>5.4794308572283894E-4</v>
      </c>
    </row>
    <row r="78" spans="1:41" s="8" customFormat="1" ht="15" customHeight="1" x14ac:dyDescent="0.2">
      <c r="A78" s="68" t="str">
        <f>'36. Generic chemical products'!A28</f>
        <v>Antifoaming agent, average (3M Defoamer)</v>
      </c>
      <c r="B78" s="68" t="str">
        <f>'36. Generic chemical products'!B28</f>
        <v>Sodium hydroxide</v>
      </c>
      <c r="C78" s="68">
        <f>'36. Generic chemical products'!C28</f>
        <v>0.02</v>
      </c>
      <c r="D78" s="68" t="str">
        <f>'36. Generic chemical products'!D28</f>
        <v>kg</v>
      </c>
      <c r="E78" s="68" t="str">
        <f>'36. Generic chemical products'!E28</f>
        <v>MSDS</v>
      </c>
      <c r="F78" s="68">
        <f>'36. Generic chemical products'!F28</f>
        <v>0</v>
      </c>
      <c r="G78" s="68" t="str">
        <f>'36. Generic chemical products'!G28</f>
        <v>-</v>
      </c>
      <c r="H78" s="68">
        <f>'36. Generic chemical products'!H28</f>
        <v>0</v>
      </c>
      <c r="I78" s="68">
        <f>'36. Generic chemical products'!I28</f>
        <v>0</v>
      </c>
      <c r="J78" s="68">
        <f>'36. Generic chemical products'!J28</f>
        <v>0</v>
      </c>
      <c r="K78" s="68">
        <f>'36. Generic chemical products'!K28</f>
        <v>0</v>
      </c>
      <c r="L78" s="68">
        <f>'36. Generic chemical products'!L28</f>
        <v>0</v>
      </c>
      <c r="M78" s="68" t="str">
        <f>'36. Generic chemical products'!M28</f>
        <v>Sodium hydroxide</v>
      </c>
      <c r="N78" s="68" t="str">
        <f>'36. Generic chemical products'!N28</f>
        <v>river</v>
      </c>
      <c r="O78" s="68">
        <f>'36. Generic chemical products'!O28</f>
        <v>2E-3</v>
      </c>
      <c r="P78" s="68" t="str">
        <f>'36. Generic chemical products'!P28</f>
        <v>kg</v>
      </c>
      <c r="Q78" s="68">
        <f>'36. Generic chemical products'!Q28</f>
        <v>0</v>
      </c>
      <c r="R78" s="68">
        <f>'36. Generic chemical products'!R28</f>
        <v>0</v>
      </c>
      <c r="S78" s="68">
        <f>'36. Generic chemical products'!S28</f>
        <v>0</v>
      </c>
      <c r="T78" s="68" t="str">
        <f>'36. Generic chemical products'!T28</f>
        <v>1310-73-2</v>
      </c>
      <c r="U78" s="68">
        <f>'36. Generic chemical products'!U28</f>
        <v>0</v>
      </c>
      <c r="V78" s="68">
        <f>'36. Generic chemical products'!V28</f>
        <v>0</v>
      </c>
      <c r="W78" s="68">
        <f>'36. Generic chemical products'!W28</f>
        <v>0</v>
      </c>
      <c r="X78" s="68">
        <f>'36. Generic chemical products'!X28</f>
        <v>0</v>
      </c>
      <c r="Y78" s="68">
        <f>'36. Generic chemical products'!Y28</f>
        <v>164.24</v>
      </c>
      <c r="Z78" s="68">
        <f>'36. Generic chemical products'!Z28</f>
        <v>400.09</v>
      </c>
      <c r="AA78" s="68" t="str">
        <f>'36. Generic chemical products'!AA28</f>
        <v>COSMEDE</v>
      </c>
      <c r="AB78" s="27">
        <f>$C$25*I78</f>
        <v>0</v>
      </c>
      <c r="AC78" s="29">
        <f>$C$39*O78</f>
        <v>4.0000000000000003E-5</v>
      </c>
      <c r="AD78" s="135">
        <f t="shared" si="2"/>
        <v>0</v>
      </c>
      <c r="AE78" s="135">
        <f t="shared" si="3"/>
        <v>0</v>
      </c>
      <c r="AF78" s="24">
        <f t="shared" si="4"/>
        <v>1.60036E-2</v>
      </c>
      <c r="AG78" s="24">
        <f t="shared" si="5"/>
        <v>0</v>
      </c>
      <c r="AH78" s="24">
        <f t="shared" si="6"/>
        <v>0</v>
      </c>
      <c r="AI78" s="24">
        <f t="shared" si="7"/>
        <v>0</v>
      </c>
      <c r="AJ78" s="24">
        <f t="shared" si="8"/>
        <v>0</v>
      </c>
      <c r="AK78" s="24">
        <f t="shared" si="9"/>
        <v>0</v>
      </c>
      <c r="AL78" s="24">
        <f t="shared" si="10"/>
        <v>1.60036E-2</v>
      </c>
      <c r="AM78" s="161">
        <f t="shared" si="11"/>
        <v>0</v>
      </c>
      <c r="AN78" s="157">
        <f t="shared" si="11"/>
        <v>0</v>
      </c>
      <c r="AO78" s="162">
        <f t="shared" si="11"/>
        <v>1.60036E-2</v>
      </c>
    </row>
    <row r="79" spans="1:41" s="8" customFormat="1" ht="15" customHeight="1" x14ac:dyDescent="0.2">
      <c r="A79" s="68" t="str">
        <f>'36. Generic chemical products'!A29</f>
        <v>Antifoaming agent, average (3M Defoamer)</v>
      </c>
      <c r="B79" s="68" t="str">
        <f>'36. Generic chemical products'!B29</f>
        <v>Sodium lauryl sulphate</v>
      </c>
      <c r="C79" s="68">
        <f>'36. Generic chemical products'!C29</f>
        <v>1E-3</v>
      </c>
      <c r="D79" s="68" t="str">
        <f>'36. Generic chemical products'!D29</f>
        <v>kg</v>
      </c>
      <c r="E79" s="68" t="str">
        <f>'36. Generic chemical products'!E29</f>
        <v>MSDS</v>
      </c>
      <c r="F79" s="68">
        <f>'36. Generic chemical products'!F29</f>
        <v>0</v>
      </c>
      <c r="G79" s="68" t="str">
        <f>'36. Generic chemical products'!G29</f>
        <v>-</v>
      </c>
      <c r="H79" s="68">
        <f>'36. Generic chemical products'!H29</f>
        <v>0</v>
      </c>
      <c r="I79" s="68">
        <f>'36. Generic chemical products'!I29</f>
        <v>0</v>
      </c>
      <c r="J79" s="68">
        <f>'36. Generic chemical products'!J29</f>
        <v>0</v>
      </c>
      <c r="K79" s="68">
        <f>'36. Generic chemical products'!K29</f>
        <v>0</v>
      </c>
      <c r="L79" s="68">
        <f>'36. Generic chemical products'!L29</f>
        <v>0</v>
      </c>
      <c r="M79" s="68" t="str">
        <f>'36. Generic chemical products'!M29</f>
        <v>Sodium lauryl sulfate</v>
      </c>
      <c r="N79" s="68" t="str">
        <f>'36. Generic chemical products'!N29</f>
        <v>river</v>
      </c>
      <c r="O79" s="68">
        <f>'36. Generic chemical products'!O29</f>
        <v>1E-4</v>
      </c>
      <c r="P79" s="68" t="str">
        <f>'36. Generic chemical products'!P29</f>
        <v>kg</v>
      </c>
      <c r="Q79" s="68">
        <f>'36. Generic chemical products'!Q29</f>
        <v>0</v>
      </c>
      <c r="R79" s="68">
        <f>'36. Generic chemical products'!R29</f>
        <v>0</v>
      </c>
      <c r="S79" s="68">
        <f>'36. Generic chemical products'!S29</f>
        <v>0</v>
      </c>
      <c r="T79" s="68" t="str">
        <f>'36. Generic chemical products'!T29</f>
        <v>151-21-3</v>
      </c>
      <c r="U79" s="68">
        <f>'36. Generic chemical products'!U29</f>
        <v>0</v>
      </c>
      <c r="V79" s="68">
        <f>'36. Generic chemical products'!V29</f>
        <v>0</v>
      </c>
      <c r="W79" s="68">
        <f>'36. Generic chemical products'!W29</f>
        <v>0</v>
      </c>
      <c r="X79" s="68">
        <f>'36. Generic chemical products'!X29</f>
        <v>0</v>
      </c>
      <c r="Y79" s="68">
        <f>'36. Generic chemical products'!Y29</f>
        <v>306.24811854656059</v>
      </c>
      <c r="Z79" s="68">
        <f>'36. Generic chemical products'!Z29</f>
        <v>2239.9292193792821</v>
      </c>
      <c r="AA79" s="68" t="str">
        <f>'36. Generic chemical products'!AA29</f>
        <v>USEtox</v>
      </c>
      <c r="AB79" s="27">
        <f>$C$25*I79</f>
        <v>0</v>
      </c>
      <c r="AC79" s="29">
        <f>$C$39*O79</f>
        <v>2.0000000000000003E-6</v>
      </c>
      <c r="AD79" s="135">
        <f t="shared" si="2"/>
        <v>0</v>
      </c>
      <c r="AE79" s="135">
        <f t="shared" si="3"/>
        <v>0</v>
      </c>
      <c r="AF79" s="24">
        <f t="shared" si="4"/>
        <v>4.4798584387585648E-3</v>
      </c>
      <c r="AG79" s="24">
        <f t="shared" si="5"/>
        <v>0</v>
      </c>
      <c r="AH79" s="24">
        <f t="shared" si="6"/>
        <v>0</v>
      </c>
      <c r="AI79" s="24">
        <f t="shared" si="7"/>
        <v>0</v>
      </c>
      <c r="AJ79" s="24">
        <f t="shared" si="8"/>
        <v>0</v>
      </c>
      <c r="AK79" s="24">
        <f t="shared" si="9"/>
        <v>0</v>
      </c>
      <c r="AL79" s="24">
        <f t="shared" si="10"/>
        <v>4.4798584387585648E-3</v>
      </c>
      <c r="AM79" s="161">
        <f t="shared" si="11"/>
        <v>0</v>
      </c>
      <c r="AN79" s="157">
        <f t="shared" si="11"/>
        <v>0</v>
      </c>
      <c r="AO79" s="162">
        <f t="shared" si="11"/>
        <v>4.4798584387585648E-3</v>
      </c>
    </row>
    <row r="80" spans="1:41" s="8" customFormat="1" ht="15" customHeight="1" x14ac:dyDescent="0.2">
      <c r="A80" s="68" t="str">
        <f>'36. Generic chemical products'!A30</f>
        <v>Antifoaming agent, average (3M Defoamer)</v>
      </c>
      <c r="B80" s="68" t="str">
        <f>'36. Generic chemical products'!B30</f>
        <v>5-chloro-2-methyl-4-isothiazoline-3-one</v>
      </c>
      <c r="C80" s="68">
        <f>'36. Generic chemical products'!C30</f>
        <v>1E-3</v>
      </c>
      <c r="D80" s="68" t="str">
        <f>'36. Generic chemical products'!D30</f>
        <v>kg</v>
      </c>
      <c r="E80" s="68" t="str">
        <f>'36. Generic chemical products'!E30</f>
        <v>MSDS</v>
      </c>
      <c r="F80" s="68">
        <f>'36. Generic chemical products'!F30</f>
        <v>0</v>
      </c>
      <c r="G80" s="68" t="str">
        <f>'36. Generic chemical products'!G30</f>
        <v>-</v>
      </c>
      <c r="H80" s="68">
        <f>'36. Generic chemical products'!H30</f>
        <v>0</v>
      </c>
      <c r="I80" s="68">
        <f>'36. Generic chemical products'!I30</f>
        <v>0</v>
      </c>
      <c r="J80" s="68">
        <f>'36. Generic chemical products'!J30</f>
        <v>0</v>
      </c>
      <c r="K80" s="68">
        <f>'36. Generic chemical products'!K30</f>
        <v>0</v>
      </c>
      <c r="L80" s="68">
        <f>'36. Generic chemical products'!L30</f>
        <v>0</v>
      </c>
      <c r="M80" s="68" t="str">
        <f>'36. Generic chemical products'!M30</f>
        <v>5-chloro-2-methyl-4-isothiazolin-3-one</v>
      </c>
      <c r="N80" s="68" t="str">
        <f>'36. Generic chemical products'!N30</f>
        <v>river</v>
      </c>
      <c r="O80" s="68">
        <f>'36. Generic chemical products'!O30</f>
        <v>1E-4</v>
      </c>
      <c r="P80" s="68" t="str">
        <f>'36. Generic chemical products'!P30</f>
        <v>kg</v>
      </c>
      <c r="Q80" s="68">
        <f>'36. Generic chemical products'!Q30</f>
        <v>0</v>
      </c>
      <c r="R80" s="68">
        <f>'36. Generic chemical products'!R30</f>
        <v>0</v>
      </c>
      <c r="S80" s="68">
        <f>'36. Generic chemical products'!S30</f>
        <v>0</v>
      </c>
      <c r="T80" s="68" t="str">
        <f>'36. Generic chemical products'!T30</f>
        <v>26172-55-4</v>
      </c>
      <c r="U80" s="68">
        <f>'36. Generic chemical products'!U30</f>
        <v>0</v>
      </c>
      <c r="V80" s="68">
        <f>'36. Generic chemical products'!V30</f>
        <v>0</v>
      </c>
      <c r="W80" s="68">
        <f>'36. Generic chemical products'!W30</f>
        <v>0</v>
      </c>
      <c r="X80" s="68">
        <f>'36. Generic chemical products'!X30</f>
        <v>0</v>
      </c>
      <c r="Y80" s="68">
        <f>'36. Generic chemical products'!Y30</f>
        <v>6089.5109426939807</v>
      </c>
      <c r="Z80" s="68">
        <f>'36. Generic chemical products'!Z30</f>
        <v>54476.932420915044</v>
      </c>
      <c r="AA80" s="68" t="str">
        <f>'36. Generic chemical products'!AA30</f>
        <v>USEtox</v>
      </c>
      <c r="AB80" s="27">
        <f>$C$25*I80</f>
        <v>0</v>
      </c>
      <c r="AC80" s="29">
        <f>$C$39*O80</f>
        <v>2.0000000000000003E-6</v>
      </c>
      <c r="AD80" s="135">
        <f t="shared" si="2"/>
        <v>0</v>
      </c>
      <c r="AE80" s="135">
        <f t="shared" si="3"/>
        <v>0</v>
      </c>
      <c r="AF80" s="24">
        <f t="shared" si="4"/>
        <v>0.1089538648418301</v>
      </c>
      <c r="AG80" s="24">
        <f t="shared" si="5"/>
        <v>0</v>
      </c>
      <c r="AH80" s="24">
        <f t="shared" si="6"/>
        <v>0</v>
      </c>
      <c r="AI80" s="24">
        <f t="shared" si="7"/>
        <v>0</v>
      </c>
      <c r="AJ80" s="24">
        <f t="shared" si="8"/>
        <v>0</v>
      </c>
      <c r="AK80" s="24">
        <f t="shared" si="9"/>
        <v>0</v>
      </c>
      <c r="AL80" s="24">
        <f t="shared" si="10"/>
        <v>0.1089538648418301</v>
      </c>
      <c r="AM80" s="161">
        <f t="shared" si="11"/>
        <v>0</v>
      </c>
      <c r="AN80" s="157">
        <f t="shared" si="11"/>
        <v>0</v>
      </c>
      <c r="AO80" s="162">
        <f t="shared" si="11"/>
        <v>0.1089538648418301</v>
      </c>
    </row>
    <row r="81" spans="1:41" s="49" customFormat="1" ht="15" customHeight="1" x14ac:dyDescent="0.2">
      <c r="A81" s="193" t="str">
        <f>'36. Generic chemical products'!A31</f>
        <v>Antifoaming agent, average (3M Defoamer)</v>
      </c>
      <c r="B81" s="193" t="str">
        <f>'36. Generic chemical products'!B31</f>
        <v>2-methyl-4-isothiazolin-3-one</v>
      </c>
      <c r="C81" s="193">
        <f>'36. Generic chemical products'!C31</f>
        <v>1E-3</v>
      </c>
      <c r="D81" s="193" t="str">
        <f>'36. Generic chemical products'!D31</f>
        <v>kg</v>
      </c>
      <c r="E81" s="193" t="str">
        <f>'36. Generic chemical products'!E31</f>
        <v>MSDS</v>
      </c>
      <c r="F81" s="193">
        <f>'36. Generic chemical products'!F31</f>
        <v>0</v>
      </c>
      <c r="G81" s="193" t="str">
        <f>'36. Generic chemical products'!G31</f>
        <v>-</v>
      </c>
      <c r="H81" s="193">
        <f>'36. Generic chemical products'!H31</f>
        <v>0</v>
      </c>
      <c r="I81" s="193">
        <f>'36. Generic chemical products'!I31</f>
        <v>0</v>
      </c>
      <c r="J81" s="193">
        <f>'36. Generic chemical products'!J31</f>
        <v>0</v>
      </c>
      <c r="K81" s="193">
        <f>'36. Generic chemical products'!K31</f>
        <v>0</v>
      </c>
      <c r="L81" s="193">
        <f>'36. Generic chemical products'!L31</f>
        <v>0</v>
      </c>
      <c r="M81" s="193" t="str">
        <f>'36. Generic chemical products'!M31</f>
        <v>2-methyl-4-isothiazolin-3-one</v>
      </c>
      <c r="N81" s="193" t="str">
        <f>'36. Generic chemical products'!N31</f>
        <v>river</v>
      </c>
      <c r="O81" s="193">
        <f>'36. Generic chemical products'!O31</f>
        <v>1E-4</v>
      </c>
      <c r="P81" s="193" t="str">
        <f>'36. Generic chemical products'!P31</f>
        <v>kg</v>
      </c>
      <c r="Q81" s="193">
        <f>'36. Generic chemical products'!Q31</f>
        <v>0</v>
      </c>
      <c r="R81" s="193">
        <f>'36. Generic chemical products'!R31</f>
        <v>0</v>
      </c>
      <c r="S81" s="193">
        <f>'36. Generic chemical products'!S31</f>
        <v>0</v>
      </c>
      <c r="T81" s="193" t="str">
        <f>'36. Generic chemical products'!T31</f>
        <v>2682-20-4</v>
      </c>
      <c r="U81" s="193">
        <f>'36. Generic chemical products'!U31</f>
        <v>0</v>
      </c>
      <c r="V81" s="193">
        <f>'36. Generic chemical products'!V31</f>
        <v>0</v>
      </c>
      <c r="W81" s="193">
        <f>'36. Generic chemical products'!W31</f>
        <v>0</v>
      </c>
      <c r="X81" s="193">
        <f>'36. Generic chemical products'!X31</f>
        <v>0</v>
      </c>
      <c r="Y81" s="193">
        <f>'36. Generic chemical products'!Y31</f>
        <v>15653.997644153058</v>
      </c>
      <c r="Z81" s="193">
        <f>'36. Generic chemical products'!Z31</f>
        <v>184815.26625319294</v>
      </c>
      <c r="AA81" s="193" t="str">
        <f>'36. Generic chemical products'!AA31</f>
        <v>USEtox</v>
      </c>
      <c r="AB81" s="28">
        <f>$C$25*I81</f>
        <v>0</v>
      </c>
      <c r="AC81" s="146">
        <f>$C$39*O81</f>
        <v>2.0000000000000003E-6</v>
      </c>
      <c r="AD81" s="147">
        <f t="shared" si="2"/>
        <v>0</v>
      </c>
      <c r="AE81" s="147">
        <f t="shared" si="3"/>
        <v>0</v>
      </c>
      <c r="AF81" s="25">
        <f t="shared" si="4"/>
        <v>0.36963053250638594</v>
      </c>
      <c r="AG81" s="25">
        <f t="shared" si="5"/>
        <v>0</v>
      </c>
      <c r="AH81" s="25">
        <f t="shared" si="6"/>
        <v>0</v>
      </c>
      <c r="AI81" s="25">
        <f t="shared" si="7"/>
        <v>0</v>
      </c>
      <c r="AJ81" s="25">
        <f t="shared" si="8"/>
        <v>0</v>
      </c>
      <c r="AK81" s="25">
        <f t="shared" si="9"/>
        <v>0</v>
      </c>
      <c r="AL81" s="25">
        <f t="shared" si="10"/>
        <v>0.36963053250638594</v>
      </c>
      <c r="AM81" s="163">
        <f t="shared" ref="AM81:AO101" si="12">AG81+AJ81</f>
        <v>0</v>
      </c>
      <c r="AN81" s="164">
        <f t="shared" si="12"/>
        <v>0</v>
      </c>
      <c r="AO81" s="165">
        <f t="shared" si="12"/>
        <v>0.36963053250638594</v>
      </c>
    </row>
    <row r="82" spans="1:41" s="361" customFormat="1" ht="15" customHeight="1" x14ac:dyDescent="0.2">
      <c r="A82" s="194" t="str">
        <f>'36. Generic chemical products'!A60</f>
        <v>Conducting salt</v>
      </c>
      <c r="B82" s="194" t="str">
        <f>'36. Generic chemical products'!B60</f>
        <v>Sodium sulfate</v>
      </c>
      <c r="C82" s="194">
        <f>'36. Generic chemical products'!C60</f>
        <v>1</v>
      </c>
      <c r="D82" s="194" t="str">
        <f>'36. Generic chemical products'!D60</f>
        <v>kg</v>
      </c>
      <c r="E82" s="194">
        <f>'36. Generic chemical products'!E60</f>
        <v>1</v>
      </c>
      <c r="F82" s="194">
        <f>'36. Generic chemical products'!F60</f>
        <v>0</v>
      </c>
      <c r="G82" s="194" t="str">
        <f>'36. Generic chemical products'!G60</f>
        <v>-</v>
      </c>
      <c r="H82" s="194">
        <f>'36. Generic chemical products'!H60</f>
        <v>0</v>
      </c>
      <c r="I82" s="194">
        <f>'36. Generic chemical products'!I60</f>
        <v>0</v>
      </c>
      <c r="J82" s="194">
        <f>'36. Generic chemical products'!J60</f>
        <v>0</v>
      </c>
      <c r="K82" s="194">
        <f>'36. Generic chemical products'!K60</f>
        <v>0</v>
      </c>
      <c r="L82" s="194">
        <f>'36. Generic chemical products'!L60</f>
        <v>0</v>
      </c>
      <c r="M82" s="194" t="str">
        <f>'36. Generic chemical products'!M60</f>
        <v>Sodium sulfate</v>
      </c>
      <c r="N82" s="194" t="str">
        <f>'36. Generic chemical products'!N60</f>
        <v>river</v>
      </c>
      <c r="O82" s="194">
        <f>'36. Generic chemical products'!O60</f>
        <v>0.1</v>
      </c>
      <c r="P82" s="194" t="str">
        <f>'36. Generic chemical products'!P60</f>
        <v>kg</v>
      </c>
      <c r="Q82" s="194">
        <f>'36. Generic chemical products'!Q60</f>
        <v>0</v>
      </c>
      <c r="R82" s="194">
        <f>'36. Generic chemical products'!R60</f>
        <v>0</v>
      </c>
      <c r="S82" s="194">
        <f>'36. Generic chemical products'!S60</f>
        <v>0</v>
      </c>
      <c r="T82" s="194" t="str">
        <f>'36. Generic chemical products'!T60</f>
        <v>7757-82-6</v>
      </c>
      <c r="U82" s="194">
        <f>'36. Generic chemical products'!U60</f>
        <v>0</v>
      </c>
      <c r="V82" s="194">
        <f>'36. Generic chemical products'!V60</f>
        <v>0</v>
      </c>
      <c r="W82" s="194">
        <f>'36. Generic chemical products'!W60</f>
        <v>0</v>
      </c>
      <c r="X82" s="194">
        <f>'36. Generic chemical products'!X60</f>
        <v>0</v>
      </c>
      <c r="Y82" s="194">
        <f>'36. Generic chemical products'!Y60</f>
        <v>2.8</v>
      </c>
      <c r="Z82" s="194">
        <f>'36. Generic chemical products'!Z60</f>
        <v>6.75</v>
      </c>
      <c r="AA82" s="194" t="str">
        <f>'36. Generic chemical products'!AA60</f>
        <v>COSMEDE</v>
      </c>
      <c r="AB82" s="401">
        <f>$C$29*I82</f>
        <v>0</v>
      </c>
      <c r="AC82" s="362">
        <f>$C$43*O82</f>
        <v>1.4999999999999999E-2</v>
      </c>
      <c r="AD82" s="402">
        <f t="shared" si="2"/>
        <v>0</v>
      </c>
      <c r="AE82" s="402">
        <f t="shared" si="3"/>
        <v>0</v>
      </c>
      <c r="AF82" s="403">
        <f t="shared" si="4"/>
        <v>0.10124999999999999</v>
      </c>
      <c r="AG82" s="403">
        <f t="shared" si="5"/>
        <v>0</v>
      </c>
      <c r="AH82" s="403">
        <f t="shared" si="6"/>
        <v>0</v>
      </c>
      <c r="AI82" s="403">
        <f t="shared" si="7"/>
        <v>0</v>
      </c>
      <c r="AJ82" s="403">
        <f t="shared" si="8"/>
        <v>0</v>
      </c>
      <c r="AK82" s="403">
        <f t="shared" si="9"/>
        <v>0</v>
      </c>
      <c r="AL82" s="403">
        <f t="shared" si="10"/>
        <v>0.10124999999999999</v>
      </c>
      <c r="AM82" s="404">
        <f t="shared" si="12"/>
        <v>0</v>
      </c>
      <c r="AN82" s="405">
        <f t="shared" si="12"/>
        <v>0</v>
      </c>
      <c r="AO82" s="406">
        <f t="shared" si="12"/>
        <v>0.10124999999999999</v>
      </c>
    </row>
    <row r="83" spans="1:41" s="8" customFormat="1" ht="15" customHeight="1" x14ac:dyDescent="0.2">
      <c r="A83" s="70" t="str">
        <f>'36. Generic chemical products'!A41</f>
        <v>Reducing agent, average</v>
      </c>
      <c r="B83" s="70" t="str">
        <f>'36. Generic chemical products'!B41</f>
        <v>Sodium dithionite</v>
      </c>
      <c r="C83" s="70">
        <f>'36. Generic chemical products'!C41</f>
        <v>0.9</v>
      </c>
      <c r="D83" s="70" t="str">
        <f>'36. Generic chemical products'!D41</f>
        <v>kg</v>
      </c>
      <c r="E83" s="70" t="str">
        <f>'36. Generic chemical products'!E41</f>
        <v>MSDS</v>
      </c>
      <c r="F83" s="70">
        <f>'36. Generic chemical products'!F41</f>
        <v>0</v>
      </c>
      <c r="G83" s="70" t="str">
        <f>'36. Generic chemical products'!G41</f>
        <v>-</v>
      </c>
      <c r="H83" s="70">
        <f>'36. Generic chemical products'!H41</f>
        <v>0</v>
      </c>
      <c r="I83" s="70">
        <f>'36. Generic chemical products'!I41</f>
        <v>0</v>
      </c>
      <c r="J83" s="70">
        <f>'36. Generic chemical products'!J41</f>
        <v>0</v>
      </c>
      <c r="K83" s="70">
        <f>'36. Generic chemical products'!K41</f>
        <v>0</v>
      </c>
      <c r="L83" s="70">
        <f>'36. Generic chemical products'!L41</f>
        <v>0</v>
      </c>
      <c r="M83" s="70" t="str">
        <f>'36. Generic chemical products'!M41</f>
        <v>Sodium dithionite</v>
      </c>
      <c r="N83" s="70" t="str">
        <f>'36. Generic chemical products'!N41</f>
        <v>river</v>
      </c>
      <c r="O83" s="70">
        <f>'36. Generic chemical products'!O41</f>
        <v>9.0000000000000011E-2</v>
      </c>
      <c r="P83" s="70" t="str">
        <f>'36. Generic chemical products'!P41</f>
        <v>kg</v>
      </c>
      <c r="Q83" s="70">
        <f>'36. Generic chemical products'!Q41</f>
        <v>0</v>
      </c>
      <c r="R83" s="70">
        <f>'36. Generic chemical products'!R41</f>
        <v>0</v>
      </c>
      <c r="S83" s="70">
        <f>'36. Generic chemical products'!S41</f>
        <v>0</v>
      </c>
      <c r="T83" s="70" t="str">
        <f>'36. Generic chemical products'!T41</f>
        <v>7775-14-6</v>
      </c>
      <c r="U83" s="70">
        <f>'36. Generic chemical products'!U41</f>
        <v>0</v>
      </c>
      <c r="V83" s="70">
        <f>'36. Generic chemical products'!V41</f>
        <v>0</v>
      </c>
      <c r="W83" s="70">
        <f>'36. Generic chemical products'!W41</f>
        <v>0</v>
      </c>
      <c r="X83" s="70">
        <f>'36. Generic chemical products'!X41</f>
        <v>0</v>
      </c>
      <c r="Y83" s="70">
        <f>'36. Generic chemical products'!Y41</f>
        <v>52.575000000000003</v>
      </c>
      <c r="Z83" s="70">
        <f>'36. Generic chemical products'!Z41</f>
        <v>125.31</v>
      </c>
      <c r="AA83" s="70" t="str">
        <f>'36. Generic chemical products'!AA41</f>
        <v>COSMEDE</v>
      </c>
      <c r="AB83" s="27">
        <f>$C$27*I83</f>
        <v>0</v>
      </c>
      <c r="AC83" s="29">
        <f>$C$41*O83</f>
        <v>1.3500000000000001E-3</v>
      </c>
      <c r="AD83" s="135">
        <f t="shared" si="2"/>
        <v>0</v>
      </c>
      <c r="AE83" s="135">
        <f t="shared" si="3"/>
        <v>0</v>
      </c>
      <c r="AF83" s="24">
        <f t="shared" si="4"/>
        <v>0.1691685</v>
      </c>
      <c r="AG83" s="24">
        <f t="shared" si="5"/>
        <v>0</v>
      </c>
      <c r="AH83" s="24">
        <f t="shared" si="6"/>
        <v>0</v>
      </c>
      <c r="AI83" s="24">
        <f t="shared" si="7"/>
        <v>0</v>
      </c>
      <c r="AJ83" s="24">
        <f t="shared" si="8"/>
        <v>0</v>
      </c>
      <c r="AK83" s="24">
        <f t="shared" si="9"/>
        <v>0</v>
      </c>
      <c r="AL83" s="24">
        <f t="shared" si="10"/>
        <v>0.1691685</v>
      </c>
      <c r="AM83" s="161">
        <f t="shared" si="12"/>
        <v>0</v>
      </c>
      <c r="AN83" s="157">
        <f t="shared" si="12"/>
        <v>0</v>
      </c>
      <c r="AO83" s="162">
        <f t="shared" si="12"/>
        <v>0.1691685</v>
      </c>
    </row>
    <row r="84" spans="1:41" s="8" customFormat="1" ht="15" customHeight="1" x14ac:dyDescent="0.2">
      <c r="A84" s="70" t="str">
        <f>'36. Generic chemical products'!A42</f>
        <v>Reducing agent, average</v>
      </c>
      <c r="B84" s="70" t="str">
        <f>'36. Generic chemical products'!B42</f>
        <v>Sodium disulfate</v>
      </c>
      <c r="C84" s="70">
        <f>'36. Generic chemical products'!C42</f>
        <v>0.08</v>
      </c>
      <c r="D84" s="70" t="str">
        <f>'36. Generic chemical products'!D42</f>
        <v>kg</v>
      </c>
      <c r="E84" s="70" t="str">
        <f>'36. Generic chemical products'!E42</f>
        <v>MSDS</v>
      </c>
      <c r="F84" s="70">
        <f>'36. Generic chemical products'!F42</f>
        <v>0</v>
      </c>
      <c r="G84" s="70" t="str">
        <f>'36. Generic chemical products'!G42</f>
        <v>-</v>
      </c>
      <c r="H84" s="70">
        <f>'36. Generic chemical products'!H42</f>
        <v>0</v>
      </c>
      <c r="I84" s="70">
        <f>'36. Generic chemical products'!I42</f>
        <v>0</v>
      </c>
      <c r="J84" s="70">
        <f>'36. Generic chemical products'!J42</f>
        <v>0</v>
      </c>
      <c r="K84" s="70">
        <f>'36. Generic chemical products'!K42</f>
        <v>0</v>
      </c>
      <c r="L84" s="70">
        <f>'36. Generic chemical products'!L42</f>
        <v>0</v>
      </c>
      <c r="M84" s="70" t="str">
        <f>'36. Generic chemical products'!M42</f>
        <v>Sodium disulfate</v>
      </c>
      <c r="N84" s="70" t="str">
        <f>'36. Generic chemical products'!N42</f>
        <v>river</v>
      </c>
      <c r="O84" s="70">
        <f>'36. Generic chemical products'!O42</f>
        <v>8.0000000000000002E-3</v>
      </c>
      <c r="P84" s="70" t="str">
        <f>'36. Generic chemical products'!P42</f>
        <v>kg</v>
      </c>
      <c r="Q84" s="70">
        <f>'36. Generic chemical products'!Q42</f>
        <v>0</v>
      </c>
      <c r="R84" s="70">
        <f>'36. Generic chemical products'!R42</f>
        <v>0</v>
      </c>
      <c r="S84" s="70">
        <f>'36. Generic chemical products'!S42</f>
        <v>0</v>
      </c>
      <c r="T84" s="70" t="str">
        <f>'36. Generic chemical products'!T42</f>
        <v>7681-57-4</v>
      </c>
      <c r="U84" s="70">
        <f>'36. Generic chemical products'!U42</f>
        <v>0</v>
      </c>
      <c r="V84" s="70">
        <f>'36. Generic chemical products'!V42</f>
        <v>0</v>
      </c>
      <c r="W84" s="70">
        <f>'36. Generic chemical products'!W42</f>
        <v>0</v>
      </c>
      <c r="X84" s="70">
        <f>'36. Generic chemical products'!X42</f>
        <v>0</v>
      </c>
      <c r="Y84" s="70">
        <f>'36. Generic chemical products'!Y42</f>
        <v>6.0401999999999996</v>
      </c>
      <c r="Z84" s="70">
        <f>'36. Generic chemical products'!Z42</f>
        <v>126.48</v>
      </c>
      <c r="AA84" s="70" t="str">
        <f>'36. Generic chemical products'!AA42</f>
        <v>COSMEDE</v>
      </c>
      <c r="AB84" s="27">
        <f>$C$27*I84</f>
        <v>0</v>
      </c>
      <c r="AC84" s="29">
        <f>$C$41*O84</f>
        <v>1.2E-4</v>
      </c>
      <c r="AD84" s="135">
        <f t="shared" si="2"/>
        <v>0</v>
      </c>
      <c r="AE84" s="135">
        <f t="shared" si="3"/>
        <v>0</v>
      </c>
      <c r="AF84" s="24">
        <f t="shared" si="4"/>
        <v>1.5177600000000001E-2</v>
      </c>
      <c r="AG84" s="24">
        <f t="shared" si="5"/>
        <v>0</v>
      </c>
      <c r="AH84" s="24">
        <f t="shared" si="6"/>
        <v>0</v>
      </c>
      <c r="AI84" s="24">
        <f t="shared" si="7"/>
        <v>0</v>
      </c>
      <c r="AJ84" s="24">
        <f t="shared" si="8"/>
        <v>0</v>
      </c>
      <c r="AK84" s="24">
        <f t="shared" si="9"/>
        <v>0</v>
      </c>
      <c r="AL84" s="24">
        <f t="shared" si="10"/>
        <v>1.5177600000000001E-2</v>
      </c>
      <c r="AM84" s="161">
        <f t="shared" si="12"/>
        <v>0</v>
      </c>
      <c r="AN84" s="157">
        <f t="shared" si="12"/>
        <v>0</v>
      </c>
      <c r="AO84" s="162">
        <f t="shared" si="12"/>
        <v>1.5177600000000001E-2</v>
      </c>
    </row>
    <row r="85" spans="1:41" s="8" customFormat="1" ht="15" customHeight="1" x14ac:dyDescent="0.2">
      <c r="A85" s="70" t="str">
        <f>'36. Generic chemical products'!A43</f>
        <v>Reducing agent, average</v>
      </c>
      <c r="B85" s="70" t="str">
        <f>'36. Generic chemical products'!B43</f>
        <v>Sodium carbonate (Na2CO3)</v>
      </c>
      <c r="C85" s="70">
        <f>'36. Generic chemical products'!C43</f>
        <v>0.02</v>
      </c>
      <c r="D85" s="70" t="str">
        <f>'36. Generic chemical products'!D43</f>
        <v>kg</v>
      </c>
      <c r="E85" s="70" t="str">
        <f>'36. Generic chemical products'!E43</f>
        <v>MSDS</v>
      </c>
      <c r="F85" s="70">
        <f>'36. Generic chemical products'!F43</f>
        <v>0</v>
      </c>
      <c r="G85" s="70" t="str">
        <f>'36. Generic chemical products'!G43</f>
        <v>-</v>
      </c>
      <c r="H85" s="70">
        <f>'36. Generic chemical products'!H43</f>
        <v>0</v>
      </c>
      <c r="I85" s="70">
        <f>'36. Generic chemical products'!I43</f>
        <v>0</v>
      </c>
      <c r="J85" s="70">
        <f>'36. Generic chemical products'!J43</f>
        <v>0</v>
      </c>
      <c r="K85" s="70" t="str">
        <f>'36. Generic chemical products'!K43</f>
        <v>Worst case - mist carries substance</v>
      </c>
      <c r="L85" s="70">
        <f>'36. Generic chemical products'!L43</f>
        <v>0</v>
      </c>
      <c r="M85" s="70" t="str">
        <f>'36. Generic chemical products'!M43</f>
        <v>Sodium carbonate (Na2CO3)</v>
      </c>
      <c r="N85" s="70" t="str">
        <f>'36. Generic chemical products'!N43</f>
        <v>river</v>
      </c>
      <c r="O85" s="70">
        <f>'36. Generic chemical products'!O43</f>
        <v>2E-3</v>
      </c>
      <c r="P85" s="70" t="str">
        <f>'36. Generic chemical products'!P43</f>
        <v>kg</v>
      </c>
      <c r="Q85" s="70">
        <f>'36. Generic chemical products'!Q43</f>
        <v>0</v>
      </c>
      <c r="R85" s="70">
        <f>'36. Generic chemical products'!R43</f>
        <v>0</v>
      </c>
      <c r="S85" s="70">
        <f>'36. Generic chemical products'!S43</f>
        <v>0</v>
      </c>
      <c r="T85" s="70" t="str">
        <f>'36. Generic chemical products'!T43</f>
        <v>497-19-8</v>
      </c>
      <c r="U85" s="70">
        <f>'36. Generic chemical products'!U43</f>
        <v>0</v>
      </c>
      <c r="V85" s="70">
        <f>'36. Generic chemical products'!V43</f>
        <v>0</v>
      </c>
      <c r="W85" s="70">
        <f>'36. Generic chemical products'!W43</f>
        <v>0</v>
      </c>
      <c r="X85" s="70">
        <f>'36. Generic chemical products'!X43</f>
        <v>0</v>
      </c>
      <c r="Y85" s="70">
        <f>'36. Generic chemical products'!Y43</f>
        <v>31</v>
      </c>
      <c r="Z85" s="70">
        <f>'36. Generic chemical products'!Z43</f>
        <v>73.7</v>
      </c>
      <c r="AA85" s="70" t="str">
        <f>'36. Generic chemical products'!AA43</f>
        <v>COSMEDE</v>
      </c>
      <c r="AB85" s="27">
        <f>$C$27*I85</f>
        <v>0</v>
      </c>
      <c r="AC85" s="29">
        <f>$C$41*O85</f>
        <v>3.0000000000000001E-5</v>
      </c>
      <c r="AD85" s="135">
        <f t="shared" si="2"/>
        <v>0</v>
      </c>
      <c r="AE85" s="135">
        <f t="shared" si="3"/>
        <v>0</v>
      </c>
      <c r="AF85" s="24">
        <f t="shared" si="4"/>
        <v>2.2110000000000003E-3</v>
      </c>
      <c r="AG85" s="24">
        <f t="shared" si="5"/>
        <v>0</v>
      </c>
      <c r="AH85" s="24">
        <f t="shared" si="6"/>
        <v>0</v>
      </c>
      <c r="AI85" s="24">
        <f t="shared" si="7"/>
        <v>0</v>
      </c>
      <c r="AJ85" s="24">
        <f t="shared" si="8"/>
        <v>0</v>
      </c>
      <c r="AK85" s="24">
        <f t="shared" si="9"/>
        <v>0</v>
      </c>
      <c r="AL85" s="24">
        <f t="shared" si="10"/>
        <v>2.2110000000000003E-3</v>
      </c>
      <c r="AM85" s="161">
        <f t="shared" si="12"/>
        <v>0</v>
      </c>
      <c r="AN85" s="157">
        <f t="shared" si="12"/>
        <v>0</v>
      </c>
      <c r="AO85" s="162">
        <f t="shared" si="12"/>
        <v>2.2110000000000003E-3</v>
      </c>
    </row>
    <row r="86" spans="1:41" s="49" customFormat="1" ht="15" customHeight="1" x14ac:dyDescent="0.2">
      <c r="A86" s="136" t="str">
        <f>'36. Generic chemical products'!A44</f>
        <v>Reducing agent, average</v>
      </c>
      <c r="B86" s="136" t="str">
        <f>'36. Generic chemical products'!B44</f>
        <v xml:space="preserve"> </v>
      </c>
      <c r="C86" s="136">
        <f>'36. Generic chemical products'!C44</f>
        <v>0</v>
      </c>
      <c r="D86" s="136">
        <f>'36. Generic chemical products'!D44</f>
        <v>0</v>
      </c>
      <c r="E86" s="136" t="str">
        <f>'36. Generic chemical products'!E44</f>
        <v>MSDS</v>
      </c>
      <c r="F86" s="136">
        <f>'36. Generic chemical products'!F44</f>
        <v>0</v>
      </c>
      <c r="G86" s="136" t="str">
        <f>'36. Generic chemical products'!G44</f>
        <v>-</v>
      </c>
      <c r="H86" s="136">
        <f>'36. Generic chemical products'!H44</f>
        <v>0</v>
      </c>
      <c r="I86" s="136">
        <f>'36. Generic chemical products'!I44</f>
        <v>0</v>
      </c>
      <c r="J86" s="136">
        <f>'36. Generic chemical products'!J44</f>
        <v>0</v>
      </c>
      <c r="K86" s="136" t="str">
        <f>'36. Generic chemical products'!K44</f>
        <v>Worst case - mist carries substance</v>
      </c>
      <c r="L86" s="136">
        <f>'36. Generic chemical products'!L44</f>
        <v>0</v>
      </c>
      <c r="M86" s="136" t="str">
        <f>'36. Generic chemical products'!M44</f>
        <v>Thiosulfate</v>
      </c>
      <c r="N86" s="136" t="str">
        <f>'36. Generic chemical products'!N44</f>
        <v>river</v>
      </c>
      <c r="O86" s="136">
        <f>'36. Generic chemical products'!O44</f>
        <v>9.0000000000000019E-5</v>
      </c>
      <c r="P86" s="136" t="str">
        <f>'36. Generic chemical products'!P44</f>
        <v>kg</v>
      </c>
      <c r="Q86" s="136" t="str">
        <f>'36. Generic chemical products'!Q44</f>
        <v>0.1 % of the content is degraded to common breakdown products.</v>
      </c>
      <c r="R86" s="136">
        <f>'36. Generic chemical products'!R44</f>
        <v>0</v>
      </c>
      <c r="S86" s="136">
        <f>'36. Generic chemical products'!S44</f>
        <v>0</v>
      </c>
      <c r="T86" s="136" t="str">
        <f>'36. Generic chemical products'!T44</f>
        <v>7772-98-7/10102-17-7</v>
      </c>
      <c r="U86" s="136">
        <f>'36. Generic chemical products'!U44</f>
        <v>0</v>
      </c>
      <c r="V86" s="136">
        <f>'36. Generic chemical products'!V44</f>
        <v>0</v>
      </c>
      <c r="W86" s="136">
        <f>'36. Generic chemical products'!W44</f>
        <v>0</v>
      </c>
      <c r="X86" s="136">
        <f>'36. Generic chemical products'!X44</f>
        <v>0</v>
      </c>
      <c r="Y86" s="136">
        <f>'36. Generic chemical products'!Y44</f>
        <v>13</v>
      </c>
      <c r="Z86" s="136">
        <f>'36. Generic chemical products'!Z44</f>
        <v>31.7</v>
      </c>
      <c r="AA86" s="136" t="str">
        <f>'36. Generic chemical products'!AA44</f>
        <v>COSMEDE</v>
      </c>
      <c r="AB86" s="28">
        <f>$C$27*I86</f>
        <v>0</v>
      </c>
      <c r="AC86" s="146">
        <f>$C$41*O86</f>
        <v>1.3500000000000002E-6</v>
      </c>
      <c r="AD86" s="147">
        <f t="shared" si="2"/>
        <v>0</v>
      </c>
      <c r="AE86" s="147">
        <f t="shared" si="3"/>
        <v>0</v>
      </c>
      <c r="AF86" s="25">
        <f t="shared" si="4"/>
        <v>4.2795000000000006E-5</v>
      </c>
      <c r="AG86" s="25">
        <f t="shared" si="5"/>
        <v>0</v>
      </c>
      <c r="AH86" s="25">
        <f t="shared" si="6"/>
        <v>0</v>
      </c>
      <c r="AI86" s="25">
        <f t="shared" si="7"/>
        <v>0</v>
      </c>
      <c r="AJ86" s="25">
        <f t="shared" si="8"/>
        <v>0</v>
      </c>
      <c r="AK86" s="25">
        <f t="shared" si="9"/>
        <v>0</v>
      </c>
      <c r="AL86" s="25">
        <f t="shared" si="10"/>
        <v>4.2795000000000006E-5</v>
      </c>
      <c r="AM86" s="163">
        <f t="shared" si="12"/>
        <v>0</v>
      </c>
      <c r="AN86" s="164">
        <f t="shared" si="12"/>
        <v>0</v>
      </c>
      <c r="AO86" s="165">
        <f t="shared" si="12"/>
        <v>4.2795000000000006E-5</v>
      </c>
    </row>
    <row r="87" spans="1:41" s="8" customFormat="1" ht="15" customHeight="1" x14ac:dyDescent="0.2">
      <c r="A87" s="68" t="str">
        <f>'36. Generic chemical products'!A23</f>
        <v>Wetting agent/Penetration agent, worst case (Cottoclarin ok 88 ECO)</v>
      </c>
      <c r="B87" s="68" t="str">
        <f>'36. Generic chemical products'!B23</f>
        <v>Fatty methylester sulfonates (R16) sodium salt</v>
      </c>
      <c r="C87" s="68">
        <f>'36. Generic chemical products'!C23</f>
        <v>0.6</v>
      </c>
      <c r="D87" s="68" t="str">
        <f>'36. Generic chemical products'!D23</f>
        <v>kg</v>
      </c>
      <c r="E87" s="68" t="str">
        <f>'36. Generic chemical products'!E23</f>
        <v>MSDS</v>
      </c>
      <c r="F87" s="68">
        <f>'36. Generic chemical products'!F23</f>
        <v>0</v>
      </c>
      <c r="G87" s="68" t="str">
        <f>'36. Generic chemical products'!G23</f>
        <v>-</v>
      </c>
      <c r="H87" s="68">
        <f>'36. Generic chemical products'!H23</f>
        <v>0</v>
      </c>
      <c r="I87" s="68">
        <f>'36. Generic chemical products'!I23</f>
        <v>0</v>
      </c>
      <c r="J87" s="68">
        <f>'36. Generic chemical products'!J23</f>
        <v>0</v>
      </c>
      <c r="K87" s="68">
        <f>'36. Generic chemical products'!K23</f>
        <v>0</v>
      </c>
      <c r="L87" s="68">
        <f>'36. Generic chemical products'!L23</f>
        <v>0</v>
      </c>
      <c r="M87" s="68" t="str">
        <f>'36. Generic chemical products'!M23</f>
        <v>Fatty methylester sulfonates</v>
      </c>
      <c r="N87" s="68" t="str">
        <f>'36. Generic chemical products'!N23</f>
        <v>river</v>
      </c>
      <c r="O87" s="68">
        <f>'36. Generic chemical products'!O23</f>
        <v>0.06</v>
      </c>
      <c r="P87" s="68" t="str">
        <f>'36. Generic chemical products'!P23</f>
        <v>kg</v>
      </c>
      <c r="Q87" s="68">
        <f>'36. Generic chemical products'!Q23</f>
        <v>0</v>
      </c>
      <c r="R87" s="68">
        <f>'36. Generic chemical products'!R23</f>
        <v>0</v>
      </c>
      <c r="S87" s="68">
        <f>'36. Generic chemical products'!S23</f>
        <v>0</v>
      </c>
      <c r="T87" s="68" t="str">
        <f>'36. Generic chemical products'!T23</f>
        <v>93348-22-2</v>
      </c>
      <c r="U87" s="68">
        <f>'36. Generic chemical products'!U23</f>
        <v>0</v>
      </c>
      <c r="V87" s="68">
        <f>'36. Generic chemical products'!V23</f>
        <v>1.6437731647150863E-6</v>
      </c>
      <c r="W87" s="68">
        <f>'36. Generic chemical products'!W23</f>
        <v>0</v>
      </c>
      <c r="X87" s="68">
        <f>'36. Generic chemical products'!X23</f>
        <v>9.8891167609639291E-6</v>
      </c>
      <c r="Y87" s="68">
        <f>'36. Generic chemical products'!Y23</f>
        <v>25539.178143122717</v>
      </c>
      <c r="Z87" s="68">
        <f>'36. Generic chemical products'!Z23</f>
        <v>766743.80504211958</v>
      </c>
      <c r="AA87" s="68" t="str">
        <f>'36. Generic chemical products'!AA23</f>
        <v>Roos 2017</v>
      </c>
      <c r="AB87" s="27">
        <f>$C$28*I87</f>
        <v>0</v>
      </c>
      <c r="AC87" s="29">
        <f>$C$42*O87</f>
        <v>2.9999999999999997E-4</v>
      </c>
      <c r="AD87" s="135">
        <f t="shared" si="2"/>
        <v>0</v>
      </c>
      <c r="AE87" s="135">
        <f t="shared" si="3"/>
        <v>2.9667350282891783E-9</v>
      </c>
      <c r="AF87" s="24">
        <f t="shared" si="4"/>
        <v>230.02314151263585</v>
      </c>
      <c r="AG87" s="24">
        <f t="shared" si="5"/>
        <v>0</v>
      </c>
      <c r="AH87" s="24">
        <f t="shared" si="6"/>
        <v>0</v>
      </c>
      <c r="AI87" s="24">
        <f t="shared" si="7"/>
        <v>0</v>
      </c>
      <c r="AJ87" s="24">
        <f t="shared" si="8"/>
        <v>0</v>
      </c>
      <c r="AK87" s="24">
        <f t="shared" si="9"/>
        <v>2.9667350282891783E-9</v>
      </c>
      <c r="AL87" s="24">
        <f t="shared" si="10"/>
        <v>230.02314151263585</v>
      </c>
      <c r="AM87" s="161">
        <f t="shared" si="12"/>
        <v>0</v>
      </c>
      <c r="AN87" s="157">
        <f t="shared" si="12"/>
        <v>2.9667350282891783E-9</v>
      </c>
      <c r="AO87" s="162">
        <f t="shared" si="12"/>
        <v>230.02314151263585</v>
      </c>
    </row>
    <row r="88" spans="1:41" s="8" customFormat="1" ht="15" customHeight="1" x14ac:dyDescent="0.2">
      <c r="A88" s="68" t="str">
        <f>'36. Generic chemical products'!A24</f>
        <v>Wetting agent/Penetration agent, worst case (Cottoclarin ok 88 ECO)</v>
      </c>
      <c r="B88" s="68" t="str">
        <f>'36. Generic chemical products'!B24</f>
        <v>Iso-octyl alcohol</v>
      </c>
      <c r="C88" s="68">
        <f>'36. Generic chemical products'!C24</f>
        <v>0.2</v>
      </c>
      <c r="D88" s="68" t="str">
        <f>'36. Generic chemical products'!D24</f>
        <v>kg</v>
      </c>
      <c r="E88" s="68" t="str">
        <f>'36. Generic chemical products'!E24</f>
        <v>MSDS</v>
      </c>
      <c r="F88" s="68">
        <f>'36. Generic chemical products'!F24</f>
        <v>0</v>
      </c>
      <c r="G88" s="68" t="str">
        <f>'36. Generic chemical products'!G24</f>
        <v>Iso-octyl alcohol</v>
      </c>
      <c r="H88" s="68" t="str">
        <f>'36. Generic chemical products'!H24</f>
        <v>high. pop.</v>
      </c>
      <c r="I88" s="68">
        <f>'36. Generic chemical products'!I24</f>
        <v>2.0000000000000001E-4</v>
      </c>
      <c r="J88" s="68" t="str">
        <f>'36. Generic chemical products'!J24</f>
        <v>kg</v>
      </c>
      <c r="K88" s="68">
        <f>'36. Generic chemical products'!K24</f>
        <v>0</v>
      </c>
      <c r="L88" s="68">
        <f>'36. Generic chemical products'!L24</f>
        <v>0</v>
      </c>
      <c r="M88" s="68" t="str">
        <f>'36. Generic chemical products'!M24</f>
        <v>Isooctyl alcohol</v>
      </c>
      <c r="N88" s="68" t="str">
        <f>'36. Generic chemical products'!N24</f>
        <v>river</v>
      </c>
      <c r="O88" s="68">
        <f>'36. Generic chemical products'!O24</f>
        <v>2.0000000000000004E-2</v>
      </c>
      <c r="P88" s="68" t="str">
        <f>'36. Generic chemical products'!P24</f>
        <v>kg</v>
      </c>
      <c r="Q88" s="68">
        <f>'36. Generic chemical products'!Q24</f>
        <v>0</v>
      </c>
      <c r="R88" s="68">
        <f>'36. Generic chemical products'!R24</f>
        <v>0</v>
      </c>
      <c r="S88" s="68">
        <f>'36. Generic chemical products'!S24</f>
        <v>0</v>
      </c>
      <c r="T88" s="68" t="str">
        <f>'36. Generic chemical products'!T24</f>
        <v>104-76-7</v>
      </c>
      <c r="U88" s="68">
        <f>'36. Generic chemical products'!U24</f>
        <v>3.1027213023718394E-8</v>
      </c>
      <c r="V88" s="68">
        <f>'36. Generic chemical products'!V24</f>
        <v>0</v>
      </c>
      <c r="W88" s="68">
        <f>'36. Generic chemical products'!W24</f>
        <v>1.7206281348183625E-8</v>
      </c>
      <c r="X88" s="68">
        <f>'36. Generic chemical products'!X24</f>
        <v>0</v>
      </c>
      <c r="Y88" s="68">
        <f>'36. Generic chemical products'!Y24</f>
        <v>2.6323079574736696</v>
      </c>
      <c r="Z88" s="68">
        <f>'36. Generic chemical products'!Z24</f>
        <v>191.63613931032927</v>
      </c>
      <c r="AA88" s="68" t="str">
        <f>'36. Generic chemical products'!AA24</f>
        <v>USEtox</v>
      </c>
      <c r="AB88" s="27">
        <f>$C$28*I88</f>
        <v>1.0000000000000002E-6</v>
      </c>
      <c r="AC88" s="29">
        <f>$C$42*O88</f>
        <v>1.0000000000000002E-4</v>
      </c>
      <c r="AD88" s="135">
        <f t="shared" si="2"/>
        <v>1.7516553478420812E-12</v>
      </c>
      <c r="AE88" s="135">
        <f t="shared" si="3"/>
        <v>0</v>
      </c>
      <c r="AF88" s="24">
        <f t="shared" si="4"/>
        <v>1.9166246238990405E-2</v>
      </c>
      <c r="AG88" s="24">
        <f t="shared" si="5"/>
        <v>3.1027213023718401E-14</v>
      </c>
      <c r="AH88" s="24">
        <f t="shared" si="6"/>
        <v>0</v>
      </c>
      <c r="AI88" s="24">
        <f t="shared" si="7"/>
        <v>2.6323079574736699E-6</v>
      </c>
      <c r="AJ88" s="24">
        <f t="shared" si="8"/>
        <v>1.7206281348183629E-12</v>
      </c>
      <c r="AK88" s="24">
        <f t="shared" si="9"/>
        <v>0</v>
      </c>
      <c r="AL88" s="24">
        <f t="shared" si="10"/>
        <v>1.9163613931032931E-2</v>
      </c>
      <c r="AM88" s="161">
        <f t="shared" si="12"/>
        <v>1.7516553478420812E-12</v>
      </c>
      <c r="AN88" s="157">
        <f t="shared" si="12"/>
        <v>0</v>
      </c>
      <c r="AO88" s="162">
        <f t="shared" si="12"/>
        <v>1.9166246238990405E-2</v>
      </c>
    </row>
    <row r="89" spans="1:41" s="8" customFormat="1" ht="15" customHeight="1" x14ac:dyDescent="0.2">
      <c r="A89" s="68" t="str">
        <f>'36. Generic chemical products'!A25</f>
        <v>Wetting agent/Penetration agent, worst case (Cottoclarin ok 88 ECO)</v>
      </c>
      <c r="B89" s="68" t="str">
        <f>'36. Generic chemical products'!B25</f>
        <v>Ethoxylated alcohol (NPEO)</v>
      </c>
      <c r="C89" s="68">
        <f>'36. Generic chemical products'!C25</f>
        <v>0.1</v>
      </c>
      <c r="D89" s="68" t="str">
        <f>'36. Generic chemical products'!D25</f>
        <v>kg</v>
      </c>
      <c r="E89" s="68" t="str">
        <f>'36. Generic chemical products'!E25</f>
        <v>MSDS</v>
      </c>
      <c r="F89" s="68">
        <f>'36. Generic chemical products'!F25</f>
        <v>0</v>
      </c>
      <c r="G89" s="68" t="str">
        <f>'36. Generic chemical products'!G25</f>
        <v>Nonylphenol ethoxylate (NPEO)</v>
      </c>
      <c r="H89" s="68" t="str">
        <f>'36. Generic chemical products'!H25</f>
        <v>high. pop.</v>
      </c>
      <c r="I89" s="68">
        <f>'36. Generic chemical products'!I25</f>
        <v>1E-4</v>
      </c>
      <c r="J89" s="68" t="str">
        <f>'36. Generic chemical products'!J25</f>
        <v>kg</v>
      </c>
      <c r="K89" s="68">
        <f>'36. Generic chemical products'!K25</f>
        <v>0</v>
      </c>
      <c r="L89" s="68">
        <f>'36. Generic chemical products'!L25</f>
        <v>0</v>
      </c>
      <c r="M89" s="68" t="str">
        <f>'36. Generic chemical products'!M25</f>
        <v>Nonylphenol ethoxylate (NPEO)</v>
      </c>
      <c r="N89" s="68" t="str">
        <f>'36. Generic chemical products'!N25</f>
        <v>river</v>
      </c>
      <c r="O89" s="68">
        <f>'36. Generic chemical products'!O25</f>
        <v>1.0000000000000002E-2</v>
      </c>
      <c r="P89" s="68" t="str">
        <f>'36. Generic chemical products'!P25</f>
        <v>kg</v>
      </c>
      <c r="Q89" s="68">
        <f>'36. Generic chemical products'!Q25</f>
        <v>0</v>
      </c>
      <c r="R89" s="68">
        <f>'36. Generic chemical products'!R25</f>
        <v>0</v>
      </c>
      <c r="S89" s="68">
        <f>'36. Generic chemical products'!S25</f>
        <v>0</v>
      </c>
      <c r="T89" s="68" t="str">
        <f>'36. Generic chemical products'!T25</f>
        <v>9016-45-9</v>
      </c>
      <c r="U89" s="68">
        <f>'36. Generic chemical products'!U25</f>
        <v>0</v>
      </c>
      <c r="V89" s="68">
        <f>'36. Generic chemical products'!V25</f>
        <v>0</v>
      </c>
      <c r="W89" s="68">
        <f>'36. Generic chemical products'!W25</f>
        <v>0</v>
      </c>
      <c r="X89" s="68">
        <f>'36. Generic chemical products'!X25</f>
        <v>0</v>
      </c>
      <c r="Y89" s="68">
        <f>'36. Generic chemical products'!Y25</f>
        <v>63</v>
      </c>
      <c r="Z89" s="68">
        <f>'36. Generic chemical products'!Z25</f>
        <v>2910</v>
      </c>
      <c r="AA89" s="68" t="str">
        <f>'36. Generic chemical products'!AA25</f>
        <v>COSMEDE</v>
      </c>
      <c r="AB89" s="27">
        <f>$C$28*I89</f>
        <v>5.0000000000000008E-7</v>
      </c>
      <c r="AC89" s="29">
        <f>$C$42*O89</f>
        <v>5.0000000000000009E-5</v>
      </c>
      <c r="AD89" s="135">
        <f t="shared" si="2"/>
        <v>0</v>
      </c>
      <c r="AE89" s="135">
        <f t="shared" si="3"/>
        <v>0</v>
      </c>
      <c r="AF89" s="24">
        <f t="shared" si="4"/>
        <v>0.14553150000000001</v>
      </c>
      <c r="AG89" s="24">
        <f t="shared" si="5"/>
        <v>0</v>
      </c>
      <c r="AH89" s="24">
        <f t="shared" si="6"/>
        <v>0</v>
      </c>
      <c r="AI89" s="24">
        <f t="shared" si="7"/>
        <v>3.1500000000000007E-5</v>
      </c>
      <c r="AJ89" s="24">
        <f t="shared" si="8"/>
        <v>0</v>
      </c>
      <c r="AK89" s="24">
        <f t="shared" si="9"/>
        <v>0</v>
      </c>
      <c r="AL89" s="24">
        <f t="shared" si="10"/>
        <v>0.14550000000000002</v>
      </c>
      <c r="AM89" s="161">
        <f t="shared" si="12"/>
        <v>0</v>
      </c>
      <c r="AN89" s="157">
        <f t="shared" si="12"/>
        <v>0</v>
      </c>
      <c r="AO89" s="162">
        <f t="shared" si="12"/>
        <v>0.14553150000000001</v>
      </c>
    </row>
    <row r="90" spans="1:41" s="49" customFormat="1" ht="15" customHeight="1" x14ac:dyDescent="0.2">
      <c r="A90" s="193" t="str">
        <f>'36. Generic chemical products'!A26</f>
        <v>Wetting agent/Penetration agent, worst case (Cottoclarin ok 88 ECO)</v>
      </c>
      <c r="B90" s="193" t="str">
        <f>'36. Generic chemical products'!B26</f>
        <v>Nonylphenol</v>
      </c>
      <c r="C90" s="193">
        <f>'36. Generic chemical products'!C26</f>
        <v>0</v>
      </c>
      <c r="D90" s="193">
        <f>'36. Generic chemical products'!D26</f>
        <v>0</v>
      </c>
      <c r="E90" s="193" t="str">
        <f>'36. Generic chemical products'!E26</f>
        <v>Breakdown product</v>
      </c>
      <c r="F90" s="193">
        <f>'36. Generic chemical products'!F26</f>
        <v>0</v>
      </c>
      <c r="G90" s="193" t="str">
        <f>'36. Generic chemical products'!G26</f>
        <v>-</v>
      </c>
      <c r="H90" s="193">
        <f>'36. Generic chemical products'!H26</f>
        <v>0</v>
      </c>
      <c r="I90" s="193">
        <f>'36. Generic chemical products'!I26</f>
        <v>0</v>
      </c>
      <c r="J90" s="193">
        <f>'36. Generic chemical products'!J26</f>
        <v>0</v>
      </c>
      <c r="K90" s="193">
        <f>'36. Generic chemical products'!K26</f>
        <v>0</v>
      </c>
      <c r="L90" s="193">
        <f>'36. Generic chemical products'!L26</f>
        <v>0</v>
      </c>
      <c r="M90" s="193" t="str">
        <f>'36. Generic chemical products'!M26</f>
        <v>Nonylphenol</v>
      </c>
      <c r="N90" s="193" t="str">
        <f>'36. Generic chemical products'!N26</f>
        <v>river</v>
      </c>
      <c r="O90" s="193">
        <f>'36. Generic chemical products'!O26</f>
        <v>1.0000000000000001E-5</v>
      </c>
      <c r="P90" s="193" t="str">
        <f>'36. Generic chemical products'!P26</f>
        <v>kg</v>
      </c>
      <c r="Q90" s="193" t="str">
        <f>'36. Generic chemical products'!Q26</f>
        <v>0.1 % of the content is degraded to common breakdown products.</v>
      </c>
      <c r="R90" s="193">
        <f>'36. Generic chemical products'!R26</f>
        <v>0</v>
      </c>
      <c r="S90" s="193">
        <f>'36. Generic chemical products'!S26</f>
        <v>0</v>
      </c>
      <c r="T90" s="193" t="str">
        <f>'36. Generic chemical products'!T26</f>
        <v>25154-52-3</v>
      </c>
      <c r="U90" s="193">
        <f>'36. Generic chemical products'!U26</f>
        <v>0</v>
      </c>
      <c r="V90" s="193">
        <f>'36. Generic chemical products'!V26</f>
        <v>0</v>
      </c>
      <c r="W90" s="193">
        <f>'36. Generic chemical products'!W26</f>
        <v>0</v>
      </c>
      <c r="X90" s="193">
        <f>'36. Generic chemical products'!X26</f>
        <v>0</v>
      </c>
      <c r="Y90" s="193">
        <f>'36. Generic chemical products'!Y26</f>
        <v>63.500038841149426</v>
      </c>
      <c r="Z90" s="193">
        <f>'36. Generic chemical products'!Z26</f>
        <v>10848.472578502809</v>
      </c>
      <c r="AA90" s="193" t="str">
        <f>'36. Generic chemical products'!AA26</f>
        <v>USEtox</v>
      </c>
      <c r="AB90" s="28">
        <f>$C$28*I90</f>
        <v>0</v>
      </c>
      <c r="AC90" s="146">
        <f>$C$42*O90</f>
        <v>5.0000000000000004E-8</v>
      </c>
      <c r="AD90" s="147">
        <f t="shared" si="2"/>
        <v>0</v>
      </c>
      <c r="AE90" s="147">
        <f t="shared" si="3"/>
        <v>0</v>
      </c>
      <c r="AF90" s="25">
        <f t="shared" si="4"/>
        <v>5.4242362892514048E-4</v>
      </c>
      <c r="AG90" s="25">
        <f t="shared" si="5"/>
        <v>0</v>
      </c>
      <c r="AH90" s="25">
        <f t="shared" si="6"/>
        <v>0</v>
      </c>
      <c r="AI90" s="25">
        <f t="shared" si="7"/>
        <v>0</v>
      </c>
      <c r="AJ90" s="25">
        <f t="shared" si="8"/>
        <v>0</v>
      </c>
      <c r="AK90" s="25">
        <f t="shared" si="9"/>
        <v>0</v>
      </c>
      <c r="AL90" s="25">
        <f t="shared" si="10"/>
        <v>5.4242362892514048E-4</v>
      </c>
      <c r="AM90" s="163">
        <f t="shared" si="12"/>
        <v>0</v>
      </c>
      <c r="AN90" s="164">
        <f t="shared" si="12"/>
        <v>0</v>
      </c>
      <c r="AO90" s="165">
        <f t="shared" si="12"/>
        <v>5.4242362892514048E-4</v>
      </c>
    </row>
    <row r="91" spans="1:41" s="361" customFormat="1" ht="15" customHeight="1" x14ac:dyDescent="0.2">
      <c r="A91" s="194" t="str">
        <f>'36. Generic chemical products'!A77</f>
        <v>Sizing agent, average (PVA)</v>
      </c>
      <c r="B91" s="194" t="str">
        <f>'36. Generic chemical products'!B77</f>
        <v>Polyvinyl alcohol</v>
      </c>
      <c r="C91" s="194">
        <f>'36. Generic chemical products'!C77</f>
        <v>1</v>
      </c>
      <c r="D91" s="194" t="str">
        <f>'36. Generic chemical products'!D77</f>
        <v>kg</v>
      </c>
      <c r="E91" s="194" t="str">
        <f>'36. Generic chemical products'!E77</f>
        <v>MSDS</v>
      </c>
      <c r="F91" s="194">
        <f>'36. Generic chemical products'!F77</f>
        <v>0</v>
      </c>
      <c r="G91" s="194" t="str">
        <f>'36. Generic chemical products'!G77</f>
        <v>Polyvinyl alcohol</v>
      </c>
      <c r="H91" s="194" t="str">
        <f>'36. Generic chemical products'!H77</f>
        <v>high. pop.</v>
      </c>
      <c r="I91" s="194">
        <f>'36. Generic chemical products'!I77</f>
        <v>1E-3</v>
      </c>
      <c r="J91" s="194" t="str">
        <f>'36. Generic chemical products'!J77</f>
        <v>kg</v>
      </c>
      <c r="K91" s="194">
        <f>'36. Generic chemical products'!K77</f>
        <v>0</v>
      </c>
      <c r="L91" s="194">
        <f>'36. Generic chemical products'!L77</f>
        <v>0</v>
      </c>
      <c r="M91" s="194" t="str">
        <f>'36. Generic chemical products'!M77</f>
        <v>Polyvinyl alcohol</v>
      </c>
      <c r="N91" s="194" t="str">
        <f>'36. Generic chemical products'!N77</f>
        <v>river</v>
      </c>
      <c r="O91" s="194">
        <f>'36. Generic chemical products'!O77</f>
        <v>0.1</v>
      </c>
      <c r="P91" s="194" t="str">
        <f>'36. Generic chemical products'!P77</f>
        <v>kg</v>
      </c>
      <c r="Q91" s="194">
        <f>'36. Generic chemical products'!Q77</f>
        <v>0</v>
      </c>
      <c r="R91" s="194">
        <f>'36. Generic chemical products'!R77</f>
        <v>0</v>
      </c>
      <c r="S91" s="194">
        <f>'36. Generic chemical products'!S77</f>
        <v>0</v>
      </c>
      <c r="T91" s="194" t="str">
        <f>'36. Generic chemical products'!T77</f>
        <v>9002-89-5</v>
      </c>
      <c r="U91" s="194">
        <f>'36. Generic chemical products'!U77</f>
        <v>0</v>
      </c>
      <c r="V91" s="194">
        <f>'36. Generic chemical products'!V77</f>
        <v>0</v>
      </c>
      <c r="W91" s="194">
        <f>'36. Generic chemical products'!W77</f>
        <v>0</v>
      </c>
      <c r="X91" s="194">
        <f>'36. Generic chemical products'!X77</f>
        <v>0</v>
      </c>
      <c r="Y91" s="194">
        <f>'36. Generic chemical products'!Y77</f>
        <v>45</v>
      </c>
      <c r="Z91" s="194">
        <f>'36. Generic chemical products'!Z77</f>
        <v>378</v>
      </c>
      <c r="AA91" s="194" t="str">
        <f>'36. Generic chemical products'!AA77</f>
        <v>COSMEDE</v>
      </c>
      <c r="AB91" s="435">
        <f>$C$33*I91</f>
        <v>1E-4</v>
      </c>
      <c r="AC91" s="436">
        <f>$C$47*O91</f>
        <v>1.0000000000000002E-2</v>
      </c>
      <c r="AD91" s="402">
        <f t="shared" si="2"/>
        <v>0</v>
      </c>
      <c r="AE91" s="402">
        <f t="shared" si="3"/>
        <v>0</v>
      </c>
      <c r="AF91" s="403">
        <f t="shared" si="4"/>
        <v>3.7845000000000009</v>
      </c>
      <c r="AG91" s="403">
        <f t="shared" si="5"/>
        <v>0</v>
      </c>
      <c r="AH91" s="403">
        <f t="shared" si="6"/>
        <v>0</v>
      </c>
      <c r="AI91" s="403">
        <f t="shared" si="7"/>
        <v>4.5000000000000005E-3</v>
      </c>
      <c r="AJ91" s="403">
        <f t="shared" si="8"/>
        <v>0</v>
      </c>
      <c r="AK91" s="403">
        <f t="shared" si="9"/>
        <v>0</v>
      </c>
      <c r="AL91" s="403">
        <f t="shared" si="10"/>
        <v>3.7800000000000007</v>
      </c>
      <c r="AM91" s="404">
        <f t="shared" si="12"/>
        <v>0</v>
      </c>
      <c r="AN91" s="405">
        <f t="shared" si="12"/>
        <v>0</v>
      </c>
      <c r="AO91" s="406">
        <f t="shared" si="12"/>
        <v>3.7845000000000009</v>
      </c>
    </row>
    <row r="92" spans="1:41" s="361" customFormat="1" ht="15" customHeight="1" x14ac:dyDescent="0.2">
      <c r="A92" s="363" t="str">
        <f>'36. Generic chemical products'!A19</f>
        <v>Acid, sulfuric acid, average</v>
      </c>
      <c r="B92" s="363" t="str">
        <f>'36. Generic chemical products'!B19</f>
        <v>Sulfuric acid</v>
      </c>
      <c r="C92" s="363">
        <f>'36. Generic chemical products'!C19</f>
        <v>1</v>
      </c>
      <c r="D92" s="363" t="str">
        <f>'36. Generic chemical products'!D19</f>
        <v>kg</v>
      </c>
      <c r="E92" s="363">
        <f>'36. Generic chemical products'!E19</f>
        <v>1</v>
      </c>
      <c r="F92" s="363">
        <f>'36. Generic chemical products'!F19</f>
        <v>0</v>
      </c>
      <c r="G92" s="363" t="str">
        <f>'36. Generic chemical products'!G19</f>
        <v>Sulfuric acid</v>
      </c>
      <c r="H92" s="363" t="str">
        <f>'36. Generic chemical products'!H19</f>
        <v>high. pop.</v>
      </c>
      <c r="I92" s="363">
        <f>'36. Generic chemical products'!I19</f>
        <v>1E-3</v>
      </c>
      <c r="J92" s="363" t="str">
        <f>'36. Generic chemical products'!J19</f>
        <v>kg</v>
      </c>
      <c r="K92" s="363">
        <f>'36. Generic chemical products'!K19</f>
        <v>0</v>
      </c>
      <c r="L92" s="363">
        <f>'36. Generic chemical products'!L19</f>
        <v>0</v>
      </c>
      <c r="M92" s="363" t="str">
        <f>'36. Generic chemical products'!M19</f>
        <v>Sulfuric acid</v>
      </c>
      <c r="N92" s="363" t="str">
        <f>'36. Generic chemical products'!N19</f>
        <v>river</v>
      </c>
      <c r="O92" s="363">
        <f>'36. Generic chemical products'!O19</f>
        <v>0.1</v>
      </c>
      <c r="P92" s="363" t="str">
        <f>'36. Generic chemical products'!P19</f>
        <v>kg</v>
      </c>
      <c r="Q92" s="363">
        <f>'36. Generic chemical products'!Q19</f>
        <v>0</v>
      </c>
      <c r="R92" s="363">
        <f>'36. Generic chemical products'!R19</f>
        <v>0</v>
      </c>
      <c r="S92" s="363">
        <f>'36. Generic chemical products'!S19</f>
        <v>0</v>
      </c>
      <c r="T92" s="363" t="str">
        <f>'36. Generic chemical products'!T19</f>
        <v>7664-93-9</v>
      </c>
      <c r="U92" s="363">
        <f>'36. Generic chemical products'!U19</f>
        <v>0</v>
      </c>
      <c r="V92" s="363">
        <f>'36. Generic chemical products'!V19</f>
        <v>0</v>
      </c>
      <c r="W92" s="363">
        <f>'36. Generic chemical products'!W19</f>
        <v>0</v>
      </c>
      <c r="X92" s="363">
        <f>'36. Generic chemical products'!X19</f>
        <v>0</v>
      </c>
      <c r="Y92" s="363">
        <f>'36. Generic chemical products'!Y19</f>
        <v>49.010721972656775</v>
      </c>
      <c r="Z92" s="363">
        <f>'36. Generic chemical products'!Z19</f>
        <v>299.66222151864491</v>
      </c>
      <c r="AA92" s="363" t="str">
        <f>'36. Generic chemical products'!AA19</f>
        <v>USEtox</v>
      </c>
      <c r="AB92" s="401">
        <f>$C$30*I92</f>
        <v>5.0000000000000002E-5</v>
      </c>
      <c r="AC92" s="362">
        <f>$C$44*O92</f>
        <v>5.000000000000001E-3</v>
      </c>
      <c r="AD92" s="402">
        <f t="shared" si="2"/>
        <v>0</v>
      </c>
      <c r="AE92" s="402">
        <f t="shared" si="3"/>
        <v>0</v>
      </c>
      <c r="AF92" s="403">
        <f t="shared" si="4"/>
        <v>1.5007616436918578</v>
      </c>
      <c r="AG92" s="403">
        <f t="shared" si="5"/>
        <v>0</v>
      </c>
      <c r="AH92" s="403">
        <f t="shared" si="6"/>
        <v>0</v>
      </c>
      <c r="AI92" s="403">
        <f t="shared" si="7"/>
        <v>2.450536098632839E-3</v>
      </c>
      <c r="AJ92" s="403">
        <f t="shared" si="8"/>
        <v>0</v>
      </c>
      <c r="AK92" s="403">
        <f t="shared" si="9"/>
        <v>0</v>
      </c>
      <c r="AL92" s="403">
        <f t="shared" si="10"/>
        <v>1.4983111075932249</v>
      </c>
      <c r="AM92" s="404">
        <f t="shared" si="12"/>
        <v>0</v>
      </c>
      <c r="AN92" s="405">
        <f t="shared" si="12"/>
        <v>0</v>
      </c>
      <c r="AO92" s="406">
        <f t="shared" si="12"/>
        <v>1.5007616436918578</v>
      </c>
    </row>
    <row r="93" spans="1:41" s="8" customFormat="1" ht="15" customHeight="1" x14ac:dyDescent="0.2">
      <c r="A93" s="54" t="str">
        <f>'36. Generic chemical products'!A5</f>
        <v>Detergent, average (Ultravon EL)</v>
      </c>
      <c r="B93" s="54" t="str">
        <f>'36. Generic chemical products'!B5</f>
        <v>Polyacrylic acid, sodium salt</v>
      </c>
      <c r="C93" s="54">
        <f>'36. Generic chemical products'!C5</f>
        <v>0.1</v>
      </c>
      <c r="D93" s="54" t="str">
        <f>'36. Generic chemical products'!D5</f>
        <v>kg</v>
      </c>
      <c r="E93" s="54" t="str">
        <f>'36. Generic chemical products'!E5</f>
        <v>MSDS</v>
      </c>
      <c r="F93" s="54">
        <f>'36. Generic chemical products'!F5</f>
        <v>0</v>
      </c>
      <c r="G93" s="54" t="str">
        <f>'36. Generic chemical products'!G5</f>
        <v>-</v>
      </c>
      <c r="H93" s="54">
        <f>'36. Generic chemical products'!H5</f>
        <v>0</v>
      </c>
      <c r="I93" s="54">
        <f>'36. Generic chemical products'!I5</f>
        <v>0</v>
      </c>
      <c r="J93" s="54">
        <f>'36. Generic chemical products'!J5</f>
        <v>0</v>
      </c>
      <c r="K93" s="54">
        <f>'36. Generic chemical products'!K5</f>
        <v>0</v>
      </c>
      <c r="L93" s="54">
        <f>'36. Generic chemical products'!L5</f>
        <v>0</v>
      </c>
      <c r="M93" s="54" t="str">
        <f>'36. Generic chemical products'!M5</f>
        <v>Polyacrylic acid, sodium salt</v>
      </c>
      <c r="N93" s="54" t="str">
        <f>'36. Generic chemical products'!N5</f>
        <v>river</v>
      </c>
      <c r="O93" s="54">
        <f>'36. Generic chemical products'!O5</f>
        <v>9.9000000000000008E-3</v>
      </c>
      <c r="P93" s="54" t="str">
        <f>'36. Generic chemical products'!P5</f>
        <v>kg</v>
      </c>
      <c r="Q93" s="54" t="str">
        <f>'36. Generic chemical products'!Q5</f>
        <v>1% of polymer content remains as monomers from the production process.</v>
      </c>
      <c r="R93" s="54">
        <f>'36. Generic chemical products'!R5</f>
        <v>0</v>
      </c>
      <c r="S93" s="54">
        <f>'36. Generic chemical products'!S5</f>
        <v>0</v>
      </c>
      <c r="T93" s="54" t="str">
        <f>'36. Generic chemical products'!T5</f>
        <v>9003-04-7</v>
      </c>
      <c r="U93" s="54">
        <f>'36. Generic chemical products'!U5</f>
        <v>0</v>
      </c>
      <c r="V93" s="54">
        <f>'36. Generic chemical products'!V5</f>
        <v>0</v>
      </c>
      <c r="W93" s="54">
        <f>'36. Generic chemical products'!W5</f>
        <v>0</v>
      </c>
      <c r="X93" s="54">
        <f>'36. Generic chemical products'!X5</f>
        <v>0</v>
      </c>
      <c r="Y93" s="54">
        <f>'36. Generic chemical products'!Y5</f>
        <v>7.06</v>
      </c>
      <c r="Z93" s="54">
        <f>'36. Generic chemical products'!Z5</f>
        <v>78.599999999999994</v>
      </c>
      <c r="AA93" s="54" t="str">
        <f>'36. Generic chemical products'!AA5</f>
        <v>COSMEDE</v>
      </c>
      <c r="AB93" s="27">
        <f t="shared" ref="AB93:AB98" si="13">$C$31*I93</f>
        <v>0</v>
      </c>
      <c r="AC93" s="29">
        <f t="shared" ref="AC93:AC98" si="14">$C$45*O93</f>
        <v>9.9000000000000008E-5</v>
      </c>
      <c r="AD93" s="135">
        <f t="shared" si="2"/>
        <v>0</v>
      </c>
      <c r="AE93" s="135">
        <f t="shared" si="3"/>
        <v>0</v>
      </c>
      <c r="AF93" s="24">
        <f t="shared" si="4"/>
        <v>7.7813999999999999E-3</v>
      </c>
      <c r="AG93" s="24">
        <f t="shared" si="5"/>
        <v>0</v>
      </c>
      <c r="AH93" s="24">
        <f t="shared" si="6"/>
        <v>0</v>
      </c>
      <c r="AI93" s="24">
        <f t="shared" si="7"/>
        <v>0</v>
      </c>
      <c r="AJ93" s="24">
        <f t="shared" si="8"/>
        <v>0</v>
      </c>
      <c r="AK93" s="24">
        <f t="shared" si="9"/>
        <v>0</v>
      </c>
      <c r="AL93" s="24">
        <f t="shared" si="10"/>
        <v>7.7813999999999999E-3</v>
      </c>
      <c r="AM93" s="161">
        <f t="shared" si="12"/>
        <v>0</v>
      </c>
      <c r="AN93" s="157">
        <f t="shared" si="12"/>
        <v>0</v>
      </c>
      <c r="AO93" s="162">
        <f t="shared" si="12"/>
        <v>7.7813999999999999E-3</v>
      </c>
    </row>
    <row r="94" spans="1:41" s="8" customFormat="1" ht="15" customHeight="1" x14ac:dyDescent="0.2">
      <c r="A94" s="54" t="str">
        <f>'36. Generic chemical products'!A6</f>
        <v>Detergent, average (Ultravon EL)</v>
      </c>
      <c r="B94" s="54" t="str">
        <f>'36. Generic chemical products'!B6</f>
        <v>Oxirane, methyl-, polymer with oxirane, decyl ether</v>
      </c>
      <c r="C94" s="54">
        <f>'36. Generic chemical products'!C6</f>
        <v>0.25</v>
      </c>
      <c r="D94" s="54" t="str">
        <f>'36. Generic chemical products'!D6</f>
        <v>kg</v>
      </c>
      <c r="E94" s="54" t="str">
        <f>'36. Generic chemical products'!E6</f>
        <v>MSDS</v>
      </c>
      <c r="F94" s="54">
        <f>'36. Generic chemical products'!F6</f>
        <v>0</v>
      </c>
      <c r="G94" s="54" t="str">
        <f>'36. Generic chemical products'!G6</f>
        <v>-</v>
      </c>
      <c r="H94" s="54">
        <f>'36. Generic chemical products'!H6</f>
        <v>0</v>
      </c>
      <c r="I94" s="54">
        <f>'36. Generic chemical products'!I6</f>
        <v>0</v>
      </c>
      <c r="J94" s="54">
        <f>'36. Generic chemical products'!J6</f>
        <v>0</v>
      </c>
      <c r="K94" s="54">
        <f>'36. Generic chemical products'!K6</f>
        <v>0</v>
      </c>
      <c r="L94" s="54">
        <f>'36. Generic chemical products'!L6</f>
        <v>0</v>
      </c>
      <c r="M94" s="54" t="str">
        <f>'36. Generic chemical products'!M6</f>
        <v>Oxirane, methyl-, polymer with oxirane, decyl ether</v>
      </c>
      <c r="N94" s="54" t="str">
        <f>'36. Generic chemical products'!N6</f>
        <v>river</v>
      </c>
      <c r="O94" s="54">
        <f>'36. Generic chemical products'!O6</f>
        <v>2.5000000000000001E-2</v>
      </c>
      <c r="P94" s="54" t="str">
        <f>'36. Generic chemical products'!P6</f>
        <v>kg</v>
      </c>
      <c r="Q94" s="54">
        <f>'36. Generic chemical products'!Q6</f>
        <v>0</v>
      </c>
      <c r="R94" s="54">
        <f>'36. Generic chemical products'!R6</f>
        <v>0</v>
      </c>
      <c r="S94" s="54">
        <f>'36. Generic chemical products'!S6</f>
        <v>0</v>
      </c>
      <c r="T94" s="54" t="str">
        <f>'36. Generic chemical products'!T6</f>
        <v>37251-67-5</v>
      </c>
      <c r="U94" s="54">
        <f>'36. Generic chemical products'!U6</f>
        <v>0</v>
      </c>
      <c r="V94" s="54">
        <f>'36. Generic chemical products'!V6</f>
        <v>1.2009414857886904E-7</v>
      </c>
      <c r="W94" s="54">
        <f>'36. Generic chemical products'!W6</f>
        <v>0</v>
      </c>
      <c r="X94" s="54">
        <f>'36. Generic chemical products'!X6</f>
        <v>3.2843909509658706E-7</v>
      </c>
      <c r="Y94" s="54">
        <f>'36. Generic chemical products'!Y6</f>
        <v>14.526941022240393</v>
      </c>
      <c r="Z94" s="54">
        <f>'36. Generic chemical products'!Z6</f>
        <v>111.251141519207</v>
      </c>
      <c r="AA94" s="54" t="str">
        <f>'36. Generic chemical products'!AA6</f>
        <v>Roos 2017</v>
      </c>
      <c r="AB94" s="27">
        <f t="shared" si="13"/>
        <v>0</v>
      </c>
      <c r="AC94" s="29">
        <f t="shared" si="14"/>
        <v>2.5000000000000001E-4</v>
      </c>
      <c r="AD94" s="135">
        <f t="shared" si="2"/>
        <v>0</v>
      </c>
      <c r="AE94" s="135">
        <f t="shared" si="3"/>
        <v>8.2109773774146761E-11</v>
      </c>
      <c r="AF94" s="24">
        <f t="shared" si="4"/>
        <v>2.7812785379801749E-2</v>
      </c>
      <c r="AG94" s="24">
        <f t="shared" si="5"/>
        <v>0</v>
      </c>
      <c r="AH94" s="24">
        <f t="shared" si="6"/>
        <v>0</v>
      </c>
      <c r="AI94" s="24">
        <f t="shared" si="7"/>
        <v>0</v>
      </c>
      <c r="AJ94" s="24">
        <f t="shared" si="8"/>
        <v>0</v>
      </c>
      <c r="AK94" s="24">
        <f t="shared" si="9"/>
        <v>8.2109773774146761E-11</v>
      </c>
      <c r="AL94" s="24">
        <f t="shared" si="10"/>
        <v>2.7812785379801749E-2</v>
      </c>
      <c r="AM94" s="161">
        <f t="shared" si="12"/>
        <v>0</v>
      </c>
      <c r="AN94" s="157">
        <f t="shared" si="12"/>
        <v>8.2109773774146761E-11</v>
      </c>
      <c r="AO94" s="162">
        <f t="shared" si="12"/>
        <v>2.7812785379801749E-2</v>
      </c>
    </row>
    <row r="95" spans="1:41" s="8" customFormat="1" ht="15" customHeight="1" x14ac:dyDescent="0.2">
      <c r="A95" s="54" t="str">
        <f>'36. Generic chemical products'!A7</f>
        <v>Detergent, average (Ultravon EL)</v>
      </c>
      <c r="B95" s="54" t="str">
        <f>'36. Generic chemical products'!B7</f>
        <v>Ethoxylated fatty alcohol (&gt;6 EO)</v>
      </c>
      <c r="C95" s="54">
        <f>'36. Generic chemical products'!C7</f>
        <v>0.1</v>
      </c>
      <c r="D95" s="54" t="str">
        <f>'36. Generic chemical products'!D7</f>
        <v>kg</v>
      </c>
      <c r="E95" s="54" t="str">
        <f>'36. Generic chemical products'!E7</f>
        <v>MSDS</v>
      </c>
      <c r="F95" s="54">
        <f>'36. Generic chemical products'!F7</f>
        <v>0</v>
      </c>
      <c r="G95" s="54" t="str">
        <f>'36. Generic chemical products'!G7</f>
        <v>-</v>
      </c>
      <c r="H95" s="54">
        <f>'36. Generic chemical products'!H7</f>
        <v>0</v>
      </c>
      <c r="I95" s="54">
        <f>'36. Generic chemical products'!I7</f>
        <v>0</v>
      </c>
      <c r="J95" s="54">
        <f>'36. Generic chemical products'!J7</f>
        <v>0</v>
      </c>
      <c r="K95" s="54">
        <f>'36. Generic chemical products'!K7</f>
        <v>0</v>
      </c>
      <c r="L95" s="54">
        <f>'36. Generic chemical products'!L7</f>
        <v>0</v>
      </c>
      <c r="M95" s="54" t="str">
        <f>'36. Generic chemical products'!M7</f>
        <v>Alcohols, c12-14, ethoxylated</v>
      </c>
      <c r="N95" s="54" t="str">
        <f>'36. Generic chemical products'!N7</f>
        <v>river</v>
      </c>
      <c r="O95" s="54">
        <f>'36. Generic chemical products'!O7</f>
        <v>1.0000000000000002E-2</v>
      </c>
      <c r="P95" s="54" t="str">
        <f>'36. Generic chemical products'!P7</f>
        <v>kg</v>
      </c>
      <c r="Q95" s="54">
        <f>'36. Generic chemical products'!Q7</f>
        <v>0</v>
      </c>
      <c r="R95" s="54">
        <f>'36. Generic chemical products'!R7</f>
        <v>0</v>
      </c>
      <c r="S95" s="54">
        <f>'36. Generic chemical products'!S7</f>
        <v>0</v>
      </c>
      <c r="T95" s="54" t="str">
        <f>'36. Generic chemical products'!T7</f>
        <v>69011-36-5</v>
      </c>
      <c r="U95" s="54">
        <f>'36. Generic chemical products'!U7</f>
        <v>0</v>
      </c>
      <c r="V95" s="54">
        <f>'36. Generic chemical products'!V7</f>
        <v>0</v>
      </c>
      <c r="W95" s="54">
        <f>'36. Generic chemical products'!W7</f>
        <v>0</v>
      </c>
      <c r="X95" s="54">
        <f>'36. Generic chemical products'!X7</f>
        <v>0</v>
      </c>
      <c r="Y95" s="54">
        <f>'36. Generic chemical products'!Y7</f>
        <v>47</v>
      </c>
      <c r="Z95" s="54">
        <f>'36. Generic chemical products'!Z7</f>
        <v>913</v>
      </c>
      <c r="AA95" s="54" t="str">
        <f>'36. Generic chemical products'!AA7</f>
        <v>COSMEDE</v>
      </c>
      <c r="AB95" s="27">
        <f t="shared" si="13"/>
        <v>0</v>
      </c>
      <c r="AC95" s="29">
        <f t="shared" si="14"/>
        <v>1.0000000000000002E-4</v>
      </c>
      <c r="AD95" s="135">
        <f t="shared" si="2"/>
        <v>0</v>
      </c>
      <c r="AE95" s="135">
        <f t="shared" si="3"/>
        <v>0</v>
      </c>
      <c r="AF95" s="24">
        <f t="shared" si="4"/>
        <v>9.130000000000002E-2</v>
      </c>
      <c r="AG95" s="24">
        <f t="shared" si="5"/>
        <v>0</v>
      </c>
      <c r="AH95" s="24">
        <f t="shared" si="6"/>
        <v>0</v>
      </c>
      <c r="AI95" s="24">
        <f t="shared" si="7"/>
        <v>0</v>
      </c>
      <c r="AJ95" s="24">
        <f t="shared" si="8"/>
        <v>0</v>
      </c>
      <c r="AK95" s="24">
        <f t="shared" si="9"/>
        <v>0</v>
      </c>
      <c r="AL95" s="24">
        <f t="shared" si="10"/>
        <v>9.130000000000002E-2</v>
      </c>
      <c r="AM95" s="161">
        <f t="shared" si="12"/>
        <v>0</v>
      </c>
      <c r="AN95" s="157">
        <f t="shared" si="12"/>
        <v>0</v>
      </c>
      <c r="AO95" s="162">
        <f t="shared" si="12"/>
        <v>9.130000000000002E-2</v>
      </c>
    </row>
    <row r="96" spans="1:41" s="8" customFormat="1" ht="15" customHeight="1" x14ac:dyDescent="0.2">
      <c r="A96" s="54" t="str">
        <f>'36. Generic chemical products'!A8</f>
        <v>Detergent, average (Ultravon EL)</v>
      </c>
      <c r="B96" s="54" t="str">
        <f>'36. Generic chemical products'!B8</f>
        <v>Sodium mono(2-ethylhexyl)estersulfate</v>
      </c>
      <c r="C96" s="54">
        <f>'36. Generic chemical products'!C8</f>
        <v>0.05</v>
      </c>
      <c r="D96" s="54" t="str">
        <f>'36. Generic chemical products'!D8</f>
        <v>kg</v>
      </c>
      <c r="E96" s="54" t="str">
        <f>'36. Generic chemical products'!E8</f>
        <v>MSDS</v>
      </c>
      <c r="F96" s="54">
        <f>'36. Generic chemical products'!F8</f>
        <v>0</v>
      </c>
      <c r="G96" s="54" t="str">
        <f>'36. Generic chemical products'!G8</f>
        <v>-</v>
      </c>
      <c r="H96" s="54">
        <f>'36. Generic chemical products'!H8</f>
        <v>0</v>
      </c>
      <c r="I96" s="54">
        <f>'36. Generic chemical products'!I8</f>
        <v>0</v>
      </c>
      <c r="J96" s="54">
        <f>'36. Generic chemical products'!J8</f>
        <v>0</v>
      </c>
      <c r="K96" s="54">
        <f>'36. Generic chemical products'!K8</f>
        <v>0</v>
      </c>
      <c r="L96" s="54">
        <f>'36. Generic chemical products'!L8</f>
        <v>0</v>
      </c>
      <c r="M96" s="54" t="str">
        <f>'36. Generic chemical products'!M8</f>
        <v>Sodium mono(2-ethylhexyl)estersulfate</v>
      </c>
      <c r="N96" s="54" t="str">
        <f>'36. Generic chemical products'!N8</f>
        <v>river</v>
      </c>
      <c r="O96" s="54">
        <f>'36. Generic chemical products'!O8</f>
        <v>5.000000000000001E-3</v>
      </c>
      <c r="P96" s="54" t="str">
        <f>'36. Generic chemical products'!P8</f>
        <v>kg</v>
      </c>
      <c r="Q96" s="54">
        <f>'36. Generic chemical products'!Q8</f>
        <v>0</v>
      </c>
      <c r="R96" s="54">
        <f>'36. Generic chemical products'!R8</f>
        <v>0</v>
      </c>
      <c r="S96" s="54">
        <f>'36. Generic chemical products'!S8</f>
        <v>0</v>
      </c>
      <c r="T96" s="54" t="str">
        <f>'36. Generic chemical products'!T8</f>
        <v>126-92-1</v>
      </c>
      <c r="U96" s="54">
        <f>'36. Generic chemical products'!U8</f>
        <v>0</v>
      </c>
      <c r="V96" s="54">
        <f>'36. Generic chemical products'!V8</f>
        <v>0</v>
      </c>
      <c r="W96" s="54">
        <f>'36. Generic chemical products'!W8</f>
        <v>0</v>
      </c>
      <c r="X96" s="54">
        <f>'36. Generic chemical products'!X8</f>
        <v>0</v>
      </c>
      <c r="Y96" s="54">
        <f>'36. Generic chemical products'!Y8</f>
        <v>109.72</v>
      </c>
      <c r="Z96" s="54">
        <f>'36. Generic chemical products'!Z8</f>
        <v>110</v>
      </c>
      <c r="AA96" s="54" t="str">
        <f>'36. Generic chemical products'!AA8</f>
        <v>COSMEDE</v>
      </c>
      <c r="AB96" s="27">
        <f t="shared" si="13"/>
        <v>0</v>
      </c>
      <c r="AC96" s="29">
        <f t="shared" si="14"/>
        <v>5.0000000000000009E-5</v>
      </c>
      <c r="AD96" s="135">
        <f t="shared" si="2"/>
        <v>0</v>
      </c>
      <c r="AE96" s="135">
        <f t="shared" si="3"/>
        <v>0</v>
      </c>
      <c r="AF96" s="24">
        <f t="shared" si="4"/>
        <v>5.5000000000000014E-3</v>
      </c>
      <c r="AG96" s="24">
        <f t="shared" si="5"/>
        <v>0</v>
      </c>
      <c r="AH96" s="24">
        <f t="shared" si="6"/>
        <v>0</v>
      </c>
      <c r="AI96" s="24">
        <f t="shared" si="7"/>
        <v>0</v>
      </c>
      <c r="AJ96" s="24">
        <f t="shared" si="8"/>
        <v>0</v>
      </c>
      <c r="AK96" s="24">
        <f t="shared" si="9"/>
        <v>0</v>
      </c>
      <c r="AL96" s="24">
        <f t="shared" si="10"/>
        <v>5.5000000000000014E-3</v>
      </c>
      <c r="AM96" s="161">
        <f t="shared" si="12"/>
        <v>0</v>
      </c>
      <c r="AN96" s="157">
        <f t="shared" si="12"/>
        <v>0</v>
      </c>
      <c r="AO96" s="162">
        <f t="shared" si="12"/>
        <v>5.5000000000000014E-3</v>
      </c>
    </row>
    <row r="97" spans="1:41" s="8" customFormat="1" ht="15" customHeight="1" x14ac:dyDescent="0.2">
      <c r="A97" s="54" t="str">
        <f>'36. Generic chemical products'!A9</f>
        <v>Detergent, average (Ultravon EL)</v>
      </c>
      <c r="B97" s="54" t="str">
        <f>'36. Generic chemical products'!B9</f>
        <v>Ethylene oxide</v>
      </c>
      <c r="C97" s="54">
        <f>'36. Generic chemical products'!C9</f>
        <v>0</v>
      </c>
      <c r="D97" s="54">
        <f>'36. Generic chemical products'!D9</f>
        <v>0</v>
      </c>
      <c r="E97" s="54" t="str">
        <f>'36. Generic chemical products'!E9</f>
        <v>&lt;= 0.1% in alcohol ethoxylates</v>
      </c>
      <c r="F97" s="54">
        <f>'36. Generic chemical products'!F9</f>
        <v>0</v>
      </c>
      <c r="G97" s="54" t="str">
        <f>'36. Generic chemical products'!G9</f>
        <v>Ethylene oxide</v>
      </c>
      <c r="H97" s="54" t="str">
        <f>'36. Generic chemical products'!H9</f>
        <v>high. pop.</v>
      </c>
      <c r="I97" s="54">
        <f>'36. Generic chemical products'!I9</f>
        <v>1.0000000000000001E-7</v>
      </c>
      <c r="J97" s="54" t="str">
        <f>'36. Generic chemical products'!J9</f>
        <v>kg</v>
      </c>
      <c r="K97" s="54">
        <f>'36. Generic chemical products'!K9</f>
        <v>0</v>
      </c>
      <c r="L97" s="54">
        <f>'36. Generic chemical products'!L9</f>
        <v>0</v>
      </c>
      <c r="M97" s="54" t="str">
        <f>'36. Generic chemical products'!M9</f>
        <v>Ethylene oxide</v>
      </c>
      <c r="N97" s="54" t="str">
        <f>'36. Generic chemical products'!N9</f>
        <v>river</v>
      </c>
      <c r="O97" s="54">
        <f>'36. Generic chemical products'!O9</f>
        <v>1.0000000000000001E-5</v>
      </c>
      <c r="P97" s="54" t="str">
        <f>'36. Generic chemical products'!P9</f>
        <v>kg</v>
      </c>
      <c r="Q97" s="54" t="str">
        <f>'36. Generic chemical products'!Q9</f>
        <v>&lt;= 0.001 in alcohol ethoxylates</v>
      </c>
      <c r="R97" s="54">
        <f>'36. Generic chemical products'!R9</f>
        <v>0</v>
      </c>
      <c r="S97" s="54">
        <f>'36. Generic chemical products'!S9</f>
        <v>0</v>
      </c>
      <c r="T97" s="54" t="str">
        <f>'36. Generic chemical products'!T9</f>
        <v>75-21-8</v>
      </c>
      <c r="U97" s="54">
        <f>'36. Generic chemical products'!U9</f>
        <v>1.0252176328593382E-6</v>
      </c>
      <c r="V97" s="54">
        <f>'36. Generic chemical products'!V9</f>
        <v>0</v>
      </c>
      <c r="W97" s="54">
        <f>'36. Generic chemical products'!W9</f>
        <v>8.6533271568247147E-7</v>
      </c>
      <c r="X97" s="54">
        <f>'36. Generic chemical products'!X9</f>
        <v>0</v>
      </c>
      <c r="Y97" s="54">
        <f>'36. Generic chemical products'!Y9</f>
        <v>0.65406517859613422</v>
      </c>
      <c r="Z97" s="54">
        <f>'36. Generic chemical products'!Z9</f>
        <v>11.248588270889815</v>
      </c>
      <c r="AA97" s="54" t="str">
        <f>'36. Generic chemical products'!AA9</f>
        <v>USEtox</v>
      </c>
      <c r="AB97" s="27">
        <f t="shared" si="13"/>
        <v>1.0000000000000001E-9</v>
      </c>
      <c r="AC97" s="29">
        <f t="shared" si="14"/>
        <v>1.0000000000000001E-7</v>
      </c>
      <c r="AD97" s="135">
        <f t="shared" si="2"/>
        <v>8.755848920110649E-14</v>
      </c>
      <c r="AE97" s="135">
        <f t="shared" si="3"/>
        <v>0</v>
      </c>
      <c r="AF97" s="24">
        <f t="shared" si="4"/>
        <v>1.125512892267578E-6</v>
      </c>
      <c r="AG97" s="24">
        <f t="shared" si="5"/>
        <v>1.0252176328593383E-15</v>
      </c>
      <c r="AH97" s="24">
        <f t="shared" si="6"/>
        <v>0</v>
      </c>
      <c r="AI97" s="24">
        <f t="shared" si="7"/>
        <v>6.5406517859613422E-10</v>
      </c>
      <c r="AJ97" s="24">
        <f t="shared" si="8"/>
        <v>8.6533271568247152E-14</v>
      </c>
      <c r="AK97" s="24">
        <f t="shared" si="9"/>
        <v>0</v>
      </c>
      <c r="AL97" s="24">
        <f t="shared" si="10"/>
        <v>1.1248588270889817E-6</v>
      </c>
      <c r="AM97" s="161">
        <f t="shared" si="12"/>
        <v>8.755848920110649E-14</v>
      </c>
      <c r="AN97" s="157">
        <f t="shared" si="12"/>
        <v>0</v>
      </c>
      <c r="AO97" s="162">
        <f t="shared" si="12"/>
        <v>1.125512892267578E-6</v>
      </c>
    </row>
    <row r="98" spans="1:41" s="49" customFormat="1" ht="15" customHeight="1" x14ac:dyDescent="0.2">
      <c r="A98" s="54" t="str">
        <f>'36. Generic chemical products'!A10</f>
        <v>Detergent, average (Ultravon EL)</v>
      </c>
      <c r="B98" s="54" t="str">
        <f>'36. Generic chemical products'!B10</f>
        <v xml:space="preserve"> </v>
      </c>
      <c r="C98" s="54">
        <f>'36. Generic chemical products'!C10</f>
        <v>0</v>
      </c>
      <c r="D98" s="54">
        <f>'36. Generic chemical products'!D10</f>
        <v>0</v>
      </c>
      <c r="E98" s="54" t="str">
        <f>'36. Generic chemical products'!E10</f>
        <v>Common breakdown product of of acrylics, 0.001 % assumed</v>
      </c>
      <c r="F98" s="54">
        <f>'36. Generic chemical products'!F10</f>
        <v>0</v>
      </c>
      <c r="G98" s="54" t="str">
        <f>'36. Generic chemical products'!G10</f>
        <v>Formaldehyde</v>
      </c>
      <c r="H98" s="54" t="str">
        <f>'36. Generic chemical products'!H10</f>
        <v>high. pop.</v>
      </c>
      <c r="I98" s="54">
        <f>'36. Generic chemical products'!I10</f>
        <v>1.0000000000000001E-7</v>
      </c>
      <c r="J98" s="54" t="str">
        <f>'36. Generic chemical products'!J10</f>
        <v>kg</v>
      </c>
      <c r="K98" s="54">
        <f>'36. Generic chemical products'!K10</f>
        <v>0</v>
      </c>
      <c r="L98" s="54">
        <f>'36. Generic chemical products'!L10</f>
        <v>0</v>
      </c>
      <c r="M98" s="54" t="str">
        <f>'36. Generic chemical products'!M10</f>
        <v>Formaldehyde</v>
      </c>
      <c r="N98" s="54" t="str">
        <f>'36. Generic chemical products'!N10</f>
        <v>river</v>
      </c>
      <c r="O98" s="54">
        <f>'36. Generic chemical products'!O10</f>
        <v>1.0000000000000002E-6</v>
      </c>
      <c r="P98" s="54" t="str">
        <f>'36. Generic chemical products'!P10</f>
        <v>kg</v>
      </c>
      <c r="Q98" s="54" t="str">
        <f>'36. Generic chemical products'!Q10</f>
        <v xml:space="preserve">0.1 % of the content is degraded to common breakdown products. 90% of reactive chemicals are degraded during operations. </v>
      </c>
      <c r="R98" s="54">
        <f>'36. Generic chemical products'!R10</f>
        <v>0</v>
      </c>
      <c r="S98" s="54">
        <f>'36. Generic chemical products'!S10</f>
        <v>0</v>
      </c>
      <c r="T98" s="54" t="str">
        <f>'36. Generic chemical products'!T10</f>
        <v>50-00-0</v>
      </c>
      <c r="U98" s="54">
        <f>'36. Generic chemical products'!U10</f>
        <v>2.5208446330720887E-5</v>
      </c>
      <c r="V98" s="54">
        <f>'36. Generic chemical products'!V10</f>
        <v>2.6504960021309262E-7</v>
      </c>
      <c r="W98" s="54">
        <f>'36. Generic chemical products'!W10</f>
        <v>1.4222228897488039E-7</v>
      </c>
      <c r="X98" s="54">
        <f>'36. Generic chemical products'!X10</f>
        <v>3.170874313501273E-7</v>
      </c>
      <c r="Y98" s="54">
        <f>'36. Generic chemical products'!Y10</f>
        <v>17.989178582912412</v>
      </c>
      <c r="Z98" s="54">
        <f>'36. Generic chemical products'!Z10</f>
        <v>290.05086067463066</v>
      </c>
      <c r="AA98" s="54" t="str">
        <f>'36. Generic chemical products'!AA10</f>
        <v>USEtox</v>
      </c>
      <c r="AB98" s="28">
        <f t="shared" si="13"/>
        <v>1.0000000000000001E-9</v>
      </c>
      <c r="AC98" s="146">
        <f t="shared" si="14"/>
        <v>1.0000000000000002E-8</v>
      </c>
      <c r="AD98" s="147">
        <f t="shared" si="2"/>
        <v>2.6630669220469693E-14</v>
      </c>
      <c r="AE98" s="147">
        <f t="shared" si="3"/>
        <v>3.4359239137143663E-15</v>
      </c>
      <c r="AF98" s="25">
        <f t="shared" si="4"/>
        <v>2.9184977853292197E-6</v>
      </c>
      <c r="AG98" s="25">
        <f t="shared" si="5"/>
        <v>2.5208446330720887E-14</v>
      </c>
      <c r="AH98" s="25">
        <f t="shared" si="6"/>
        <v>2.6504960021309264E-16</v>
      </c>
      <c r="AI98" s="25">
        <f t="shared" si="7"/>
        <v>1.7989178582912414E-8</v>
      </c>
      <c r="AJ98" s="25">
        <f t="shared" si="8"/>
        <v>1.4222228897488041E-15</v>
      </c>
      <c r="AK98" s="25">
        <f t="shared" si="9"/>
        <v>3.1708743135012737E-15</v>
      </c>
      <c r="AL98" s="25">
        <f t="shared" si="10"/>
        <v>2.9005086067463073E-6</v>
      </c>
      <c r="AM98" s="163">
        <f t="shared" si="12"/>
        <v>2.6630669220469693E-14</v>
      </c>
      <c r="AN98" s="164">
        <f t="shared" si="12"/>
        <v>3.4359239137143663E-15</v>
      </c>
      <c r="AO98" s="165">
        <f t="shared" si="12"/>
        <v>2.9184977853292197E-6</v>
      </c>
    </row>
    <row r="99" spans="1:41" s="361" customFormat="1" ht="15" customHeight="1" x14ac:dyDescent="0.2">
      <c r="A99" s="196" t="str">
        <f>'36. Generic chemical products'!A32</f>
        <v>Base/Soda ash (Na2CO3), average</v>
      </c>
      <c r="B99" s="196" t="str">
        <f>'36. Generic chemical products'!B32</f>
        <v>Sodium carbonate (Na2CO3)</v>
      </c>
      <c r="C99" s="196">
        <f>'36. Generic chemical products'!C32</f>
        <v>1</v>
      </c>
      <c r="D99" s="196" t="str">
        <f>'36. Generic chemical products'!D32</f>
        <v>kg</v>
      </c>
      <c r="E99" s="196">
        <f>'36. Generic chemical products'!E32</f>
        <v>1</v>
      </c>
      <c r="F99" s="196">
        <f>'36. Generic chemical products'!F32</f>
        <v>0</v>
      </c>
      <c r="G99" s="196" t="str">
        <f>'36. Generic chemical products'!G32</f>
        <v>-</v>
      </c>
      <c r="H99" s="196">
        <f>'36. Generic chemical products'!H32</f>
        <v>0</v>
      </c>
      <c r="I99" s="196">
        <f>'36. Generic chemical products'!I32</f>
        <v>0</v>
      </c>
      <c r="J99" s="196">
        <f>'36. Generic chemical products'!J32</f>
        <v>0</v>
      </c>
      <c r="K99" s="196" t="str">
        <f>'36. Generic chemical products'!K32</f>
        <v>Worst case - mist carries substance</v>
      </c>
      <c r="L99" s="196">
        <f>'36. Generic chemical products'!L32</f>
        <v>0</v>
      </c>
      <c r="M99" s="196" t="str">
        <f>'36. Generic chemical products'!M32</f>
        <v>Sodium carbonate (Na2CO3)</v>
      </c>
      <c r="N99" s="196" t="str">
        <f>'36. Generic chemical products'!N32</f>
        <v>river</v>
      </c>
      <c r="O99" s="196">
        <f>'36. Generic chemical products'!O32</f>
        <v>0.1</v>
      </c>
      <c r="P99" s="196" t="str">
        <f>'36. Generic chemical products'!P32</f>
        <v>kg</v>
      </c>
      <c r="Q99" s="196">
        <f>'36. Generic chemical products'!Q32</f>
        <v>0</v>
      </c>
      <c r="R99" s="196">
        <f>'36. Generic chemical products'!R32</f>
        <v>0</v>
      </c>
      <c r="S99" s="196">
        <f>'36. Generic chemical products'!S32</f>
        <v>0</v>
      </c>
      <c r="T99" s="196" t="str">
        <f>'36. Generic chemical products'!T32</f>
        <v>497-19-8</v>
      </c>
      <c r="U99" s="196">
        <f>'36. Generic chemical products'!U32</f>
        <v>0</v>
      </c>
      <c r="V99" s="196">
        <f>'36. Generic chemical products'!V32</f>
        <v>0</v>
      </c>
      <c r="W99" s="196">
        <f>'36. Generic chemical products'!W32</f>
        <v>0</v>
      </c>
      <c r="X99" s="196">
        <f>'36. Generic chemical products'!X32</f>
        <v>0</v>
      </c>
      <c r="Y99" s="196">
        <f>'36. Generic chemical products'!Y32</f>
        <v>31</v>
      </c>
      <c r="Z99" s="196">
        <f>'36. Generic chemical products'!Z32</f>
        <v>73.7</v>
      </c>
      <c r="AA99" s="196" t="str">
        <f>'36. Generic chemical products'!AA32</f>
        <v>COSMEDE</v>
      </c>
      <c r="AB99" s="401">
        <f>$C$32*I99</f>
        <v>0</v>
      </c>
      <c r="AC99" s="362">
        <f>$C$46*O99</f>
        <v>1E-3</v>
      </c>
      <c r="AD99" s="402">
        <f t="shared" si="2"/>
        <v>0</v>
      </c>
      <c r="AE99" s="402">
        <f t="shared" si="3"/>
        <v>0</v>
      </c>
      <c r="AF99" s="403">
        <f t="shared" si="4"/>
        <v>7.3700000000000002E-2</v>
      </c>
      <c r="AG99" s="403">
        <f t="shared" si="5"/>
        <v>0</v>
      </c>
      <c r="AH99" s="403">
        <f t="shared" si="6"/>
        <v>0</v>
      </c>
      <c r="AI99" s="403">
        <f t="shared" si="7"/>
        <v>0</v>
      </c>
      <c r="AJ99" s="403">
        <f t="shared" si="8"/>
        <v>0</v>
      </c>
      <c r="AK99" s="403">
        <f t="shared" si="9"/>
        <v>0</v>
      </c>
      <c r="AL99" s="403">
        <f t="shared" si="10"/>
        <v>7.3700000000000002E-2</v>
      </c>
      <c r="AM99" s="404">
        <f t="shared" si="12"/>
        <v>0</v>
      </c>
      <c r="AN99" s="405">
        <f t="shared" si="12"/>
        <v>0</v>
      </c>
      <c r="AO99" s="406">
        <f t="shared" si="12"/>
        <v>7.3700000000000002E-2</v>
      </c>
    </row>
    <row r="100" spans="1:41" s="361" customFormat="1" ht="15" customHeight="1" x14ac:dyDescent="0.2">
      <c r="A100" s="194" t="str">
        <f>'36. Generic chemical products'!A73</f>
        <v>Oxidizing agent (H2O2), average</v>
      </c>
      <c r="B100" s="194" t="str">
        <f>'36. Generic chemical products'!B73</f>
        <v>Hydrogen peroxide</v>
      </c>
      <c r="C100" s="194">
        <f>'36. Generic chemical products'!C73</f>
        <v>1</v>
      </c>
      <c r="D100" s="194" t="str">
        <f>'36. Generic chemical products'!D73</f>
        <v>kg</v>
      </c>
      <c r="E100" s="194">
        <f>'36. Generic chemical products'!E73</f>
        <v>1</v>
      </c>
      <c r="F100" s="194">
        <f>'36. Generic chemical products'!F73</f>
        <v>0</v>
      </c>
      <c r="G100" s="194" t="str">
        <f>'36. Generic chemical products'!G73</f>
        <v>Hydrogen peroxide</v>
      </c>
      <c r="H100" s="194" t="str">
        <f>'36. Generic chemical products'!H73</f>
        <v>high. pop.</v>
      </c>
      <c r="I100" s="194">
        <f>'36. Generic chemical products'!I73</f>
        <v>1E-3</v>
      </c>
      <c r="J100" s="194" t="str">
        <f>'36. Generic chemical products'!J73</f>
        <v>kg</v>
      </c>
      <c r="K100" s="194">
        <f>'36. Generic chemical products'!K73</f>
        <v>0</v>
      </c>
      <c r="L100" s="194">
        <f>'36. Generic chemical products'!L73</f>
        <v>0</v>
      </c>
      <c r="M100" s="194" t="str">
        <f>'36. Generic chemical products'!M73</f>
        <v>Hydrogen peroxide</v>
      </c>
      <c r="N100" s="194" t="str">
        <f>'36. Generic chemical products'!N73</f>
        <v>river</v>
      </c>
      <c r="O100" s="194">
        <f>'36. Generic chemical products'!O73</f>
        <v>1.0000000000000002E-2</v>
      </c>
      <c r="P100" s="194" t="str">
        <f>'36. Generic chemical products'!P73</f>
        <v>kg</v>
      </c>
      <c r="Q100" s="194" t="str">
        <f>'36. Generic chemical products'!Q73</f>
        <v>90% of reactive chemicals are degraded during operations.</v>
      </c>
      <c r="R100" s="194">
        <f>'36. Generic chemical products'!R73</f>
        <v>0</v>
      </c>
      <c r="S100" s="194">
        <f>'36. Generic chemical products'!S73</f>
        <v>0</v>
      </c>
      <c r="T100" s="194" t="str">
        <f>'36. Generic chemical products'!T73</f>
        <v>7722-84-1</v>
      </c>
      <c r="U100" s="194">
        <f>'36. Generic chemical products'!U73</f>
        <v>0</v>
      </c>
      <c r="V100" s="194">
        <f>'36. Generic chemical products'!V73</f>
        <v>0</v>
      </c>
      <c r="W100" s="194">
        <f>'36. Generic chemical products'!W73</f>
        <v>0</v>
      </c>
      <c r="X100" s="194">
        <f>'36. Generic chemical products'!X73</f>
        <v>0</v>
      </c>
      <c r="Y100" s="194">
        <f>'36. Generic chemical products'!Y73</f>
        <v>221</v>
      </c>
      <c r="Z100" s="194">
        <f>'36. Generic chemical products'!Z73</f>
        <v>5320</v>
      </c>
      <c r="AA100" s="194" t="str">
        <f>'36. Generic chemical products'!AA73</f>
        <v>COSMEDE</v>
      </c>
      <c r="AB100" s="401">
        <f>$C$34*I100</f>
        <v>2.0000000000000002E-5</v>
      </c>
      <c r="AC100" s="362">
        <f>$C$48*O100</f>
        <v>2.0000000000000004E-4</v>
      </c>
      <c r="AD100" s="402">
        <f t="shared" si="2"/>
        <v>0</v>
      </c>
      <c r="AE100" s="402">
        <f t="shared" si="3"/>
        <v>0</v>
      </c>
      <c r="AF100" s="403">
        <f>AB100*Y100+AC100*Z100</f>
        <v>1.0684200000000004</v>
      </c>
      <c r="AG100" s="403">
        <f t="shared" si="5"/>
        <v>0</v>
      </c>
      <c r="AH100" s="403">
        <f t="shared" si="6"/>
        <v>0</v>
      </c>
      <c r="AI100" s="403">
        <f t="shared" si="7"/>
        <v>4.4200000000000003E-3</v>
      </c>
      <c r="AJ100" s="403">
        <f t="shared" si="8"/>
        <v>0</v>
      </c>
      <c r="AK100" s="403">
        <f t="shared" si="9"/>
        <v>0</v>
      </c>
      <c r="AL100" s="403">
        <f t="shared" si="10"/>
        <v>1.0640000000000003</v>
      </c>
      <c r="AM100" s="404">
        <f t="shared" si="12"/>
        <v>0</v>
      </c>
      <c r="AN100" s="405">
        <f t="shared" si="12"/>
        <v>0</v>
      </c>
      <c r="AO100" s="406">
        <f t="shared" si="12"/>
        <v>1.0684200000000004</v>
      </c>
    </row>
    <row r="101" spans="1:41" s="49" customFormat="1" ht="15" customHeight="1" x14ac:dyDescent="0.2">
      <c r="A101" s="193" t="str">
        <f>'36. Generic chemical products'!A59</f>
        <v>Blue VAT dyestuff (indigo), average</v>
      </c>
      <c r="B101" s="193" t="str">
        <f>'36. Generic chemical products'!B59</f>
        <v>Indigo</v>
      </c>
      <c r="C101" s="193">
        <f>'36. Generic chemical products'!C59</f>
        <v>1</v>
      </c>
      <c r="D101" s="193" t="str">
        <f>'36. Generic chemical products'!D59</f>
        <v>kg</v>
      </c>
      <c r="E101" s="193">
        <f>'36. Generic chemical products'!E59</f>
        <v>1</v>
      </c>
      <c r="F101" s="193">
        <f>'36. Generic chemical products'!F59</f>
        <v>0</v>
      </c>
      <c r="G101" s="193" t="str">
        <f>'36. Generic chemical products'!G59</f>
        <v>Indigo</v>
      </c>
      <c r="H101" s="193" t="str">
        <f>'36. Generic chemical products'!H59</f>
        <v>high. pop.</v>
      </c>
      <c r="I101" s="193">
        <f>'36. Generic chemical products'!I59</f>
        <v>6.0000000000000001E-3</v>
      </c>
      <c r="J101" s="193" t="str">
        <f>'36. Generic chemical products'!J59</f>
        <v>kg</v>
      </c>
      <c r="K101" s="193" t="str">
        <f>'36. Generic chemical products'!K59</f>
        <v>6 airings assumed</v>
      </c>
      <c r="L101" s="193">
        <f>'36. Generic chemical products'!L59</f>
        <v>0</v>
      </c>
      <c r="M101" s="193" t="str">
        <f>'36. Generic chemical products'!M59</f>
        <v>Indigo</v>
      </c>
      <c r="N101" s="193" t="str">
        <f>'36. Generic chemical products'!N59</f>
        <v>river</v>
      </c>
      <c r="O101" s="193">
        <f>'36. Generic chemical products'!O59</f>
        <v>5.000000000000001E-3</v>
      </c>
      <c r="P101" s="193" t="str">
        <f>'36. Generic chemical products'!P59</f>
        <v>kg</v>
      </c>
      <c r="Q101" s="193" t="str">
        <f>'36. Generic chemical products'!Q59</f>
        <v>95% on fabric</v>
      </c>
      <c r="R101" s="193">
        <f>'36. Generic chemical products'!R59</f>
        <v>0</v>
      </c>
      <c r="S101" s="193">
        <f>'36. Generic chemical products'!S59</f>
        <v>0</v>
      </c>
      <c r="T101" s="193" t="str">
        <f>'36. Generic chemical products'!T59</f>
        <v>482-89-3</v>
      </c>
      <c r="U101" s="193">
        <f>'36. Generic chemical products'!U59</f>
        <v>0</v>
      </c>
      <c r="V101" s="193">
        <f>'36. Generic chemical products'!V59</f>
        <v>0</v>
      </c>
      <c r="W101" s="193">
        <f>'36. Generic chemical products'!W59</f>
        <v>0</v>
      </c>
      <c r="X101" s="193">
        <f>'36. Generic chemical products'!X59</f>
        <v>0</v>
      </c>
      <c r="Y101" s="193">
        <f>'36. Generic chemical products'!Y59</f>
        <v>8.8772465275976433</v>
      </c>
      <c r="Z101" s="193">
        <f>'36. Generic chemical products'!Z59</f>
        <v>208.6033035913627</v>
      </c>
      <c r="AA101" s="193" t="str">
        <f>'36. Generic chemical products'!AA59</f>
        <v>USEtox</v>
      </c>
      <c r="AB101" s="28">
        <f>$C$26*I101</f>
        <v>1.2E-4</v>
      </c>
      <c r="AC101" s="146">
        <f>$C$40*O101</f>
        <v>1.0000000000000002E-4</v>
      </c>
      <c r="AD101" s="147">
        <f t="shared" si="2"/>
        <v>0</v>
      </c>
      <c r="AE101" s="147">
        <f t="shared" si="3"/>
        <v>0</v>
      </c>
      <c r="AF101" s="25">
        <f t="shared" si="4"/>
        <v>2.1925599942447992E-2</v>
      </c>
      <c r="AG101" s="25">
        <f t="shared" si="5"/>
        <v>0</v>
      </c>
      <c r="AH101" s="25">
        <f t="shared" si="6"/>
        <v>0</v>
      </c>
      <c r="AI101" s="25">
        <f t="shared" si="7"/>
        <v>1.0652695833117173E-3</v>
      </c>
      <c r="AJ101" s="25">
        <f t="shared" si="8"/>
        <v>0</v>
      </c>
      <c r="AK101" s="25">
        <f t="shared" si="9"/>
        <v>0</v>
      </c>
      <c r="AL101" s="25">
        <f t="shared" si="10"/>
        <v>2.0860330359136273E-2</v>
      </c>
      <c r="AM101" s="163">
        <f t="shared" si="12"/>
        <v>0</v>
      </c>
      <c r="AN101" s="164">
        <f t="shared" si="12"/>
        <v>0</v>
      </c>
      <c r="AO101" s="165">
        <f t="shared" si="12"/>
        <v>2.1925599942447992E-2</v>
      </c>
    </row>
    <row r="102" spans="1:41" s="8" customFormat="1" ht="15" customHeight="1" x14ac:dyDescent="0.2">
      <c r="A102" s="34"/>
      <c r="B102" s="54"/>
      <c r="C102" s="74"/>
      <c r="D102" s="51"/>
      <c r="E102" s="64"/>
      <c r="F102" s="51"/>
      <c r="G102" s="51"/>
      <c r="H102" s="69"/>
      <c r="I102" s="51"/>
      <c r="J102" s="51"/>
      <c r="K102" s="51"/>
      <c r="L102" s="51"/>
      <c r="M102" s="69"/>
      <c r="N102" s="51"/>
      <c r="O102" s="51"/>
      <c r="P102" s="54"/>
      <c r="Q102" s="115"/>
      <c r="R102" s="115"/>
      <c r="S102" s="115"/>
      <c r="T102" s="115"/>
      <c r="U102" s="115"/>
      <c r="V102" s="115"/>
      <c r="W102" s="125"/>
      <c r="X102" s="203"/>
      <c r="Y102" s="204"/>
      <c r="Z102" s="205"/>
      <c r="AA102" s="205"/>
      <c r="AB102" s="203"/>
      <c r="AC102" s="203"/>
      <c r="AD102" s="177">
        <f>SUM(AD65:AD101)</f>
        <v>1.9826967316072806E-12</v>
      </c>
      <c r="AE102" s="177">
        <f t="shared" ref="AE102:AF102" si="15">SUM(AE65:AE101)</f>
        <v>3.145465823965292E-9</v>
      </c>
      <c r="AF102" s="177">
        <f t="shared" si="15"/>
        <v>238.68934552400233</v>
      </c>
      <c r="AG102" s="203"/>
      <c r="AH102" s="203"/>
      <c r="AI102" s="157"/>
      <c r="AJ102" s="157"/>
      <c r="AK102" s="157"/>
    </row>
    <row r="103" spans="1:41" x14ac:dyDescent="0.2">
      <c r="A103" s="47" t="s">
        <v>736</v>
      </c>
      <c r="AD103" s="191">
        <f>AD102*0.496*1.2</f>
        <v>1.1801010946526532E-12</v>
      </c>
    </row>
    <row r="107" spans="1:41" x14ac:dyDescent="0.2">
      <c r="A107" s="35" t="s">
        <v>687</v>
      </c>
    </row>
    <row r="108" spans="1:41" x14ac:dyDescent="0.2">
      <c r="A108" s="244" t="s">
        <v>1102</v>
      </c>
    </row>
    <row r="109" spans="1:41" x14ac:dyDescent="0.2">
      <c r="A109" s="244" t="s">
        <v>1103</v>
      </c>
    </row>
    <row r="110" spans="1:41" x14ac:dyDescent="0.2">
      <c r="A110" t="s">
        <v>1068</v>
      </c>
    </row>
    <row r="111" spans="1:41" x14ac:dyDescent="0.2">
      <c r="A111" s="244" t="s">
        <v>1083</v>
      </c>
    </row>
    <row r="112" spans="1:41" x14ac:dyDescent="0.2">
      <c r="A112" s="244" t="s">
        <v>1104</v>
      </c>
    </row>
    <row r="113" spans="1:1" x14ac:dyDescent="0.2">
      <c r="A113" s="244" t="s">
        <v>1087</v>
      </c>
    </row>
    <row r="114" spans="1:1" x14ac:dyDescent="0.2">
      <c r="A114" s="244" t="s">
        <v>1105</v>
      </c>
    </row>
    <row r="115" spans="1:1" x14ac:dyDescent="0.2">
      <c r="A115" s="244" t="s">
        <v>1106</v>
      </c>
    </row>
    <row r="116" spans="1:1" x14ac:dyDescent="0.2">
      <c r="A116" s="244" t="s">
        <v>1097</v>
      </c>
    </row>
    <row r="117" spans="1:1" x14ac:dyDescent="0.2">
      <c r="A117" s="244" t="s">
        <v>1162</v>
      </c>
    </row>
    <row r="118" spans="1:1" x14ac:dyDescent="0.2">
      <c r="A118" s="244" t="s">
        <v>1091</v>
      </c>
    </row>
    <row r="119" spans="1:1" x14ac:dyDescent="0.2">
      <c r="A119" s="244" t="s">
        <v>1107</v>
      </c>
    </row>
    <row r="120" spans="1:1" x14ac:dyDescent="0.2">
      <c r="A120" t="s">
        <v>1098</v>
      </c>
    </row>
    <row r="121" spans="1:1" x14ac:dyDescent="0.2">
      <c r="A121" s="244" t="s">
        <v>1099</v>
      </c>
    </row>
    <row r="122" spans="1:1" x14ac:dyDescent="0.2">
      <c r="A122" s="244" t="s">
        <v>1070</v>
      </c>
    </row>
    <row r="123" spans="1:1" x14ac:dyDescent="0.2">
      <c r="A123" s="244" t="s">
        <v>1096</v>
      </c>
    </row>
    <row r="124" spans="1:1" x14ac:dyDescent="0.2">
      <c r="A124" s="244" t="s">
        <v>1108</v>
      </c>
    </row>
    <row r="125" spans="1:1" x14ac:dyDescent="0.2">
      <c r="A125" s="244" t="s">
        <v>1109</v>
      </c>
    </row>
    <row r="126" spans="1:1" x14ac:dyDescent="0.2">
      <c r="A126" s="244" t="s">
        <v>1072</v>
      </c>
    </row>
    <row r="127" spans="1:1" x14ac:dyDescent="0.2">
      <c r="A127" s="244" t="s">
        <v>1100</v>
      </c>
    </row>
    <row r="128" spans="1:1" x14ac:dyDescent="0.2">
      <c r="A128" s="244" t="s">
        <v>1101</v>
      </c>
    </row>
  </sheetData>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O224"/>
  <sheetViews>
    <sheetView zoomScale="60" zoomScaleNormal="60" workbookViewId="0">
      <selection activeCell="A64" sqref="A64"/>
    </sheetView>
  </sheetViews>
  <sheetFormatPr defaultRowHeight="12.75" x14ac:dyDescent="0.2"/>
  <cols>
    <col min="1" max="1" width="46.85546875" style="244" customWidth="1"/>
    <col min="2" max="2" width="28.7109375" style="244" customWidth="1"/>
    <col min="3" max="3" width="14.7109375" style="244" customWidth="1"/>
    <col min="4" max="4" width="9.140625" style="244" customWidth="1"/>
    <col min="5" max="5" width="25.7109375" style="244" customWidth="1"/>
    <col min="6" max="6" width="9.140625" style="244" customWidth="1"/>
    <col min="7" max="7" width="34" style="244" customWidth="1"/>
    <col min="8" max="8" width="28" style="244" customWidth="1"/>
    <col min="9" max="10" width="9.140625" style="244" customWidth="1"/>
    <col min="11" max="11" width="22.85546875" style="244" customWidth="1"/>
    <col min="12" max="12" width="9.140625" style="244" customWidth="1"/>
    <col min="13" max="13" width="42" style="244" customWidth="1"/>
    <col min="14" max="14" width="18.85546875" style="244" customWidth="1"/>
    <col min="15" max="15" width="9.5703125" style="244" customWidth="1"/>
    <col min="16" max="16" width="10" style="244" customWidth="1"/>
    <col min="17" max="17" width="26.7109375" style="244" customWidth="1"/>
    <col min="18" max="18" width="20.140625" style="244" customWidth="1"/>
    <col min="19" max="19" width="42.85546875" style="244" customWidth="1"/>
    <col min="20" max="24" width="16.28515625" style="244" customWidth="1"/>
    <col min="25" max="25" width="15" style="260" customWidth="1"/>
    <col min="26" max="27" width="9.140625" style="260" customWidth="1"/>
    <col min="28" max="29" width="9.140625" style="260"/>
    <col min="30" max="30" width="14.28515625" style="260" bestFit="1" customWidth="1"/>
    <col min="31" max="31" width="10" style="260" bestFit="1" customWidth="1"/>
    <col min="32" max="32" width="13.28515625" style="260" customWidth="1"/>
    <col min="33" max="33" width="9.85546875" style="260" bestFit="1" customWidth="1"/>
    <col min="34" max="35" width="10.28515625" style="260" bestFit="1" customWidth="1"/>
    <col min="36" max="36" width="9.140625" style="260"/>
    <col min="37" max="37" width="10" style="260" bestFit="1" customWidth="1"/>
    <col min="38" max="38" width="10.140625" style="244" bestFit="1" customWidth="1"/>
    <col min="39" max="16384" width="9.140625" style="244"/>
  </cols>
  <sheetData>
    <row r="1" spans="1:37" ht="16.5" thickBot="1" x14ac:dyDescent="0.3">
      <c r="A1" s="37" t="s">
        <v>161</v>
      </c>
      <c r="B1" s="38"/>
      <c r="C1" s="38" t="s">
        <v>217</v>
      </c>
      <c r="D1" s="38" t="s">
        <v>11</v>
      </c>
      <c r="E1" s="39" t="s">
        <v>180</v>
      </c>
      <c r="G1" s="263" t="s">
        <v>737</v>
      </c>
      <c r="H1" s="264"/>
      <c r="I1" s="264" t="s">
        <v>217</v>
      </c>
      <c r="J1" s="264" t="s">
        <v>11</v>
      </c>
      <c r="K1" s="265" t="s">
        <v>180</v>
      </c>
      <c r="M1" s="266" t="s">
        <v>738</v>
      </c>
      <c r="N1" s="267"/>
      <c r="O1" s="268" t="s">
        <v>217</v>
      </c>
      <c r="P1" s="268" t="s">
        <v>11</v>
      </c>
      <c r="Q1" s="269" t="s">
        <v>180</v>
      </c>
      <c r="S1" s="270" t="s">
        <v>739</v>
      </c>
      <c r="T1" s="271"/>
      <c r="U1" s="271" t="s">
        <v>217</v>
      </c>
      <c r="V1" s="271" t="s">
        <v>11</v>
      </c>
      <c r="W1" s="272" t="s">
        <v>180</v>
      </c>
      <c r="Y1" s="273" t="s">
        <v>740</v>
      </c>
      <c r="Z1" s="274"/>
      <c r="AA1" s="274" t="s">
        <v>217</v>
      </c>
      <c r="AB1" s="274" t="s">
        <v>11</v>
      </c>
      <c r="AC1" s="275" t="s">
        <v>180</v>
      </c>
      <c r="AF1" s="276" t="s">
        <v>710</v>
      </c>
      <c r="AJ1" s="244"/>
      <c r="AK1" s="244"/>
    </row>
    <row r="2" spans="1:37" x14ac:dyDescent="0.2">
      <c r="A2" s="277" t="s">
        <v>218</v>
      </c>
      <c r="B2" s="278"/>
      <c r="C2" s="278"/>
      <c r="D2" s="278"/>
      <c r="E2" s="279"/>
      <c r="G2" s="277" t="s">
        <v>218</v>
      </c>
      <c r="H2" s="278"/>
      <c r="I2" s="278"/>
      <c r="J2" s="278"/>
      <c r="K2" s="279"/>
      <c r="M2" s="277" t="s">
        <v>218</v>
      </c>
      <c r="N2" s="278"/>
      <c r="O2" s="278"/>
      <c r="P2" s="278"/>
      <c r="Q2" s="279"/>
      <c r="S2" s="277" t="s">
        <v>218</v>
      </c>
      <c r="T2" s="278"/>
      <c r="U2" s="278"/>
      <c r="V2" s="278"/>
      <c r="W2" s="279"/>
      <c r="Y2" s="277" t="s">
        <v>218</v>
      </c>
      <c r="Z2" s="278"/>
      <c r="AA2" s="278"/>
      <c r="AB2" s="278"/>
      <c r="AC2" s="279"/>
      <c r="AF2" s="244" t="s">
        <v>940</v>
      </c>
      <c r="AG2" s="260" t="s">
        <v>709</v>
      </c>
      <c r="AI2" s="244"/>
      <c r="AJ2" s="244"/>
      <c r="AK2" s="244"/>
    </row>
    <row r="3" spans="1:37" x14ac:dyDescent="0.2">
      <c r="A3" s="280" t="s">
        <v>741</v>
      </c>
      <c r="B3" s="281"/>
      <c r="C3" s="281">
        <v>1</v>
      </c>
      <c r="D3" s="281" t="s">
        <v>2</v>
      </c>
      <c r="E3" s="282"/>
      <c r="G3" s="280" t="s">
        <v>741</v>
      </c>
      <c r="H3" s="281"/>
      <c r="I3" s="281">
        <v>1</v>
      </c>
      <c r="J3" s="281" t="s">
        <v>2</v>
      </c>
      <c r="K3" s="282"/>
      <c r="M3" s="280" t="s">
        <v>741</v>
      </c>
      <c r="N3" s="281"/>
      <c r="O3" s="281">
        <v>1</v>
      </c>
      <c r="P3" s="281" t="s">
        <v>2</v>
      </c>
      <c r="Q3" s="282"/>
      <c r="S3" s="280" t="s">
        <v>741</v>
      </c>
      <c r="T3" s="281"/>
      <c r="U3" s="281">
        <v>1</v>
      </c>
      <c r="V3" s="281" t="s">
        <v>2</v>
      </c>
      <c r="W3" s="282"/>
      <c r="Y3" s="280" t="s">
        <v>741</v>
      </c>
      <c r="Z3" s="281"/>
      <c r="AA3" s="281">
        <v>1</v>
      </c>
      <c r="AB3" s="281" t="s">
        <v>2</v>
      </c>
      <c r="AC3" s="282"/>
      <c r="AE3" s="260" t="s">
        <v>260</v>
      </c>
      <c r="AF3" s="283">
        <v>1.3172826379681399</v>
      </c>
      <c r="AJ3" s="244"/>
      <c r="AK3" s="244"/>
    </row>
    <row r="4" spans="1:37" s="1" customFormat="1" x14ac:dyDescent="0.2">
      <c r="A4" s="277" t="s">
        <v>183</v>
      </c>
      <c r="B4" s="278"/>
      <c r="C4" s="278"/>
      <c r="D4" s="278"/>
      <c r="E4" s="279"/>
      <c r="G4" s="277" t="s">
        <v>183</v>
      </c>
      <c r="H4" s="278"/>
      <c r="I4" s="278"/>
      <c r="J4" s="278"/>
      <c r="K4" s="279"/>
      <c r="M4" s="277" t="s">
        <v>183</v>
      </c>
      <c r="N4" s="278"/>
      <c r="O4" s="278"/>
      <c r="P4" s="278"/>
      <c r="Q4" s="279"/>
      <c r="S4" s="277" t="s">
        <v>183</v>
      </c>
      <c r="T4" s="278"/>
      <c r="U4" s="278"/>
      <c r="V4" s="278"/>
      <c r="W4" s="279"/>
      <c r="Y4" s="277" t="s">
        <v>183</v>
      </c>
      <c r="Z4" s="278"/>
      <c r="AA4" s="278"/>
      <c r="AB4" s="278"/>
      <c r="AC4" s="279"/>
      <c r="AD4" s="18"/>
      <c r="AE4" s="260" t="s">
        <v>261</v>
      </c>
      <c r="AF4" s="284">
        <v>3.6997606321964398E-4</v>
      </c>
      <c r="AG4" s="18"/>
      <c r="AH4" s="18"/>
      <c r="AI4" s="18"/>
    </row>
    <row r="5" spans="1:37" x14ac:dyDescent="0.2">
      <c r="A5" s="280" t="s">
        <v>184</v>
      </c>
      <c r="B5" s="281"/>
      <c r="C5" s="281">
        <v>7.8E-2</v>
      </c>
      <c r="D5" s="281" t="s">
        <v>185</v>
      </c>
      <c r="E5" s="373" t="s">
        <v>1275</v>
      </c>
      <c r="F5" s="244" t="s">
        <v>179</v>
      </c>
      <c r="G5" s="280" t="s">
        <v>184</v>
      </c>
      <c r="H5" s="281"/>
      <c r="I5" s="281">
        <f>0.078/10*7</f>
        <v>5.4599999999999996E-2</v>
      </c>
      <c r="J5" s="281" t="s">
        <v>185</v>
      </c>
      <c r="K5" s="373" t="s">
        <v>1277</v>
      </c>
      <c r="M5" s="280" t="s">
        <v>184</v>
      </c>
      <c r="N5" s="281"/>
      <c r="O5" s="281">
        <f>0.078*2</f>
        <v>0.156</v>
      </c>
      <c r="P5" s="281" t="s">
        <v>185</v>
      </c>
      <c r="Q5" s="373" t="s">
        <v>1278</v>
      </c>
      <c r="S5" s="280" t="s">
        <v>184</v>
      </c>
      <c r="T5" s="281"/>
      <c r="U5" s="281">
        <v>7.8E-2</v>
      </c>
      <c r="V5" s="281" t="s">
        <v>185</v>
      </c>
      <c r="W5" s="373" t="s">
        <v>1275</v>
      </c>
      <c r="Y5" s="280" t="s">
        <v>184</v>
      </c>
      <c r="Z5" s="281"/>
      <c r="AA5" s="281">
        <v>7.8E-2</v>
      </c>
      <c r="AB5" s="281" t="s">
        <v>185</v>
      </c>
      <c r="AC5" s="373" t="s">
        <v>1275</v>
      </c>
      <c r="AD5" s="3" t="s">
        <v>87</v>
      </c>
      <c r="AE5" s="260" t="s">
        <v>262</v>
      </c>
      <c r="AF5" s="283">
        <v>4.6376779846445297E-3</v>
      </c>
      <c r="AJ5" s="244"/>
      <c r="AK5" s="244"/>
    </row>
    <row r="6" spans="1:37" s="1" customFormat="1" x14ac:dyDescent="0.2">
      <c r="A6" s="277" t="s">
        <v>187</v>
      </c>
      <c r="B6" s="278"/>
      <c r="C6" s="278"/>
      <c r="D6" s="278"/>
      <c r="E6" s="279"/>
      <c r="G6" s="277" t="s">
        <v>187</v>
      </c>
      <c r="H6" s="278"/>
      <c r="I6" s="278"/>
      <c r="J6" s="278"/>
      <c r="K6" s="279"/>
      <c r="M6" s="277" t="s">
        <v>187</v>
      </c>
      <c r="N6" s="278"/>
      <c r="O6" s="278"/>
      <c r="P6" s="278"/>
      <c r="Q6" s="279"/>
      <c r="S6" s="277" t="s">
        <v>187</v>
      </c>
      <c r="T6" s="278"/>
      <c r="U6" s="278"/>
      <c r="V6" s="278"/>
      <c r="W6" s="279"/>
      <c r="Y6" s="277" t="s">
        <v>187</v>
      </c>
      <c r="Z6" s="278"/>
      <c r="AA6" s="278"/>
      <c r="AB6" s="278"/>
      <c r="AC6" s="279"/>
      <c r="AD6" s="18"/>
      <c r="AE6" s="260" t="s">
        <v>263</v>
      </c>
      <c r="AF6" s="284">
        <v>2.4234027770183601E-3</v>
      </c>
      <c r="AG6" s="18"/>
      <c r="AH6" s="18"/>
      <c r="AI6" s="18"/>
    </row>
    <row r="7" spans="1:37" ht="15" x14ac:dyDescent="0.2">
      <c r="A7" s="280" t="s">
        <v>45</v>
      </c>
      <c r="B7" s="281"/>
      <c r="C7" s="281">
        <v>7.5000000000000011E-2</v>
      </c>
      <c r="D7" s="281" t="s">
        <v>2</v>
      </c>
      <c r="E7" s="282" t="s">
        <v>179</v>
      </c>
      <c r="F7" s="244" t="s">
        <v>179</v>
      </c>
      <c r="G7" s="280" t="s">
        <v>45</v>
      </c>
      <c r="H7" s="281"/>
      <c r="I7" s="281">
        <v>7.5000000000000011E-2</v>
      </c>
      <c r="J7" s="281" t="s">
        <v>2</v>
      </c>
      <c r="K7" s="282" t="s">
        <v>179</v>
      </c>
      <c r="M7" s="280" t="s">
        <v>45</v>
      </c>
      <c r="N7" s="281"/>
      <c r="O7" s="281">
        <v>7.5000000000000011E-2</v>
      </c>
      <c r="P7" s="281" t="s">
        <v>2</v>
      </c>
      <c r="Q7" s="282" t="s">
        <v>179</v>
      </c>
      <c r="S7" s="280" t="s">
        <v>152</v>
      </c>
      <c r="T7" s="281"/>
      <c r="U7" s="281">
        <v>7.5000000000000011E-2</v>
      </c>
      <c r="V7" s="281" t="s">
        <v>2</v>
      </c>
      <c r="W7" s="282" t="s">
        <v>179</v>
      </c>
      <c r="Y7" s="280" t="s">
        <v>1136</v>
      </c>
      <c r="Z7" s="281"/>
      <c r="AA7" s="281">
        <v>7.5000000000000011E-2</v>
      </c>
      <c r="AB7" s="281" t="s">
        <v>2</v>
      </c>
      <c r="AC7" s="282" t="s">
        <v>179</v>
      </c>
      <c r="AE7" s="260" t="s">
        <v>675</v>
      </c>
      <c r="AF7" s="283">
        <v>12.6415090670409</v>
      </c>
      <c r="AJ7" s="244"/>
      <c r="AK7" s="244"/>
    </row>
    <row r="8" spans="1:37" x14ac:dyDescent="0.2">
      <c r="A8" s="280" t="s">
        <v>88</v>
      </c>
      <c r="B8" s="281"/>
      <c r="C8" s="281">
        <v>0.02</v>
      </c>
      <c r="D8" s="281" t="s">
        <v>2</v>
      </c>
      <c r="E8" s="282" t="s">
        <v>179</v>
      </c>
      <c r="F8" s="244" t="s">
        <v>179</v>
      </c>
      <c r="G8" s="280" t="s">
        <v>88</v>
      </c>
      <c r="H8" s="281"/>
      <c r="I8" s="281">
        <v>0.02</v>
      </c>
      <c r="J8" s="281" t="s">
        <v>2</v>
      </c>
      <c r="K8" s="282" t="s">
        <v>179</v>
      </c>
      <c r="M8" s="280" t="s">
        <v>88</v>
      </c>
      <c r="N8" s="281"/>
      <c r="O8" s="281">
        <v>0.02</v>
      </c>
      <c r="P8" s="281" t="s">
        <v>2</v>
      </c>
      <c r="Q8" s="282" t="s">
        <v>179</v>
      </c>
      <c r="S8" s="280" t="s">
        <v>1256</v>
      </c>
      <c r="T8" s="281"/>
      <c r="U8" s="281">
        <v>0.02</v>
      </c>
      <c r="V8" s="281" t="s">
        <v>2</v>
      </c>
      <c r="W8" s="282" t="s">
        <v>179</v>
      </c>
      <c r="Y8" s="280" t="s">
        <v>1174</v>
      </c>
      <c r="Z8" s="281"/>
      <c r="AA8" s="281">
        <v>0.02</v>
      </c>
      <c r="AB8" s="281" t="s">
        <v>2</v>
      </c>
      <c r="AC8" s="282" t="s">
        <v>179</v>
      </c>
      <c r="AE8" s="260" t="s">
        <v>264</v>
      </c>
      <c r="AF8" s="283">
        <v>0.90129050427873902</v>
      </c>
      <c r="AJ8" s="244"/>
      <c r="AK8" s="244"/>
    </row>
    <row r="9" spans="1:37" x14ac:dyDescent="0.2">
      <c r="A9" s="280" t="s">
        <v>49</v>
      </c>
      <c r="B9" s="281"/>
      <c r="C9" s="281">
        <v>1.4999999999999998E-3</v>
      </c>
      <c r="D9" s="281" t="s">
        <v>2</v>
      </c>
      <c r="E9" s="282" t="s">
        <v>179</v>
      </c>
      <c r="F9" s="244" t="s">
        <v>179</v>
      </c>
      <c r="G9" s="280" t="s">
        <v>49</v>
      </c>
      <c r="H9" s="281"/>
      <c r="I9" s="281">
        <v>1.4999999999999998E-3</v>
      </c>
      <c r="J9" s="281" t="s">
        <v>2</v>
      </c>
      <c r="K9" s="282" t="s">
        <v>179</v>
      </c>
      <c r="M9" s="280" t="s">
        <v>49</v>
      </c>
      <c r="N9" s="281"/>
      <c r="O9" s="281">
        <v>1.4999999999999998E-3</v>
      </c>
      <c r="P9" s="281" t="s">
        <v>2</v>
      </c>
      <c r="Q9" s="282" t="s">
        <v>179</v>
      </c>
      <c r="S9" s="280" t="s">
        <v>1185</v>
      </c>
      <c r="T9" s="281"/>
      <c r="U9" s="281">
        <v>1.4999999999999998E-3</v>
      </c>
      <c r="V9" s="281" t="s">
        <v>2</v>
      </c>
      <c r="W9" s="282" t="s">
        <v>179</v>
      </c>
      <c r="Y9" s="280" t="s">
        <v>1211</v>
      </c>
      <c r="Z9" s="281"/>
      <c r="AA9" s="281">
        <v>1.4999999999999998E-3</v>
      </c>
      <c r="AB9" s="281" t="s">
        <v>2</v>
      </c>
      <c r="AC9" s="282" t="s">
        <v>179</v>
      </c>
      <c r="AE9" s="260" t="s">
        <v>266</v>
      </c>
      <c r="AF9" s="283">
        <v>2.9544519163398398E-7</v>
      </c>
      <c r="AG9" s="285">
        <f>AE108</f>
        <v>7.0691102403165116E-9</v>
      </c>
      <c r="AJ9" s="244"/>
      <c r="AK9" s="244"/>
    </row>
    <row r="10" spans="1:37" x14ac:dyDescent="0.2">
      <c r="A10" s="280" t="s">
        <v>146</v>
      </c>
      <c r="B10" s="281"/>
      <c r="C10" s="281">
        <v>2.5000000000000001E-3</v>
      </c>
      <c r="D10" s="281" t="s">
        <v>2</v>
      </c>
      <c r="E10" s="282"/>
      <c r="F10" s="244" t="s">
        <v>179</v>
      </c>
      <c r="G10" s="280" t="s">
        <v>146</v>
      </c>
      <c r="H10" s="281"/>
      <c r="I10" s="281">
        <v>2.5000000000000001E-3</v>
      </c>
      <c r="J10" s="281" t="s">
        <v>2</v>
      </c>
      <c r="K10" s="282"/>
      <c r="M10" s="280" t="s">
        <v>146</v>
      </c>
      <c r="N10" s="281"/>
      <c r="O10" s="281">
        <v>2.5000000000000001E-3</v>
      </c>
      <c r="P10" s="281" t="s">
        <v>2</v>
      </c>
      <c r="Q10" s="282"/>
      <c r="S10" s="280" t="s">
        <v>1257</v>
      </c>
      <c r="T10" s="281"/>
      <c r="U10" s="281">
        <v>2.5000000000000001E-3</v>
      </c>
      <c r="V10" s="281" t="s">
        <v>2</v>
      </c>
      <c r="W10" s="282"/>
      <c r="Y10" s="280" t="s">
        <v>1238</v>
      </c>
      <c r="Z10" s="281"/>
      <c r="AA10" s="281">
        <v>2.5000000000000001E-3</v>
      </c>
      <c r="AB10" s="281" t="s">
        <v>2</v>
      </c>
      <c r="AC10" s="282"/>
      <c r="AE10" s="260" t="s">
        <v>267</v>
      </c>
      <c r="AF10" s="283">
        <v>5.1634803054829203E-8</v>
      </c>
      <c r="AG10" s="285">
        <f>AD108</f>
        <v>2.902665309571184E-10</v>
      </c>
      <c r="AJ10" s="244"/>
      <c r="AK10" s="244"/>
    </row>
    <row r="11" spans="1:37" x14ac:dyDescent="0.2">
      <c r="A11" s="280" t="s">
        <v>142</v>
      </c>
      <c r="B11" s="281"/>
      <c r="C11" s="281">
        <v>1.4999999999999999E-2</v>
      </c>
      <c r="D11" s="281" t="s">
        <v>2</v>
      </c>
      <c r="E11" s="282"/>
      <c r="F11" s="244" t="s">
        <v>179</v>
      </c>
      <c r="G11" s="280" t="s">
        <v>142</v>
      </c>
      <c r="H11" s="281"/>
      <c r="I11" s="281">
        <v>1.4999999999999999E-2</v>
      </c>
      <c r="J11" s="281" t="s">
        <v>2</v>
      </c>
      <c r="K11" s="282"/>
      <c r="M11" s="280" t="s">
        <v>142</v>
      </c>
      <c r="N11" s="281"/>
      <c r="O11" s="281">
        <v>1.4999999999999999E-2</v>
      </c>
      <c r="P11" s="281" t="s">
        <v>2</v>
      </c>
      <c r="Q11" s="282"/>
      <c r="S11" s="280" t="s">
        <v>1111</v>
      </c>
      <c r="T11" s="281"/>
      <c r="U11" s="281">
        <v>1.4999999999999999E-2</v>
      </c>
      <c r="V11" s="281" t="s">
        <v>2</v>
      </c>
      <c r="W11" s="282"/>
      <c r="Y11" s="280" t="s">
        <v>1137</v>
      </c>
      <c r="Z11" s="281"/>
      <c r="AA11" s="281">
        <v>1.4999999999999999E-2</v>
      </c>
      <c r="AB11" s="281" t="s">
        <v>2</v>
      </c>
      <c r="AC11" s="282"/>
      <c r="AE11" s="260" t="s">
        <v>268</v>
      </c>
      <c r="AF11" s="283">
        <v>8.5321683392037109</v>
      </c>
      <c r="AG11" s="285">
        <f>AF108</f>
        <v>475.75455904442305</v>
      </c>
      <c r="AJ11" s="244"/>
      <c r="AK11" s="244"/>
    </row>
    <row r="12" spans="1:37" x14ac:dyDescent="0.2">
      <c r="A12" s="280" t="s">
        <v>102</v>
      </c>
      <c r="B12" s="281"/>
      <c r="C12" s="281">
        <v>0.01</v>
      </c>
      <c r="D12" s="281" t="s">
        <v>2</v>
      </c>
      <c r="E12" s="282"/>
      <c r="F12" s="244" t="s">
        <v>179</v>
      </c>
      <c r="G12" s="280" t="s">
        <v>102</v>
      </c>
      <c r="H12" s="281"/>
      <c r="I12" s="281">
        <v>0.01</v>
      </c>
      <c r="J12" s="281" t="s">
        <v>2</v>
      </c>
      <c r="K12" s="282"/>
      <c r="M12" s="280" t="s">
        <v>102</v>
      </c>
      <c r="N12" s="281"/>
      <c r="O12" s="281">
        <v>0.01</v>
      </c>
      <c r="P12" s="281" t="s">
        <v>2</v>
      </c>
      <c r="Q12" s="282"/>
      <c r="S12" s="280" t="s">
        <v>1167</v>
      </c>
      <c r="T12" s="281"/>
      <c r="U12" s="281">
        <v>0.01</v>
      </c>
      <c r="V12" s="281" t="s">
        <v>2</v>
      </c>
      <c r="W12" s="282"/>
      <c r="Y12" s="280" t="s">
        <v>1175</v>
      </c>
      <c r="Z12" s="281"/>
      <c r="AA12" s="281">
        <v>0.01</v>
      </c>
      <c r="AB12" s="281" t="s">
        <v>2</v>
      </c>
      <c r="AC12" s="282"/>
      <c r="AJ12" s="244"/>
      <c r="AK12" s="244"/>
    </row>
    <row r="13" spans="1:37" x14ac:dyDescent="0.2">
      <c r="A13" s="280" t="s">
        <v>147</v>
      </c>
      <c r="B13" s="281"/>
      <c r="C13" s="281">
        <v>1.4999999999999999E-2</v>
      </c>
      <c r="D13" s="281" t="s">
        <v>2</v>
      </c>
      <c r="E13" s="286"/>
      <c r="F13" s="244" t="s">
        <v>179</v>
      </c>
      <c r="G13" s="280" t="s">
        <v>147</v>
      </c>
      <c r="H13" s="281"/>
      <c r="I13" s="281">
        <v>1.4999999999999999E-2</v>
      </c>
      <c r="J13" s="281" t="s">
        <v>2</v>
      </c>
      <c r="K13" s="286"/>
      <c r="M13" s="280" t="s">
        <v>147</v>
      </c>
      <c r="N13" s="281"/>
      <c r="O13" s="281">
        <v>1.4999999999999999E-2</v>
      </c>
      <c r="P13" s="281" t="s">
        <v>2</v>
      </c>
      <c r="Q13" s="286"/>
      <c r="S13" s="280" t="s">
        <v>1258</v>
      </c>
      <c r="T13" s="281"/>
      <c r="U13" s="281">
        <v>1.4999999999999999E-2</v>
      </c>
      <c r="V13" s="281" t="s">
        <v>2</v>
      </c>
      <c r="W13" s="286"/>
      <c r="Y13" s="280" t="s">
        <v>1239</v>
      </c>
      <c r="Z13" s="281"/>
      <c r="AA13" s="281">
        <v>1.4999999999999999E-2</v>
      </c>
      <c r="AB13" s="281" t="s">
        <v>2</v>
      </c>
      <c r="AC13" s="286"/>
    </row>
    <row r="14" spans="1:37" x14ac:dyDescent="0.2">
      <c r="A14" s="280" t="s">
        <v>148</v>
      </c>
      <c r="B14" s="281"/>
      <c r="C14" s="281">
        <v>0.01</v>
      </c>
      <c r="D14" s="281" t="s">
        <v>2</v>
      </c>
      <c r="E14" s="286"/>
      <c r="G14" s="280" t="s">
        <v>148</v>
      </c>
      <c r="H14" s="281"/>
      <c r="I14" s="281">
        <v>0.01</v>
      </c>
      <c r="J14" s="281" t="s">
        <v>2</v>
      </c>
      <c r="K14" s="286"/>
      <c r="M14" s="280" t="s">
        <v>148</v>
      </c>
      <c r="N14" s="281"/>
      <c r="O14" s="281">
        <v>0.01</v>
      </c>
      <c r="P14" s="281" t="s">
        <v>2</v>
      </c>
      <c r="Q14" s="286"/>
      <c r="S14" s="280" t="s">
        <v>1259</v>
      </c>
      <c r="T14" s="281"/>
      <c r="U14" s="281">
        <v>0.01</v>
      </c>
      <c r="V14" s="281" t="s">
        <v>2</v>
      </c>
      <c r="W14" s="286"/>
      <c r="Y14" s="280" t="s">
        <v>1240</v>
      </c>
      <c r="Z14" s="281"/>
      <c r="AA14" s="281">
        <v>0.01</v>
      </c>
      <c r="AB14" s="281" t="s">
        <v>2</v>
      </c>
      <c r="AC14" s="286"/>
    </row>
    <row r="15" spans="1:37" x14ac:dyDescent="0.2">
      <c r="A15" s="280" t="s">
        <v>149</v>
      </c>
      <c r="B15" s="281"/>
      <c r="C15" s="281">
        <v>1.4999999999999999E-2</v>
      </c>
      <c r="D15" s="281" t="s">
        <v>2</v>
      </c>
      <c r="E15" s="286"/>
      <c r="G15" s="280" t="s">
        <v>149</v>
      </c>
      <c r="H15" s="281"/>
      <c r="I15" s="281">
        <v>1.4999999999999999E-2</v>
      </c>
      <c r="J15" s="281" t="s">
        <v>2</v>
      </c>
      <c r="K15" s="286"/>
      <c r="M15" s="280" t="s">
        <v>149</v>
      </c>
      <c r="N15" s="281"/>
      <c r="O15" s="281">
        <v>1.4999999999999999E-2</v>
      </c>
      <c r="P15" s="281" t="s">
        <v>2</v>
      </c>
      <c r="Q15" s="286"/>
      <c r="S15" s="280" t="s">
        <v>1260</v>
      </c>
      <c r="T15" s="281"/>
      <c r="U15" s="281">
        <v>1.4999999999999999E-2</v>
      </c>
      <c r="V15" s="281" t="s">
        <v>2</v>
      </c>
      <c r="W15" s="286"/>
      <c r="Y15" s="280" t="s">
        <v>1241</v>
      </c>
      <c r="Z15" s="281"/>
      <c r="AA15" s="281">
        <v>1.4999999999999999E-2</v>
      </c>
      <c r="AB15" s="281" t="s">
        <v>2</v>
      </c>
      <c r="AC15" s="286"/>
    </row>
    <row r="16" spans="1:37" x14ac:dyDescent="0.2">
      <c r="A16" s="280" t="s">
        <v>754</v>
      </c>
      <c r="B16" s="281"/>
      <c r="C16" s="281">
        <v>0.05</v>
      </c>
      <c r="D16" s="281" t="s">
        <v>2</v>
      </c>
      <c r="E16" s="287" t="s">
        <v>230</v>
      </c>
      <c r="G16" s="280" t="s">
        <v>754</v>
      </c>
      <c r="H16" s="281"/>
      <c r="I16" s="281">
        <v>0.05</v>
      </c>
      <c r="J16" s="281" t="s">
        <v>2</v>
      </c>
      <c r="K16" s="287"/>
      <c r="M16" s="280" t="s">
        <v>754</v>
      </c>
      <c r="N16" s="281"/>
      <c r="O16" s="281">
        <v>0.05</v>
      </c>
      <c r="P16" s="281" t="s">
        <v>2</v>
      </c>
      <c r="Q16" s="287"/>
      <c r="S16" s="280" t="s">
        <v>1261</v>
      </c>
      <c r="T16" s="281"/>
      <c r="U16" s="281">
        <v>0.05</v>
      </c>
      <c r="V16" s="281" t="s">
        <v>2</v>
      </c>
      <c r="W16" s="287"/>
      <c r="Y16" s="280" t="s">
        <v>1242</v>
      </c>
      <c r="Z16" s="281"/>
      <c r="AA16" s="281">
        <v>0.05</v>
      </c>
      <c r="AB16" s="281" t="s">
        <v>2</v>
      </c>
      <c r="AC16" s="287"/>
    </row>
    <row r="17" spans="1:37" x14ac:dyDescent="0.2">
      <c r="A17" s="280" t="s">
        <v>47</v>
      </c>
      <c r="B17" s="281"/>
      <c r="C17" s="281">
        <v>5.0000000000000001E-3</v>
      </c>
      <c r="D17" s="281" t="s">
        <v>2</v>
      </c>
      <c r="E17" s="286"/>
      <c r="G17" s="280" t="s">
        <v>47</v>
      </c>
      <c r="H17" s="281"/>
      <c r="I17" s="281">
        <v>5.0000000000000001E-3</v>
      </c>
      <c r="J17" s="281" t="s">
        <v>2</v>
      </c>
      <c r="K17" s="286"/>
      <c r="M17" s="280" t="s">
        <v>47</v>
      </c>
      <c r="N17" s="281"/>
      <c r="O17" s="281">
        <v>5.0000000000000001E-3</v>
      </c>
      <c r="P17" s="281" t="s">
        <v>2</v>
      </c>
      <c r="Q17" s="286"/>
      <c r="S17" s="280" t="s">
        <v>1113</v>
      </c>
      <c r="T17" s="281"/>
      <c r="U17" s="281">
        <v>5.0000000000000001E-3</v>
      </c>
      <c r="V17" s="281" t="s">
        <v>2</v>
      </c>
      <c r="W17" s="286"/>
      <c r="Y17" s="280" t="s">
        <v>1139</v>
      </c>
      <c r="Z17" s="281"/>
      <c r="AA17" s="281">
        <v>5.0000000000000001E-3</v>
      </c>
      <c r="AB17" s="281" t="s">
        <v>2</v>
      </c>
      <c r="AC17" s="286"/>
    </row>
    <row r="18" spans="1:37" x14ac:dyDescent="0.2">
      <c r="A18" s="280" t="s">
        <v>51</v>
      </c>
      <c r="B18" s="281"/>
      <c r="C18" s="281">
        <v>5.0000000000000001E-3</v>
      </c>
      <c r="D18" s="281" t="s">
        <v>2</v>
      </c>
      <c r="E18" s="286"/>
      <c r="G18" s="280" t="s">
        <v>51</v>
      </c>
      <c r="H18" s="281"/>
      <c r="I18" s="281">
        <v>5.0000000000000001E-3</v>
      </c>
      <c r="J18" s="281" t="s">
        <v>2</v>
      </c>
      <c r="K18" s="286"/>
      <c r="M18" s="280" t="s">
        <v>51</v>
      </c>
      <c r="N18" s="281"/>
      <c r="O18" s="281">
        <v>5.0000000000000001E-3</v>
      </c>
      <c r="P18" s="281" t="s">
        <v>2</v>
      </c>
      <c r="Q18" s="286"/>
      <c r="S18" s="280" t="s">
        <v>1187</v>
      </c>
      <c r="T18" s="281"/>
      <c r="U18" s="281">
        <v>5.0000000000000001E-3</v>
      </c>
      <c r="V18" s="281" t="s">
        <v>2</v>
      </c>
      <c r="W18" s="286"/>
      <c r="Y18" s="280" t="s">
        <v>1213</v>
      </c>
      <c r="Z18" s="281"/>
      <c r="AA18" s="281">
        <v>5.0000000000000001E-3</v>
      </c>
      <c r="AB18" s="281" t="s">
        <v>2</v>
      </c>
      <c r="AC18" s="286"/>
    </row>
    <row r="19" spans="1:37" x14ac:dyDescent="0.2">
      <c r="A19" s="280" t="s">
        <v>151</v>
      </c>
      <c r="B19" s="281"/>
      <c r="C19" s="281">
        <v>0.02</v>
      </c>
      <c r="D19" s="281" t="s">
        <v>2</v>
      </c>
      <c r="E19" s="286"/>
      <c r="G19" s="280" t="s">
        <v>151</v>
      </c>
      <c r="H19" s="281"/>
      <c r="I19" s="281">
        <v>0.02</v>
      </c>
      <c r="J19" s="281" t="s">
        <v>2</v>
      </c>
      <c r="K19" s="286"/>
      <c r="M19" s="280" t="s">
        <v>151</v>
      </c>
      <c r="N19" s="281"/>
      <c r="O19" s="281">
        <v>0.02</v>
      </c>
      <c r="P19" s="281" t="s">
        <v>2</v>
      </c>
      <c r="Q19" s="286"/>
      <c r="S19" s="280" t="s">
        <v>1262</v>
      </c>
      <c r="T19" s="281"/>
      <c r="U19" s="281">
        <v>0.02</v>
      </c>
      <c r="V19" s="281" t="s">
        <v>2</v>
      </c>
      <c r="W19" s="286"/>
      <c r="Y19" s="280" t="s">
        <v>1243</v>
      </c>
      <c r="Z19" s="281"/>
      <c r="AA19" s="281">
        <v>0.02</v>
      </c>
      <c r="AB19" s="281" t="s">
        <v>2</v>
      </c>
      <c r="AC19" s="286"/>
    </row>
    <row r="20" spans="1:37" x14ac:dyDescent="0.2">
      <c r="A20" s="280" t="s">
        <v>152</v>
      </c>
      <c r="B20" s="281"/>
      <c r="C20" s="281">
        <v>0.02</v>
      </c>
      <c r="D20" s="281" t="s">
        <v>2</v>
      </c>
      <c r="E20" s="286"/>
      <c r="G20" s="280" t="s">
        <v>152</v>
      </c>
      <c r="H20" s="281"/>
      <c r="I20" s="281">
        <v>0.02</v>
      </c>
      <c r="J20" s="281" t="s">
        <v>2</v>
      </c>
      <c r="K20" s="286"/>
      <c r="M20" s="280" t="s">
        <v>152</v>
      </c>
      <c r="N20" s="281"/>
      <c r="O20" s="281">
        <v>0.02</v>
      </c>
      <c r="P20" s="281" t="s">
        <v>2</v>
      </c>
      <c r="Q20" s="286"/>
      <c r="S20" s="280" t="s">
        <v>152</v>
      </c>
      <c r="T20" s="281"/>
      <c r="U20" s="281">
        <v>0.02</v>
      </c>
      <c r="V20" s="281" t="s">
        <v>2</v>
      </c>
      <c r="W20" s="286"/>
      <c r="Y20" s="280" t="s">
        <v>152</v>
      </c>
      <c r="Z20" s="281"/>
      <c r="AA20" s="281">
        <v>0.02</v>
      </c>
      <c r="AB20" s="281" t="s">
        <v>2</v>
      </c>
      <c r="AC20" s="286"/>
    </row>
    <row r="21" spans="1:37" x14ac:dyDescent="0.2">
      <c r="A21" s="280" t="s">
        <v>144</v>
      </c>
      <c r="B21" s="281"/>
      <c r="C21" s="281">
        <v>0.2</v>
      </c>
      <c r="D21" s="281" t="s">
        <v>2</v>
      </c>
      <c r="E21" s="286"/>
      <c r="G21" s="280" t="s">
        <v>144</v>
      </c>
      <c r="H21" s="281"/>
      <c r="I21" s="281">
        <v>0.2</v>
      </c>
      <c r="J21" s="281" t="s">
        <v>2</v>
      </c>
      <c r="K21" s="286"/>
      <c r="M21" s="280" t="s">
        <v>144</v>
      </c>
      <c r="N21" s="281"/>
      <c r="O21" s="281">
        <v>0.2</v>
      </c>
      <c r="P21" s="281" t="s">
        <v>2</v>
      </c>
      <c r="Q21" s="286"/>
      <c r="S21" s="280" t="s">
        <v>1117</v>
      </c>
      <c r="T21" s="281"/>
      <c r="U21" s="281">
        <v>0.2</v>
      </c>
      <c r="V21" s="281" t="s">
        <v>2</v>
      </c>
      <c r="W21" s="286"/>
      <c r="Y21" s="280" t="s">
        <v>1143</v>
      </c>
      <c r="Z21" s="281"/>
      <c r="AA21" s="281">
        <v>0.2</v>
      </c>
      <c r="AB21" s="281" t="s">
        <v>2</v>
      </c>
      <c r="AC21" s="286"/>
    </row>
    <row r="22" spans="1:37" x14ac:dyDescent="0.2">
      <c r="A22" s="280" t="s">
        <v>191</v>
      </c>
      <c r="B22" s="281"/>
      <c r="C22" s="281">
        <v>7.5000000000000011E-2</v>
      </c>
      <c r="D22" s="281" t="s">
        <v>2</v>
      </c>
      <c r="E22" s="282" t="s">
        <v>179</v>
      </c>
      <c r="F22" s="244" t="s">
        <v>179</v>
      </c>
      <c r="G22" s="280" t="s">
        <v>191</v>
      </c>
      <c r="H22" s="281"/>
      <c r="I22" s="281">
        <v>7.5000000000000011E-2</v>
      </c>
      <c r="J22" s="281" t="s">
        <v>2</v>
      </c>
      <c r="K22" s="324" t="s">
        <v>283</v>
      </c>
      <c r="M22" s="280" t="s">
        <v>191</v>
      </c>
      <c r="N22" s="281"/>
      <c r="O22" s="281">
        <v>7.5000000000000011E-2</v>
      </c>
      <c r="P22" s="281" t="s">
        <v>2</v>
      </c>
      <c r="Q22" s="324" t="s">
        <v>1237</v>
      </c>
      <c r="S22" s="280" t="s">
        <v>285</v>
      </c>
      <c r="T22" s="281"/>
      <c r="U22" s="281">
        <v>7.5000000000000011E-2</v>
      </c>
      <c r="V22" s="281" t="s">
        <v>2</v>
      </c>
      <c r="W22" s="282"/>
      <c r="Y22" s="280" t="s">
        <v>1145</v>
      </c>
      <c r="Z22" s="281"/>
      <c r="AA22" s="281">
        <v>7.5000000000000011E-2</v>
      </c>
      <c r="AB22" s="281" t="s">
        <v>2</v>
      </c>
      <c r="AC22" s="282"/>
      <c r="AJ22" s="244"/>
      <c r="AK22" s="244"/>
    </row>
    <row r="23" spans="1:37" x14ac:dyDescent="0.2">
      <c r="A23" s="280" t="s">
        <v>231</v>
      </c>
      <c r="B23" s="281"/>
      <c r="C23" s="281">
        <v>0.02</v>
      </c>
      <c r="D23" s="281" t="s">
        <v>2</v>
      </c>
      <c r="E23" s="282" t="s">
        <v>179</v>
      </c>
      <c r="F23" s="244" t="s">
        <v>179</v>
      </c>
      <c r="G23" s="280" t="s">
        <v>231</v>
      </c>
      <c r="H23" s="281"/>
      <c r="I23" s="281">
        <v>0.02</v>
      </c>
      <c r="J23" s="281" t="s">
        <v>2</v>
      </c>
      <c r="K23" s="324" t="s">
        <v>283</v>
      </c>
      <c r="M23" s="280" t="s">
        <v>231</v>
      </c>
      <c r="N23" s="281"/>
      <c r="O23" s="281">
        <v>0.02</v>
      </c>
      <c r="P23" s="281" t="s">
        <v>2</v>
      </c>
      <c r="Q23" s="324" t="s">
        <v>1237</v>
      </c>
      <c r="S23" s="280" t="s">
        <v>1169</v>
      </c>
      <c r="T23" s="281"/>
      <c r="U23" s="281">
        <v>0.02</v>
      </c>
      <c r="V23" s="281" t="s">
        <v>2</v>
      </c>
      <c r="W23" s="282"/>
      <c r="Y23" s="280" t="s">
        <v>1177</v>
      </c>
      <c r="Z23" s="281"/>
      <c r="AA23" s="281">
        <v>0.02</v>
      </c>
      <c r="AB23" s="281" t="s">
        <v>2</v>
      </c>
      <c r="AC23" s="282"/>
      <c r="AJ23" s="244"/>
      <c r="AK23" s="244"/>
    </row>
    <row r="24" spans="1:37" x14ac:dyDescent="0.2">
      <c r="A24" s="280" t="s">
        <v>717</v>
      </c>
      <c r="B24" s="281"/>
      <c r="C24" s="281">
        <v>1.4999999999999998E-3</v>
      </c>
      <c r="D24" s="281" t="s">
        <v>2</v>
      </c>
      <c r="E24" s="282" t="s">
        <v>179</v>
      </c>
      <c r="F24" s="244" t="s">
        <v>179</v>
      </c>
      <c r="G24" s="280" t="s">
        <v>717</v>
      </c>
      <c r="H24" s="281"/>
      <c r="I24" s="281">
        <v>1.4999999999999998E-3</v>
      </c>
      <c r="J24" s="281" t="s">
        <v>2</v>
      </c>
      <c r="K24" s="324" t="s">
        <v>283</v>
      </c>
      <c r="M24" s="280" t="s">
        <v>717</v>
      </c>
      <c r="N24" s="281"/>
      <c r="O24" s="281">
        <v>1.4999999999999998E-3</v>
      </c>
      <c r="P24" s="281" t="s">
        <v>2</v>
      </c>
      <c r="Q24" s="324" t="s">
        <v>1237</v>
      </c>
      <c r="S24" s="280" t="s">
        <v>1193</v>
      </c>
      <c r="T24" s="281"/>
      <c r="U24" s="281">
        <v>1.4999999999999998E-3</v>
      </c>
      <c r="V24" s="281" t="s">
        <v>2</v>
      </c>
      <c r="W24" s="282"/>
      <c r="Y24" s="280" t="s">
        <v>1219</v>
      </c>
      <c r="Z24" s="281"/>
      <c r="AA24" s="281">
        <v>1.4999999999999998E-3</v>
      </c>
      <c r="AB24" s="281" t="s">
        <v>2</v>
      </c>
      <c r="AC24" s="282"/>
      <c r="AJ24" s="244"/>
      <c r="AK24" s="244"/>
    </row>
    <row r="25" spans="1:37" x14ac:dyDescent="0.2">
      <c r="A25" s="280" t="s">
        <v>742</v>
      </c>
      <c r="B25" s="281"/>
      <c r="C25" s="281">
        <v>2.5000000000000001E-3</v>
      </c>
      <c r="D25" s="281" t="s">
        <v>2</v>
      </c>
      <c r="E25" s="282"/>
      <c r="F25" s="244" t="s">
        <v>179</v>
      </c>
      <c r="G25" s="280" t="s">
        <v>742</v>
      </c>
      <c r="H25" s="281"/>
      <c r="I25" s="281">
        <v>2.5000000000000001E-3</v>
      </c>
      <c r="J25" s="281" t="s">
        <v>2</v>
      </c>
      <c r="K25" s="324" t="s">
        <v>283</v>
      </c>
      <c r="M25" s="280" t="s">
        <v>742</v>
      </c>
      <c r="N25" s="281"/>
      <c r="O25" s="281">
        <v>2.5000000000000001E-3</v>
      </c>
      <c r="P25" s="281" t="s">
        <v>2</v>
      </c>
      <c r="Q25" s="324" t="s">
        <v>1237</v>
      </c>
      <c r="S25" s="280" t="s">
        <v>1263</v>
      </c>
      <c r="T25" s="281"/>
      <c r="U25" s="281">
        <v>2.5000000000000001E-3</v>
      </c>
      <c r="V25" s="281" t="s">
        <v>2</v>
      </c>
      <c r="W25" s="282"/>
      <c r="Y25" s="280" t="s">
        <v>1244</v>
      </c>
      <c r="Z25" s="281"/>
      <c r="AA25" s="281">
        <v>2.5000000000000001E-3</v>
      </c>
      <c r="AB25" s="281" t="s">
        <v>2</v>
      </c>
      <c r="AC25" s="282"/>
      <c r="AJ25" s="244"/>
      <c r="AK25" s="244"/>
    </row>
    <row r="26" spans="1:37" x14ac:dyDescent="0.2">
      <c r="A26" s="280" t="s">
        <v>192</v>
      </c>
      <c r="B26" s="281"/>
      <c r="C26" s="281">
        <v>1.4999999999999999E-2</v>
      </c>
      <c r="D26" s="281" t="s">
        <v>2</v>
      </c>
      <c r="E26" s="282"/>
      <c r="F26" s="244" t="s">
        <v>179</v>
      </c>
      <c r="G26" s="280" t="s">
        <v>192</v>
      </c>
      <c r="H26" s="281"/>
      <c r="I26" s="281">
        <v>1.4999999999999999E-2</v>
      </c>
      <c r="J26" s="281" t="s">
        <v>2</v>
      </c>
      <c r="K26" s="324" t="s">
        <v>283</v>
      </c>
      <c r="M26" s="280" t="s">
        <v>192</v>
      </c>
      <c r="N26" s="281"/>
      <c r="O26" s="281">
        <v>1.4999999999999999E-2</v>
      </c>
      <c r="P26" s="281" t="s">
        <v>2</v>
      </c>
      <c r="Q26" s="324" t="s">
        <v>1237</v>
      </c>
      <c r="S26" s="280" t="s">
        <v>1119</v>
      </c>
      <c r="T26" s="281"/>
      <c r="U26" s="281">
        <v>1.4999999999999999E-2</v>
      </c>
      <c r="V26" s="281" t="s">
        <v>2</v>
      </c>
      <c r="W26" s="282"/>
      <c r="Y26" s="280" t="s">
        <v>1146</v>
      </c>
      <c r="Z26" s="281"/>
      <c r="AA26" s="281">
        <v>1.4999999999999999E-2</v>
      </c>
      <c r="AB26" s="281" t="s">
        <v>2</v>
      </c>
      <c r="AC26" s="282"/>
      <c r="AJ26" s="244"/>
      <c r="AK26" s="244"/>
    </row>
    <row r="27" spans="1:37" x14ac:dyDescent="0.2">
      <c r="A27" s="280" t="s">
        <v>702</v>
      </c>
      <c r="B27" s="281"/>
      <c r="C27" s="281">
        <v>0.01</v>
      </c>
      <c r="D27" s="281" t="s">
        <v>2</v>
      </c>
      <c r="E27" s="282"/>
      <c r="F27" s="244" t="s">
        <v>179</v>
      </c>
      <c r="G27" s="280" t="s">
        <v>702</v>
      </c>
      <c r="H27" s="281"/>
      <c r="I27" s="281">
        <v>0.01</v>
      </c>
      <c r="J27" s="281" t="s">
        <v>2</v>
      </c>
      <c r="K27" s="324" t="s">
        <v>283</v>
      </c>
      <c r="M27" s="280" t="s">
        <v>702</v>
      </c>
      <c r="N27" s="281"/>
      <c r="O27" s="281">
        <v>0.01</v>
      </c>
      <c r="P27" s="281" t="s">
        <v>2</v>
      </c>
      <c r="Q27" s="324" t="s">
        <v>1237</v>
      </c>
      <c r="S27" s="280" t="s">
        <v>1170</v>
      </c>
      <c r="T27" s="281"/>
      <c r="U27" s="281">
        <v>0.01</v>
      </c>
      <c r="V27" s="281" t="s">
        <v>2</v>
      </c>
      <c r="W27" s="282"/>
      <c r="Y27" s="280" t="s">
        <v>1178</v>
      </c>
      <c r="Z27" s="281"/>
      <c r="AA27" s="281">
        <v>0.01</v>
      </c>
      <c r="AB27" s="281" t="s">
        <v>2</v>
      </c>
      <c r="AC27" s="282"/>
      <c r="AJ27" s="244"/>
      <c r="AK27" s="244"/>
    </row>
    <row r="28" spans="1:37" x14ac:dyDescent="0.2">
      <c r="A28" s="280" t="s">
        <v>743</v>
      </c>
      <c r="B28" s="281"/>
      <c r="C28" s="281">
        <v>1.4999999999999999E-2</v>
      </c>
      <c r="D28" s="281" t="s">
        <v>2</v>
      </c>
      <c r="E28" s="286"/>
      <c r="F28" s="244" t="s">
        <v>179</v>
      </c>
      <c r="G28" s="280" t="s">
        <v>743</v>
      </c>
      <c r="H28" s="281"/>
      <c r="I28" s="281">
        <v>1.4999999999999999E-2</v>
      </c>
      <c r="J28" s="281" t="s">
        <v>2</v>
      </c>
      <c r="K28" s="324" t="s">
        <v>283</v>
      </c>
      <c r="M28" s="280" t="s">
        <v>743</v>
      </c>
      <c r="N28" s="281"/>
      <c r="O28" s="281">
        <v>1.4999999999999999E-2</v>
      </c>
      <c r="P28" s="281" t="s">
        <v>2</v>
      </c>
      <c r="Q28" s="324" t="s">
        <v>1237</v>
      </c>
      <c r="S28" s="280" t="s">
        <v>1264</v>
      </c>
      <c r="T28" s="281"/>
      <c r="U28" s="281">
        <v>1.4999999999999999E-2</v>
      </c>
      <c r="V28" s="281" t="s">
        <v>2</v>
      </c>
      <c r="W28" s="286"/>
      <c r="Y28" s="280" t="s">
        <v>1245</v>
      </c>
      <c r="Z28" s="281"/>
      <c r="AA28" s="281">
        <v>1.4999999999999999E-2</v>
      </c>
      <c r="AB28" s="281" t="s">
        <v>2</v>
      </c>
      <c r="AC28" s="286"/>
    </row>
    <row r="29" spans="1:37" x14ac:dyDescent="0.2">
      <c r="A29" s="280" t="s">
        <v>744</v>
      </c>
      <c r="B29" s="281"/>
      <c r="C29" s="281">
        <v>0.01</v>
      </c>
      <c r="D29" s="281" t="s">
        <v>2</v>
      </c>
      <c r="E29" s="286"/>
      <c r="G29" s="280" t="s">
        <v>744</v>
      </c>
      <c r="H29" s="281"/>
      <c r="I29" s="281">
        <v>0.01</v>
      </c>
      <c r="J29" s="281" t="s">
        <v>2</v>
      </c>
      <c r="K29" s="324" t="s">
        <v>283</v>
      </c>
      <c r="M29" s="280" t="s">
        <v>744</v>
      </c>
      <c r="N29" s="281"/>
      <c r="O29" s="281">
        <v>0.01</v>
      </c>
      <c r="P29" s="281" t="s">
        <v>2</v>
      </c>
      <c r="Q29" s="324" t="s">
        <v>1237</v>
      </c>
      <c r="S29" s="280" t="s">
        <v>1265</v>
      </c>
      <c r="T29" s="281"/>
      <c r="U29" s="281">
        <v>0.01</v>
      </c>
      <c r="V29" s="281" t="s">
        <v>2</v>
      </c>
      <c r="W29" s="286"/>
      <c r="Y29" s="280" t="s">
        <v>1246</v>
      </c>
      <c r="Z29" s="281"/>
      <c r="AA29" s="281">
        <v>0.01</v>
      </c>
      <c r="AB29" s="281" t="s">
        <v>2</v>
      </c>
      <c r="AC29" s="286"/>
    </row>
    <row r="30" spans="1:37" x14ac:dyDescent="0.2">
      <c r="A30" s="280" t="s">
        <v>745</v>
      </c>
      <c r="B30" s="281"/>
      <c r="C30" s="281">
        <v>1.4999999999999999E-2</v>
      </c>
      <c r="D30" s="281" t="s">
        <v>2</v>
      </c>
      <c r="E30" s="286"/>
      <c r="G30" s="280" t="s">
        <v>745</v>
      </c>
      <c r="H30" s="281"/>
      <c r="I30" s="281">
        <v>1.4999999999999999E-2</v>
      </c>
      <c r="J30" s="281" t="s">
        <v>2</v>
      </c>
      <c r="K30" s="324" t="s">
        <v>283</v>
      </c>
      <c r="M30" s="280" t="s">
        <v>745</v>
      </c>
      <c r="N30" s="281"/>
      <c r="O30" s="281">
        <v>1.4999999999999999E-2</v>
      </c>
      <c r="P30" s="281" t="s">
        <v>2</v>
      </c>
      <c r="Q30" s="324" t="s">
        <v>1237</v>
      </c>
      <c r="S30" s="280" t="s">
        <v>1266</v>
      </c>
      <c r="T30" s="281"/>
      <c r="U30" s="281">
        <v>1.4999999999999999E-2</v>
      </c>
      <c r="V30" s="281" t="s">
        <v>2</v>
      </c>
      <c r="W30" s="286"/>
      <c r="Y30" s="280" t="s">
        <v>1247</v>
      </c>
      <c r="Z30" s="281"/>
      <c r="AA30" s="281">
        <v>1.4999999999999999E-2</v>
      </c>
      <c r="AB30" s="281" t="s">
        <v>2</v>
      </c>
      <c r="AC30" s="286"/>
    </row>
    <row r="31" spans="1:37" x14ac:dyDescent="0.2">
      <c r="A31" s="280" t="s">
        <v>755</v>
      </c>
      <c r="B31" s="281"/>
      <c r="C31" s="281">
        <v>0.05</v>
      </c>
      <c r="D31" s="281" t="s">
        <v>2</v>
      </c>
      <c r="E31" s="286"/>
      <c r="G31" s="280" t="s">
        <v>755</v>
      </c>
      <c r="H31" s="281"/>
      <c r="I31" s="281">
        <v>0.05</v>
      </c>
      <c r="J31" s="281" t="s">
        <v>2</v>
      </c>
      <c r="K31" s="324" t="s">
        <v>283</v>
      </c>
      <c r="M31" s="280" t="s">
        <v>755</v>
      </c>
      <c r="N31" s="281"/>
      <c r="O31" s="281">
        <v>0.05</v>
      </c>
      <c r="P31" s="281" t="s">
        <v>2</v>
      </c>
      <c r="Q31" s="324" t="s">
        <v>1237</v>
      </c>
      <c r="S31" s="280" t="s">
        <v>1267</v>
      </c>
      <c r="T31" s="281"/>
      <c r="U31" s="281">
        <v>0.05</v>
      </c>
      <c r="V31" s="281" t="s">
        <v>2</v>
      </c>
      <c r="W31" s="286"/>
      <c r="Y31" s="280" t="s">
        <v>1248</v>
      </c>
      <c r="Z31" s="281"/>
      <c r="AA31" s="281">
        <v>0.05</v>
      </c>
      <c r="AB31" s="281" t="s">
        <v>2</v>
      </c>
      <c r="AC31" s="286"/>
    </row>
    <row r="32" spans="1:37" x14ac:dyDescent="0.2">
      <c r="A32" s="280" t="s">
        <v>703</v>
      </c>
      <c r="B32" s="281"/>
      <c r="C32" s="281">
        <v>0</v>
      </c>
      <c r="D32" s="281" t="s">
        <v>2</v>
      </c>
      <c r="E32" s="282" t="s">
        <v>271</v>
      </c>
      <c r="G32" s="280" t="s">
        <v>703</v>
      </c>
      <c r="H32" s="281"/>
      <c r="I32" s="281">
        <v>0</v>
      </c>
      <c r="J32" s="281" t="s">
        <v>2</v>
      </c>
      <c r="K32" s="324" t="s">
        <v>283</v>
      </c>
      <c r="M32" s="280" t="s">
        <v>703</v>
      </c>
      <c r="N32" s="281"/>
      <c r="O32" s="281">
        <v>0</v>
      </c>
      <c r="P32" s="281" t="s">
        <v>2</v>
      </c>
      <c r="Q32" s="324" t="s">
        <v>1237</v>
      </c>
      <c r="S32" s="280" t="s">
        <v>1121</v>
      </c>
      <c r="T32" s="281"/>
      <c r="U32" s="281">
        <v>0</v>
      </c>
      <c r="V32" s="281" t="s">
        <v>2</v>
      </c>
      <c r="W32" s="282"/>
      <c r="Y32" s="280" t="s">
        <v>1148</v>
      </c>
      <c r="Z32" s="281"/>
      <c r="AA32" s="281">
        <v>0</v>
      </c>
      <c r="AB32" s="281" t="s">
        <v>2</v>
      </c>
      <c r="AC32" s="282"/>
    </row>
    <row r="33" spans="1:37" x14ac:dyDescent="0.2">
      <c r="A33" s="280" t="s">
        <v>719</v>
      </c>
      <c r="B33" s="281"/>
      <c r="C33" s="281">
        <v>5.0000000000000001E-3</v>
      </c>
      <c r="D33" s="281" t="s">
        <v>2</v>
      </c>
      <c r="E33" s="286"/>
      <c r="G33" s="280" t="s">
        <v>719</v>
      </c>
      <c r="H33" s="281"/>
      <c r="I33" s="281">
        <v>5.0000000000000001E-3</v>
      </c>
      <c r="J33" s="281" t="s">
        <v>2</v>
      </c>
      <c r="K33" s="324" t="s">
        <v>283</v>
      </c>
      <c r="M33" s="280" t="s">
        <v>719</v>
      </c>
      <c r="N33" s="281"/>
      <c r="O33" s="281">
        <v>5.0000000000000001E-3</v>
      </c>
      <c r="P33" s="281" t="s">
        <v>2</v>
      </c>
      <c r="Q33" s="324" t="s">
        <v>1237</v>
      </c>
      <c r="S33" s="280" t="s">
        <v>1195</v>
      </c>
      <c r="T33" s="281"/>
      <c r="U33" s="281">
        <v>5.0000000000000001E-3</v>
      </c>
      <c r="V33" s="281" t="s">
        <v>2</v>
      </c>
      <c r="W33" s="286"/>
      <c r="Y33" s="280" t="s">
        <v>1221</v>
      </c>
      <c r="Z33" s="281"/>
      <c r="AA33" s="281">
        <v>5.0000000000000001E-3</v>
      </c>
      <c r="AB33" s="281" t="s">
        <v>2</v>
      </c>
      <c r="AC33" s="286"/>
    </row>
    <row r="34" spans="1:37" x14ac:dyDescent="0.2">
      <c r="A34" s="280" t="s">
        <v>747</v>
      </c>
      <c r="B34" s="281"/>
      <c r="C34" s="281">
        <v>0.02</v>
      </c>
      <c r="D34" s="281" t="s">
        <v>2</v>
      </c>
      <c r="E34" s="286"/>
      <c r="G34" s="280" t="s">
        <v>747</v>
      </c>
      <c r="H34" s="281"/>
      <c r="I34" s="281">
        <v>0.02</v>
      </c>
      <c r="J34" s="281" t="s">
        <v>2</v>
      </c>
      <c r="K34" s="324" t="s">
        <v>283</v>
      </c>
      <c r="M34" s="280" t="s">
        <v>747</v>
      </c>
      <c r="N34" s="281"/>
      <c r="O34" s="281">
        <v>0.02</v>
      </c>
      <c r="P34" s="281" t="s">
        <v>2</v>
      </c>
      <c r="Q34" s="324" t="s">
        <v>1237</v>
      </c>
      <c r="S34" s="280" t="s">
        <v>1268</v>
      </c>
      <c r="T34" s="281"/>
      <c r="U34" s="281">
        <v>0.02</v>
      </c>
      <c r="V34" s="281" t="s">
        <v>2</v>
      </c>
      <c r="W34" s="286"/>
      <c r="Y34" s="280" t="s">
        <v>1249</v>
      </c>
      <c r="Z34" s="281"/>
      <c r="AA34" s="281">
        <v>0.02</v>
      </c>
      <c r="AB34" s="281" t="s">
        <v>2</v>
      </c>
      <c r="AC34" s="286"/>
    </row>
    <row r="35" spans="1:37" x14ac:dyDescent="0.2">
      <c r="A35" s="280" t="s">
        <v>285</v>
      </c>
      <c r="B35" s="281"/>
      <c r="C35" s="281">
        <v>0.02</v>
      </c>
      <c r="D35" s="281" t="s">
        <v>2</v>
      </c>
      <c r="E35" s="286"/>
      <c r="G35" s="280" t="s">
        <v>285</v>
      </c>
      <c r="H35" s="281"/>
      <c r="I35" s="281">
        <v>0.02</v>
      </c>
      <c r="J35" s="281" t="s">
        <v>2</v>
      </c>
      <c r="K35" s="324" t="s">
        <v>283</v>
      </c>
      <c r="M35" s="280" t="s">
        <v>285</v>
      </c>
      <c r="N35" s="281"/>
      <c r="O35" s="281">
        <v>0.02</v>
      </c>
      <c r="P35" s="281" t="s">
        <v>2</v>
      </c>
      <c r="Q35" s="324" t="s">
        <v>1237</v>
      </c>
      <c r="S35" s="280" t="s">
        <v>285</v>
      </c>
      <c r="T35" s="281"/>
      <c r="U35" s="281">
        <v>0.02</v>
      </c>
      <c r="V35" s="281" t="s">
        <v>2</v>
      </c>
      <c r="W35" s="286"/>
      <c r="Y35" s="280" t="s">
        <v>285</v>
      </c>
      <c r="Z35" s="281"/>
      <c r="AA35" s="281">
        <v>0.02</v>
      </c>
      <c r="AB35" s="281" t="s">
        <v>2</v>
      </c>
      <c r="AC35" s="286"/>
    </row>
    <row r="36" spans="1:37" x14ac:dyDescent="0.2">
      <c r="A36" s="280" t="s">
        <v>705</v>
      </c>
      <c r="B36" s="281"/>
      <c r="C36" s="281">
        <v>0.2</v>
      </c>
      <c r="D36" s="281" t="s">
        <v>2</v>
      </c>
      <c r="E36" s="286"/>
      <c r="G36" s="280" t="s">
        <v>705</v>
      </c>
      <c r="H36" s="281"/>
      <c r="I36" s="281">
        <v>0.2</v>
      </c>
      <c r="J36" s="281" t="s">
        <v>2</v>
      </c>
      <c r="K36" s="324" t="s">
        <v>283</v>
      </c>
      <c r="M36" s="280" t="s">
        <v>705</v>
      </c>
      <c r="N36" s="281"/>
      <c r="O36" s="281">
        <v>0.2</v>
      </c>
      <c r="P36" s="281" t="s">
        <v>2</v>
      </c>
      <c r="Q36" s="324" t="s">
        <v>1237</v>
      </c>
      <c r="S36" s="280" t="s">
        <v>1125</v>
      </c>
      <c r="T36" s="281"/>
      <c r="U36" s="281">
        <v>0.2</v>
      </c>
      <c r="V36" s="281" t="s">
        <v>2</v>
      </c>
      <c r="W36" s="286"/>
      <c r="Y36" s="280" t="s">
        <v>1152</v>
      </c>
      <c r="Z36" s="281"/>
      <c r="AA36" s="281">
        <v>0.2</v>
      </c>
      <c r="AB36" s="281" t="s">
        <v>2</v>
      </c>
      <c r="AC36" s="286"/>
    </row>
    <row r="37" spans="1:37" x14ac:dyDescent="0.2">
      <c r="A37" s="280" t="s">
        <v>706</v>
      </c>
      <c r="B37" s="281"/>
      <c r="C37" s="281">
        <v>7.5000000000000011E-2</v>
      </c>
      <c r="D37" s="281" t="s">
        <v>2</v>
      </c>
      <c r="E37" s="282" t="s">
        <v>179</v>
      </c>
      <c r="F37" s="244" t="s">
        <v>179</v>
      </c>
      <c r="G37" s="280" t="s">
        <v>706</v>
      </c>
      <c r="H37" s="281"/>
      <c r="I37" s="281">
        <v>7.5000000000000011E-2</v>
      </c>
      <c r="J37" s="281" t="s">
        <v>2</v>
      </c>
      <c r="K37" s="324" t="s">
        <v>283</v>
      </c>
      <c r="M37" s="280" t="s">
        <v>706</v>
      </c>
      <c r="N37" s="281"/>
      <c r="O37" s="281">
        <v>7.5000000000000011E-2</v>
      </c>
      <c r="P37" s="281" t="s">
        <v>2</v>
      </c>
      <c r="Q37" s="324" t="s">
        <v>1237</v>
      </c>
      <c r="S37" s="280" t="s">
        <v>753</v>
      </c>
      <c r="T37" s="281"/>
      <c r="U37" s="281">
        <v>7.5000000000000011E-2</v>
      </c>
      <c r="V37" s="281" t="s">
        <v>2</v>
      </c>
      <c r="W37" s="282"/>
      <c r="Y37" s="280" t="s">
        <v>1180</v>
      </c>
      <c r="Z37" s="281"/>
      <c r="AA37" s="281">
        <v>7.5000000000000011E-2</v>
      </c>
      <c r="AB37" s="281" t="s">
        <v>2</v>
      </c>
      <c r="AC37" s="282"/>
      <c r="AJ37" s="244"/>
      <c r="AK37" s="244"/>
    </row>
    <row r="38" spans="1:37" x14ac:dyDescent="0.2">
      <c r="A38" s="280" t="s">
        <v>232</v>
      </c>
      <c r="B38" s="281"/>
      <c r="C38" s="281">
        <v>0.02</v>
      </c>
      <c r="D38" s="281" t="s">
        <v>2</v>
      </c>
      <c r="E38" s="282" t="s">
        <v>179</v>
      </c>
      <c r="F38" s="244" t="s">
        <v>179</v>
      </c>
      <c r="G38" s="280" t="s">
        <v>232</v>
      </c>
      <c r="H38" s="281"/>
      <c r="I38" s="281">
        <v>0.02</v>
      </c>
      <c r="J38" s="281" t="s">
        <v>2</v>
      </c>
      <c r="K38" s="324" t="s">
        <v>283</v>
      </c>
      <c r="M38" s="280" t="s">
        <v>232</v>
      </c>
      <c r="N38" s="281"/>
      <c r="O38" s="281">
        <v>0.02</v>
      </c>
      <c r="P38" s="281" t="s">
        <v>2</v>
      </c>
      <c r="Q38" s="324" t="s">
        <v>1237</v>
      </c>
      <c r="S38" s="280" t="s">
        <v>1171</v>
      </c>
      <c r="T38" s="281"/>
      <c r="U38" s="281">
        <v>0.02</v>
      </c>
      <c r="V38" s="281" t="s">
        <v>2</v>
      </c>
      <c r="W38" s="282"/>
      <c r="Y38" s="280" t="s">
        <v>1179</v>
      </c>
      <c r="Z38" s="281"/>
      <c r="AA38" s="281">
        <v>0.02</v>
      </c>
      <c r="AB38" s="281" t="s">
        <v>2</v>
      </c>
      <c r="AC38" s="282" t="s">
        <v>179</v>
      </c>
      <c r="AJ38" s="244"/>
      <c r="AK38" s="244"/>
    </row>
    <row r="39" spans="1:37" x14ac:dyDescent="0.2">
      <c r="A39" s="280" t="s">
        <v>233</v>
      </c>
      <c r="B39" s="281"/>
      <c r="C39" s="281">
        <v>1.4999999999999998E-3</v>
      </c>
      <c r="D39" s="281" t="s">
        <v>2</v>
      </c>
      <c r="E39" s="282" t="s">
        <v>179</v>
      </c>
      <c r="F39" s="244" t="s">
        <v>179</v>
      </c>
      <c r="G39" s="280" t="s">
        <v>233</v>
      </c>
      <c r="H39" s="281"/>
      <c r="I39" s="281">
        <v>1.4999999999999998E-3</v>
      </c>
      <c r="J39" s="281" t="s">
        <v>2</v>
      </c>
      <c r="K39" s="324" t="s">
        <v>283</v>
      </c>
      <c r="M39" s="280" t="s">
        <v>233</v>
      </c>
      <c r="N39" s="281"/>
      <c r="O39" s="281">
        <v>1.4999999999999998E-3</v>
      </c>
      <c r="P39" s="281" t="s">
        <v>2</v>
      </c>
      <c r="Q39" s="324" t="s">
        <v>1237</v>
      </c>
      <c r="S39" s="280" t="s">
        <v>1202</v>
      </c>
      <c r="T39" s="281"/>
      <c r="U39" s="281">
        <v>1.4999999999999998E-3</v>
      </c>
      <c r="V39" s="281" t="s">
        <v>2</v>
      </c>
      <c r="W39" s="282"/>
      <c r="Y39" s="280" t="s">
        <v>1228</v>
      </c>
      <c r="Z39" s="281"/>
      <c r="AA39" s="281">
        <v>1.4999999999999998E-3</v>
      </c>
      <c r="AB39" s="281" t="s">
        <v>2</v>
      </c>
      <c r="AC39" s="282" t="s">
        <v>179</v>
      </c>
      <c r="AJ39" s="244"/>
      <c r="AK39" s="244"/>
    </row>
    <row r="40" spans="1:37" x14ac:dyDescent="0.2">
      <c r="A40" s="280" t="s">
        <v>748</v>
      </c>
      <c r="B40" s="281"/>
      <c r="C40" s="281">
        <v>2.5000000000000001E-3</v>
      </c>
      <c r="D40" s="281" t="s">
        <v>2</v>
      </c>
      <c r="E40" s="282"/>
      <c r="F40" s="244" t="s">
        <v>179</v>
      </c>
      <c r="G40" s="280" t="s">
        <v>748</v>
      </c>
      <c r="H40" s="281"/>
      <c r="I40" s="281">
        <v>2.5000000000000001E-3</v>
      </c>
      <c r="J40" s="281" t="s">
        <v>2</v>
      </c>
      <c r="K40" s="324" t="s">
        <v>283</v>
      </c>
      <c r="M40" s="280" t="s">
        <v>748</v>
      </c>
      <c r="N40" s="281"/>
      <c r="O40" s="281">
        <v>2.5000000000000001E-3</v>
      </c>
      <c r="P40" s="281" t="s">
        <v>2</v>
      </c>
      <c r="Q40" s="324" t="s">
        <v>1237</v>
      </c>
      <c r="S40" s="280" t="s">
        <v>1269</v>
      </c>
      <c r="T40" s="281"/>
      <c r="U40" s="281">
        <v>2.5000000000000001E-3</v>
      </c>
      <c r="V40" s="281" t="s">
        <v>2</v>
      </c>
      <c r="W40" s="282"/>
      <c r="Y40" s="280" t="s">
        <v>1250</v>
      </c>
      <c r="Z40" s="281"/>
      <c r="AA40" s="281">
        <v>2.5000000000000001E-3</v>
      </c>
      <c r="AB40" s="281" t="s">
        <v>2</v>
      </c>
      <c r="AC40" s="282"/>
      <c r="AJ40" s="244"/>
      <c r="AK40" s="244"/>
    </row>
    <row r="41" spans="1:37" x14ac:dyDescent="0.2">
      <c r="A41" s="280" t="s">
        <v>198</v>
      </c>
      <c r="B41" s="281"/>
      <c r="C41" s="281">
        <v>1.4999999999999999E-2</v>
      </c>
      <c r="D41" s="281" t="s">
        <v>2</v>
      </c>
      <c r="E41" s="282"/>
      <c r="F41" s="244" t="s">
        <v>179</v>
      </c>
      <c r="G41" s="280" t="s">
        <v>198</v>
      </c>
      <c r="H41" s="281"/>
      <c r="I41" s="281">
        <v>1.4999999999999999E-2</v>
      </c>
      <c r="J41" s="281" t="s">
        <v>2</v>
      </c>
      <c r="K41" s="324" t="s">
        <v>283</v>
      </c>
      <c r="M41" s="280" t="s">
        <v>198</v>
      </c>
      <c r="N41" s="281"/>
      <c r="O41" s="281">
        <v>1.4999999999999999E-2</v>
      </c>
      <c r="P41" s="281" t="s">
        <v>2</v>
      </c>
      <c r="Q41" s="324" t="s">
        <v>1237</v>
      </c>
      <c r="S41" s="280" t="s">
        <v>1128</v>
      </c>
      <c r="T41" s="281"/>
      <c r="U41" s="281">
        <v>1.4999999999999999E-2</v>
      </c>
      <c r="V41" s="281" t="s">
        <v>2</v>
      </c>
      <c r="W41" s="282"/>
      <c r="Y41" s="280" t="s">
        <v>1155</v>
      </c>
      <c r="Z41" s="281"/>
      <c r="AA41" s="281">
        <v>1.4999999999999999E-2</v>
      </c>
      <c r="AB41" s="281" t="s">
        <v>2</v>
      </c>
      <c r="AC41" s="282"/>
      <c r="AJ41" s="244"/>
      <c r="AK41" s="244"/>
    </row>
    <row r="42" spans="1:37" x14ac:dyDescent="0.2">
      <c r="A42" s="280" t="s">
        <v>234</v>
      </c>
      <c r="B42" s="281"/>
      <c r="C42" s="281">
        <v>0.01</v>
      </c>
      <c r="D42" s="281" t="s">
        <v>2</v>
      </c>
      <c r="E42" s="282"/>
      <c r="F42" s="244" t="s">
        <v>179</v>
      </c>
      <c r="G42" s="280" t="s">
        <v>234</v>
      </c>
      <c r="H42" s="281"/>
      <c r="I42" s="281">
        <v>0.01</v>
      </c>
      <c r="J42" s="281" t="s">
        <v>2</v>
      </c>
      <c r="K42" s="324" t="s">
        <v>283</v>
      </c>
      <c r="M42" s="280" t="s">
        <v>234</v>
      </c>
      <c r="N42" s="281"/>
      <c r="O42" s="281">
        <v>0.01</v>
      </c>
      <c r="P42" s="281" t="s">
        <v>2</v>
      </c>
      <c r="Q42" s="324" t="s">
        <v>1237</v>
      </c>
      <c r="S42" s="280" t="s">
        <v>1172</v>
      </c>
      <c r="T42" s="281"/>
      <c r="U42" s="281">
        <v>0.01</v>
      </c>
      <c r="V42" s="281" t="s">
        <v>2</v>
      </c>
      <c r="W42" s="282"/>
      <c r="Y42" s="280" t="s">
        <v>1181</v>
      </c>
      <c r="Z42" s="281"/>
      <c r="AA42" s="281">
        <v>0.01</v>
      </c>
      <c r="AB42" s="281" t="s">
        <v>2</v>
      </c>
      <c r="AC42" s="282"/>
      <c r="AJ42" s="244"/>
      <c r="AK42" s="244"/>
    </row>
    <row r="43" spans="1:37" x14ac:dyDescent="0.2">
      <c r="A43" s="280" t="s">
        <v>749</v>
      </c>
      <c r="B43" s="281"/>
      <c r="C43" s="281">
        <v>1.4999999999999999E-2</v>
      </c>
      <c r="D43" s="281" t="s">
        <v>2</v>
      </c>
      <c r="E43" s="286"/>
      <c r="F43" s="244" t="s">
        <v>179</v>
      </c>
      <c r="G43" s="280" t="s">
        <v>749</v>
      </c>
      <c r="H43" s="281"/>
      <c r="I43" s="281">
        <v>1.4999999999999999E-2</v>
      </c>
      <c r="J43" s="281" t="s">
        <v>2</v>
      </c>
      <c r="K43" s="324" t="s">
        <v>283</v>
      </c>
      <c r="M43" s="280" t="s">
        <v>749</v>
      </c>
      <c r="N43" s="281"/>
      <c r="O43" s="281">
        <v>1.4999999999999999E-2</v>
      </c>
      <c r="P43" s="281" t="s">
        <v>2</v>
      </c>
      <c r="Q43" s="324" t="s">
        <v>1237</v>
      </c>
      <c r="S43" s="280" t="s">
        <v>1270</v>
      </c>
      <c r="T43" s="281"/>
      <c r="U43" s="281">
        <v>1.4999999999999999E-2</v>
      </c>
      <c r="V43" s="281" t="s">
        <v>2</v>
      </c>
      <c r="W43" s="286"/>
      <c r="Y43" s="280" t="s">
        <v>1251</v>
      </c>
      <c r="Z43" s="281"/>
      <c r="AA43" s="281">
        <v>1.4999999999999999E-2</v>
      </c>
      <c r="AB43" s="281" t="s">
        <v>2</v>
      </c>
      <c r="AC43" s="286"/>
    </row>
    <row r="44" spans="1:37" x14ac:dyDescent="0.2">
      <c r="A44" s="280" t="s">
        <v>750</v>
      </c>
      <c r="B44" s="281"/>
      <c r="C44" s="281">
        <v>0.01</v>
      </c>
      <c r="D44" s="281" t="s">
        <v>2</v>
      </c>
      <c r="E44" s="286"/>
      <c r="G44" s="280" t="s">
        <v>750</v>
      </c>
      <c r="H44" s="281"/>
      <c r="I44" s="281">
        <v>0.01</v>
      </c>
      <c r="J44" s="281" t="s">
        <v>2</v>
      </c>
      <c r="K44" s="324" t="s">
        <v>283</v>
      </c>
      <c r="M44" s="280" t="s">
        <v>750</v>
      </c>
      <c r="N44" s="281"/>
      <c r="O44" s="281">
        <v>0.01</v>
      </c>
      <c r="P44" s="281" t="s">
        <v>2</v>
      </c>
      <c r="Q44" s="324" t="s">
        <v>1237</v>
      </c>
      <c r="S44" s="280" t="s">
        <v>1271</v>
      </c>
      <c r="T44" s="281"/>
      <c r="U44" s="281">
        <v>0.01</v>
      </c>
      <c r="V44" s="281" t="s">
        <v>2</v>
      </c>
      <c r="W44" s="286"/>
      <c r="Y44" s="280" t="s">
        <v>1252</v>
      </c>
      <c r="Z44" s="281"/>
      <c r="AA44" s="281">
        <v>0.01</v>
      </c>
      <c r="AB44" s="281" t="s">
        <v>2</v>
      </c>
      <c r="AC44" s="286"/>
    </row>
    <row r="45" spans="1:37" x14ac:dyDescent="0.2">
      <c r="A45" s="280" t="s">
        <v>751</v>
      </c>
      <c r="B45" s="281"/>
      <c r="C45" s="281">
        <v>1.4999999999999999E-2</v>
      </c>
      <c r="D45" s="281" t="s">
        <v>2</v>
      </c>
      <c r="E45" s="286"/>
      <c r="G45" s="280" t="s">
        <v>751</v>
      </c>
      <c r="H45" s="281"/>
      <c r="I45" s="281">
        <v>1.4999999999999999E-2</v>
      </c>
      <c r="J45" s="281" t="s">
        <v>2</v>
      </c>
      <c r="K45" s="324" t="s">
        <v>283</v>
      </c>
      <c r="M45" s="280" t="s">
        <v>751</v>
      </c>
      <c r="N45" s="281"/>
      <c r="O45" s="281">
        <v>1.4999999999999999E-2</v>
      </c>
      <c r="P45" s="281" t="s">
        <v>2</v>
      </c>
      <c r="Q45" s="324" t="s">
        <v>1237</v>
      </c>
      <c r="S45" s="280" t="s">
        <v>1272</v>
      </c>
      <c r="T45" s="281"/>
      <c r="U45" s="281">
        <v>1.4999999999999999E-2</v>
      </c>
      <c r="V45" s="281" t="s">
        <v>2</v>
      </c>
      <c r="W45" s="286"/>
      <c r="Y45" s="280" t="s">
        <v>1253</v>
      </c>
      <c r="Z45" s="281"/>
      <c r="AA45" s="281">
        <v>1.4999999999999999E-2</v>
      </c>
      <c r="AB45" s="281" t="s">
        <v>2</v>
      </c>
      <c r="AC45" s="286"/>
    </row>
    <row r="46" spans="1:37" x14ac:dyDescent="0.2">
      <c r="A46" s="280" t="s">
        <v>756</v>
      </c>
      <c r="B46" s="281"/>
      <c r="C46" s="281">
        <v>0.05</v>
      </c>
      <c r="D46" s="281" t="s">
        <v>2</v>
      </c>
      <c r="E46" s="286"/>
      <c r="G46" s="280" t="s">
        <v>756</v>
      </c>
      <c r="H46" s="281"/>
      <c r="I46" s="281">
        <v>0.05</v>
      </c>
      <c r="J46" s="281" t="s">
        <v>2</v>
      </c>
      <c r="K46" s="324" t="s">
        <v>283</v>
      </c>
      <c r="M46" s="280" t="s">
        <v>756</v>
      </c>
      <c r="N46" s="281"/>
      <c r="O46" s="281">
        <v>0.05</v>
      </c>
      <c r="P46" s="281" t="s">
        <v>2</v>
      </c>
      <c r="Q46" s="324" t="s">
        <v>1237</v>
      </c>
      <c r="S46" s="280" t="s">
        <v>1273</v>
      </c>
      <c r="T46" s="281"/>
      <c r="U46" s="281">
        <v>0.05</v>
      </c>
      <c r="V46" s="281" t="s">
        <v>2</v>
      </c>
      <c r="W46" s="286"/>
      <c r="Y46" s="280" t="s">
        <v>1254</v>
      </c>
      <c r="Z46" s="281"/>
      <c r="AA46" s="281">
        <v>0.05</v>
      </c>
      <c r="AB46" s="281" t="s">
        <v>2</v>
      </c>
      <c r="AC46" s="286"/>
    </row>
    <row r="47" spans="1:37" x14ac:dyDescent="0.2">
      <c r="A47" s="280" t="s">
        <v>707</v>
      </c>
      <c r="B47" s="281"/>
      <c r="C47" s="281">
        <v>5.0000000000000001E-3</v>
      </c>
      <c r="D47" s="281" t="s">
        <v>2</v>
      </c>
      <c r="E47" s="282"/>
      <c r="G47" s="280" t="s">
        <v>707</v>
      </c>
      <c r="H47" s="281"/>
      <c r="I47" s="281">
        <v>5.0000000000000001E-3</v>
      </c>
      <c r="J47" s="281" t="s">
        <v>2</v>
      </c>
      <c r="K47" s="324" t="s">
        <v>283</v>
      </c>
      <c r="M47" s="280" t="s">
        <v>707</v>
      </c>
      <c r="N47" s="281"/>
      <c r="O47" s="281">
        <v>5.0000000000000001E-3</v>
      </c>
      <c r="P47" s="281" t="s">
        <v>2</v>
      </c>
      <c r="Q47" s="324" t="s">
        <v>1237</v>
      </c>
      <c r="S47" s="280" t="s">
        <v>1173</v>
      </c>
      <c r="T47" s="281"/>
      <c r="U47" s="281">
        <v>5.0000000000000001E-3</v>
      </c>
      <c r="V47" s="281" t="s">
        <v>2</v>
      </c>
      <c r="W47" s="282"/>
      <c r="Y47" s="280" t="s">
        <v>1182</v>
      </c>
      <c r="Z47" s="281"/>
      <c r="AA47" s="281">
        <v>5.0000000000000001E-3</v>
      </c>
      <c r="AB47" s="281" t="s">
        <v>2</v>
      </c>
      <c r="AC47" s="282"/>
    </row>
    <row r="48" spans="1:37" x14ac:dyDescent="0.2">
      <c r="A48" s="280" t="s">
        <v>727</v>
      </c>
      <c r="B48" s="281"/>
      <c r="C48" s="281">
        <v>5.0000000000000001E-3</v>
      </c>
      <c r="D48" s="281" t="s">
        <v>2</v>
      </c>
      <c r="E48" s="286"/>
      <c r="G48" s="280" t="s">
        <v>727</v>
      </c>
      <c r="H48" s="281"/>
      <c r="I48" s="281">
        <v>5.0000000000000001E-3</v>
      </c>
      <c r="J48" s="281" t="s">
        <v>2</v>
      </c>
      <c r="K48" s="324" t="s">
        <v>283</v>
      </c>
      <c r="M48" s="280" t="s">
        <v>727</v>
      </c>
      <c r="N48" s="281"/>
      <c r="O48" s="281">
        <v>5.0000000000000001E-3</v>
      </c>
      <c r="P48" s="281" t="s">
        <v>2</v>
      </c>
      <c r="Q48" s="324" t="s">
        <v>1237</v>
      </c>
      <c r="S48" s="280" t="s">
        <v>1204</v>
      </c>
      <c r="T48" s="281"/>
      <c r="U48" s="281">
        <v>5.0000000000000001E-3</v>
      </c>
      <c r="V48" s="281" t="s">
        <v>2</v>
      </c>
      <c r="W48" s="286"/>
      <c r="Y48" s="280" t="s">
        <v>1230</v>
      </c>
      <c r="Z48" s="281"/>
      <c r="AA48" s="281">
        <v>5.0000000000000001E-3</v>
      </c>
      <c r="AB48" s="281" t="s">
        <v>2</v>
      </c>
      <c r="AC48" s="286"/>
    </row>
    <row r="49" spans="1:37" x14ac:dyDescent="0.2">
      <c r="A49" s="280" t="s">
        <v>235</v>
      </c>
      <c r="B49" s="281"/>
      <c r="C49" s="281">
        <v>0.02</v>
      </c>
      <c r="D49" s="281" t="s">
        <v>2</v>
      </c>
      <c r="E49" s="286"/>
      <c r="G49" s="280" t="s">
        <v>235</v>
      </c>
      <c r="H49" s="281"/>
      <c r="I49" s="281">
        <v>0.02</v>
      </c>
      <c r="J49" s="281" t="s">
        <v>2</v>
      </c>
      <c r="K49" s="324" t="s">
        <v>283</v>
      </c>
      <c r="M49" s="280" t="s">
        <v>235</v>
      </c>
      <c r="N49" s="281"/>
      <c r="O49" s="281">
        <v>0.02</v>
      </c>
      <c r="P49" s="281" t="s">
        <v>2</v>
      </c>
      <c r="Q49" s="324" t="s">
        <v>1237</v>
      </c>
      <c r="S49" s="280" t="s">
        <v>1274</v>
      </c>
      <c r="T49" s="281"/>
      <c r="U49" s="281">
        <v>0.02</v>
      </c>
      <c r="V49" s="281" t="s">
        <v>2</v>
      </c>
      <c r="W49" s="286"/>
      <c r="Y49" s="280" t="s">
        <v>1255</v>
      </c>
      <c r="Z49" s="281"/>
      <c r="AA49" s="281">
        <v>0.02</v>
      </c>
      <c r="AB49" s="281" t="s">
        <v>2</v>
      </c>
      <c r="AC49" s="286"/>
    </row>
    <row r="50" spans="1:37" x14ac:dyDescent="0.2">
      <c r="A50" s="280" t="s">
        <v>753</v>
      </c>
      <c r="B50" s="281"/>
      <c r="C50" s="281">
        <v>0.02</v>
      </c>
      <c r="D50" s="281" t="s">
        <v>2</v>
      </c>
      <c r="E50" s="286"/>
      <c r="G50" s="280" t="s">
        <v>753</v>
      </c>
      <c r="H50" s="281"/>
      <c r="I50" s="281">
        <v>0.02</v>
      </c>
      <c r="J50" s="281" t="s">
        <v>2</v>
      </c>
      <c r="K50" s="324" t="s">
        <v>283</v>
      </c>
      <c r="M50" s="280" t="s">
        <v>753</v>
      </c>
      <c r="N50" s="281"/>
      <c r="O50" s="281">
        <v>0.02</v>
      </c>
      <c r="P50" s="281" t="s">
        <v>2</v>
      </c>
      <c r="Q50" s="324" t="s">
        <v>1237</v>
      </c>
      <c r="S50" s="280" t="s">
        <v>753</v>
      </c>
      <c r="T50" s="281"/>
      <c r="U50" s="281">
        <v>0.02</v>
      </c>
      <c r="V50" s="281" t="s">
        <v>2</v>
      </c>
      <c r="W50" s="286"/>
      <c r="Y50" s="280" t="s">
        <v>753</v>
      </c>
      <c r="Z50" s="281"/>
      <c r="AA50" s="281">
        <v>0.02</v>
      </c>
      <c r="AB50" s="281" t="s">
        <v>2</v>
      </c>
      <c r="AC50" s="286"/>
    </row>
    <row r="51" spans="1:37" x14ac:dyDescent="0.2">
      <c r="A51" s="280" t="s">
        <v>204</v>
      </c>
      <c r="B51" s="281"/>
      <c r="C51" s="281">
        <v>0.2</v>
      </c>
      <c r="D51" s="281" t="s">
        <v>2</v>
      </c>
      <c r="E51" s="286"/>
      <c r="G51" s="280" t="s">
        <v>204</v>
      </c>
      <c r="H51" s="281"/>
      <c r="I51" s="281">
        <v>0.2</v>
      </c>
      <c r="J51" s="281" t="s">
        <v>2</v>
      </c>
      <c r="K51" s="324" t="s">
        <v>283</v>
      </c>
      <c r="M51" s="280" t="s">
        <v>204</v>
      </c>
      <c r="N51" s="281"/>
      <c r="O51" s="281">
        <v>0.2</v>
      </c>
      <c r="P51" s="281" t="s">
        <v>2</v>
      </c>
      <c r="Q51" s="324" t="s">
        <v>1237</v>
      </c>
      <c r="S51" s="280" t="s">
        <v>1134</v>
      </c>
      <c r="T51" s="281"/>
      <c r="U51" s="281">
        <v>0.2</v>
      </c>
      <c r="V51" s="281" t="s">
        <v>2</v>
      </c>
      <c r="W51" s="286"/>
      <c r="Y51" s="280" t="s">
        <v>1161</v>
      </c>
      <c r="Z51" s="281"/>
      <c r="AA51" s="281">
        <v>0.2</v>
      </c>
      <c r="AB51" s="281" t="s">
        <v>2</v>
      </c>
      <c r="AC51" s="286"/>
    </row>
    <row r="52" spans="1:37" s="1" customFormat="1" x14ac:dyDescent="0.2">
      <c r="A52" s="277" t="s">
        <v>205</v>
      </c>
      <c r="B52" s="278"/>
      <c r="C52" s="278"/>
      <c r="D52" s="278"/>
      <c r="E52" s="279"/>
      <c r="G52" s="277" t="s">
        <v>205</v>
      </c>
      <c r="H52" s="278"/>
      <c r="I52" s="278"/>
      <c r="J52" s="278"/>
      <c r="K52" s="279"/>
      <c r="M52" s="277" t="s">
        <v>205</v>
      </c>
      <c r="N52" s="278"/>
      <c r="O52" s="278"/>
      <c r="P52" s="278"/>
      <c r="Q52" s="279"/>
      <c r="S52" s="277" t="s">
        <v>205</v>
      </c>
      <c r="T52" s="278"/>
      <c r="U52" s="278"/>
      <c r="V52" s="278"/>
      <c r="W52" s="279"/>
      <c r="Y52" s="277" t="s">
        <v>205</v>
      </c>
      <c r="Z52" s="278"/>
      <c r="AA52" s="278"/>
      <c r="AB52" s="278"/>
      <c r="AC52" s="279"/>
      <c r="AD52" s="99"/>
      <c r="AE52" s="18"/>
      <c r="AF52" s="18"/>
      <c r="AG52" s="18"/>
      <c r="AH52" s="18"/>
      <c r="AI52" s="18"/>
      <c r="AJ52" s="18"/>
      <c r="AK52" s="18"/>
    </row>
    <row r="53" spans="1:37" x14ac:dyDescent="0.2">
      <c r="A53" s="280" t="s">
        <v>206</v>
      </c>
      <c r="B53" s="281"/>
      <c r="C53" s="288">
        <v>0.7</v>
      </c>
      <c r="D53" s="281" t="s">
        <v>207</v>
      </c>
      <c r="E53" s="373" t="s">
        <v>1076</v>
      </c>
      <c r="F53" s="244" t="s">
        <v>179</v>
      </c>
      <c r="G53" s="280" t="s">
        <v>206</v>
      </c>
      <c r="H53" s="281"/>
      <c r="I53" s="288">
        <f>0.0933*0.8</f>
        <v>7.4639999999999998E-2</v>
      </c>
      <c r="J53" s="281" t="s">
        <v>207</v>
      </c>
      <c r="K53" s="373" t="s">
        <v>1163</v>
      </c>
      <c r="M53" s="280" t="s">
        <v>206</v>
      </c>
      <c r="N53" s="281"/>
      <c r="O53" s="288">
        <v>5.63</v>
      </c>
      <c r="P53" s="281" t="s">
        <v>207</v>
      </c>
      <c r="Q53" s="373" t="s">
        <v>1086</v>
      </c>
      <c r="S53" s="280" t="s">
        <v>206</v>
      </c>
      <c r="T53" s="281"/>
      <c r="U53" s="288">
        <v>0.7</v>
      </c>
      <c r="V53" s="281" t="s">
        <v>207</v>
      </c>
      <c r="W53" s="373" t="s">
        <v>1076</v>
      </c>
      <c r="Y53" s="280" t="s">
        <v>206</v>
      </c>
      <c r="Z53" s="281"/>
      <c r="AA53" s="288">
        <v>0.7</v>
      </c>
      <c r="AB53" s="281" t="s">
        <v>207</v>
      </c>
      <c r="AC53" s="373" t="s">
        <v>1076</v>
      </c>
      <c r="AD53" s="40"/>
    </row>
    <row r="54" spans="1:37" x14ac:dyDescent="0.2">
      <c r="A54" s="280" t="s">
        <v>208</v>
      </c>
      <c r="B54" s="281"/>
      <c r="C54" s="288">
        <f>30/3.6</f>
        <v>8.3333333333333339</v>
      </c>
      <c r="D54" s="281" t="s">
        <v>207</v>
      </c>
      <c r="E54" s="373"/>
      <c r="F54" s="244" t="s">
        <v>179</v>
      </c>
      <c r="G54" s="280" t="s">
        <v>208</v>
      </c>
      <c r="H54" s="281"/>
      <c r="I54" s="288">
        <f>123/350</f>
        <v>0.35142857142857142</v>
      </c>
      <c r="J54" s="281" t="s">
        <v>207</v>
      </c>
      <c r="K54" s="373"/>
      <c r="M54" s="280" t="s">
        <v>208</v>
      </c>
      <c r="N54" s="281"/>
      <c r="O54" s="288">
        <v>0</v>
      </c>
      <c r="P54" s="281" t="s">
        <v>207</v>
      </c>
      <c r="Q54" s="373"/>
      <c r="S54" s="280" t="s">
        <v>208</v>
      </c>
      <c r="T54" s="281"/>
      <c r="U54" s="288">
        <f>30/3.6</f>
        <v>8.3333333333333339</v>
      </c>
      <c r="V54" s="281" t="s">
        <v>207</v>
      </c>
      <c r="W54" s="373"/>
      <c r="Y54" s="280" t="s">
        <v>208</v>
      </c>
      <c r="Z54" s="281"/>
      <c r="AA54" s="288">
        <f>30/3.6</f>
        <v>8.3333333333333339</v>
      </c>
      <c r="AB54" s="281" t="s">
        <v>207</v>
      </c>
      <c r="AC54" s="373"/>
      <c r="AD54" s="40"/>
    </row>
    <row r="55" spans="1:37" s="1" customFormat="1" x14ac:dyDescent="0.2">
      <c r="A55" s="277" t="s">
        <v>209</v>
      </c>
      <c r="B55" s="278"/>
      <c r="C55" s="278"/>
      <c r="D55" s="278"/>
      <c r="E55" s="279"/>
      <c r="G55" s="277" t="s">
        <v>209</v>
      </c>
      <c r="H55" s="278"/>
      <c r="I55" s="278"/>
      <c r="J55" s="278"/>
      <c r="K55" s="279"/>
      <c r="M55" s="277" t="s">
        <v>209</v>
      </c>
      <c r="N55" s="278"/>
      <c r="O55" s="278"/>
      <c r="P55" s="278"/>
      <c r="Q55" s="279"/>
      <c r="S55" s="277" t="s">
        <v>209</v>
      </c>
      <c r="T55" s="278"/>
      <c r="U55" s="278"/>
      <c r="V55" s="278"/>
      <c r="W55" s="279"/>
      <c r="Y55" s="277" t="s">
        <v>209</v>
      </c>
      <c r="Z55" s="278"/>
      <c r="AA55" s="278"/>
      <c r="AB55" s="278"/>
      <c r="AC55" s="279"/>
      <c r="AD55" s="99"/>
      <c r="AE55" s="18"/>
      <c r="AF55" s="18"/>
      <c r="AG55" s="18"/>
      <c r="AH55" s="18"/>
      <c r="AI55" s="18"/>
      <c r="AJ55" s="18"/>
      <c r="AK55" s="18"/>
    </row>
    <row r="56" spans="1:37" x14ac:dyDescent="0.2">
      <c r="A56" s="280" t="s">
        <v>210</v>
      </c>
      <c r="B56" s="281"/>
      <c r="C56" s="281">
        <v>2.0000000000000001E-4</v>
      </c>
      <c r="D56" s="281" t="s">
        <v>2</v>
      </c>
      <c r="E56" s="282" t="s">
        <v>211</v>
      </c>
      <c r="F56" s="244" t="s">
        <v>179</v>
      </c>
      <c r="G56" s="280" t="s">
        <v>210</v>
      </c>
      <c r="H56" s="281"/>
      <c r="I56" s="281">
        <v>2.0000000000000002E-5</v>
      </c>
      <c r="J56" s="281" t="s">
        <v>2</v>
      </c>
      <c r="K56" s="324" t="s">
        <v>283</v>
      </c>
      <c r="L56" t="s">
        <v>87</v>
      </c>
      <c r="M56" s="280" t="s">
        <v>210</v>
      </c>
      <c r="N56" s="281"/>
      <c r="O56" s="281">
        <v>2E-3</v>
      </c>
      <c r="P56" s="281" t="s">
        <v>2</v>
      </c>
      <c r="Q56" s="373" t="s">
        <v>1164</v>
      </c>
      <c r="R56" t="s">
        <v>87</v>
      </c>
      <c r="S56" s="280" t="s">
        <v>210</v>
      </c>
      <c r="T56" s="281"/>
      <c r="U56" s="281">
        <v>2.0000000000000001E-4</v>
      </c>
      <c r="V56" s="281" t="s">
        <v>2</v>
      </c>
      <c r="W56" s="282" t="s">
        <v>211</v>
      </c>
      <c r="X56" t="s">
        <v>87</v>
      </c>
      <c r="Y56" s="280" t="s">
        <v>210</v>
      </c>
      <c r="Z56" s="281"/>
      <c r="AA56" s="281">
        <v>2.0000000000000001E-4</v>
      </c>
      <c r="AB56" s="281" t="s">
        <v>2</v>
      </c>
      <c r="AC56" s="282" t="s">
        <v>211</v>
      </c>
      <c r="AD56" s="40" t="s">
        <v>87</v>
      </c>
    </row>
    <row r="57" spans="1:37" s="1" customFormat="1" x14ac:dyDescent="0.2">
      <c r="A57" s="277" t="s">
        <v>212</v>
      </c>
      <c r="B57" s="278"/>
      <c r="C57" s="278"/>
      <c r="D57" s="278"/>
      <c r="E57" s="279"/>
      <c r="G57" s="277" t="s">
        <v>212</v>
      </c>
      <c r="H57" s="278"/>
      <c r="I57" s="278"/>
      <c r="J57" s="278"/>
      <c r="K57" s="279"/>
      <c r="M57" s="277" t="s">
        <v>212</v>
      </c>
      <c r="N57" s="278"/>
      <c r="O57" s="278"/>
      <c r="P57" s="278"/>
      <c r="Q57" s="279"/>
      <c r="S57" s="277" t="s">
        <v>212</v>
      </c>
      <c r="T57" s="278"/>
      <c r="U57" s="278"/>
      <c r="V57" s="278"/>
      <c r="W57" s="279"/>
      <c r="Y57" s="277" t="s">
        <v>212</v>
      </c>
      <c r="Z57" s="278"/>
      <c r="AA57" s="278"/>
      <c r="AB57" s="278"/>
      <c r="AC57" s="279"/>
      <c r="AD57" s="18"/>
      <c r="AE57" s="18"/>
      <c r="AF57" s="18"/>
      <c r="AG57" s="18"/>
      <c r="AH57" s="18"/>
      <c r="AI57" s="18"/>
      <c r="AJ57" s="18"/>
      <c r="AK57" s="18"/>
    </row>
    <row r="58" spans="1:37" ht="13.5" thickBot="1" x14ac:dyDescent="0.25">
      <c r="A58" s="289" t="s">
        <v>213</v>
      </c>
      <c r="B58" s="290"/>
      <c r="C58" s="291">
        <v>0.5</v>
      </c>
      <c r="D58" s="290" t="s">
        <v>2</v>
      </c>
      <c r="E58" s="292" t="s">
        <v>214</v>
      </c>
      <c r="F58" s="244" t="s">
        <v>179</v>
      </c>
      <c r="G58" s="289" t="s">
        <v>213</v>
      </c>
      <c r="H58" s="290"/>
      <c r="I58" s="291">
        <v>0.5</v>
      </c>
      <c r="J58" s="290" t="s">
        <v>2</v>
      </c>
      <c r="K58" s="292" t="s">
        <v>214</v>
      </c>
      <c r="M58" s="289" t="s">
        <v>213</v>
      </c>
      <c r="N58" s="290"/>
      <c r="O58" s="291">
        <v>0.5</v>
      </c>
      <c r="P58" s="290" t="s">
        <v>2</v>
      </c>
      <c r="Q58" s="292" t="s">
        <v>214</v>
      </c>
      <c r="S58" s="289" t="s">
        <v>213</v>
      </c>
      <c r="T58" s="290"/>
      <c r="U58" s="291">
        <v>0.5</v>
      </c>
      <c r="V58" s="290" t="s">
        <v>2</v>
      </c>
      <c r="W58" s="292" t="s">
        <v>214</v>
      </c>
      <c r="Y58" s="289" t="s">
        <v>213</v>
      </c>
      <c r="Z58" s="290"/>
      <c r="AA58" s="291">
        <v>0.5</v>
      </c>
      <c r="AB58" s="290" t="s">
        <v>2</v>
      </c>
      <c r="AC58" s="292" t="s">
        <v>214</v>
      </c>
    </row>
    <row r="62" spans="1:37" x14ac:dyDescent="0.2">
      <c r="Y62" s="244"/>
      <c r="Z62" s="244"/>
    </row>
    <row r="63" spans="1:37" x14ac:dyDescent="0.2">
      <c r="Y63" s="244"/>
      <c r="Z63" s="244"/>
    </row>
    <row r="64" spans="1:37" x14ac:dyDescent="0.2">
      <c r="A64" s="259" t="s">
        <v>1378</v>
      </c>
      <c r="Y64" s="244"/>
      <c r="Z64" s="244"/>
    </row>
    <row r="65" spans="1:41" s="293" customFormat="1" x14ac:dyDescent="0.2">
      <c r="A65" s="17"/>
      <c r="B65" s="17"/>
    </row>
    <row r="66" spans="1:41" s="293" customFormat="1" x14ac:dyDescent="0.2">
      <c r="A66" s="17" t="s">
        <v>1036</v>
      </c>
      <c r="U66" s="197" t="s">
        <v>550</v>
      </c>
      <c r="V66" s="198" t="s">
        <v>551</v>
      </c>
      <c r="W66" s="198" t="s">
        <v>550</v>
      </c>
      <c r="X66" s="198" t="s">
        <v>551</v>
      </c>
      <c r="Y66" s="199" t="s">
        <v>552</v>
      </c>
      <c r="Z66" s="294"/>
      <c r="AA66" s="295"/>
      <c r="AB66" s="17" t="s">
        <v>105</v>
      </c>
      <c r="AC66" s="17"/>
      <c r="AD66" s="148" t="s">
        <v>549</v>
      </c>
      <c r="AE66" s="149"/>
      <c r="AF66" s="149"/>
      <c r="AG66" s="149" t="s">
        <v>548</v>
      </c>
      <c r="AH66" s="149"/>
      <c r="AI66" s="149"/>
      <c r="AJ66" s="149" t="s">
        <v>547</v>
      </c>
      <c r="AK66" s="149"/>
      <c r="AL66" s="149"/>
      <c r="AM66" s="296" t="s">
        <v>553</v>
      </c>
      <c r="AN66" s="294"/>
      <c r="AO66" s="295"/>
    </row>
    <row r="67" spans="1:41" s="139" customFormat="1" ht="15" customHeight="1" x14ac:dyDescent="0.2">
      <c r="A67" s="57" t="s">
        <v>58</v>
      </c>
      <c r="B67" s="55" t="s">
        <v>289</v>
      </c>
      <c r="C67" s="56" t="s">
        <v>100</v>
      </c>
      <c r="D67" s="56" t="s">
        <v>11</v>
      </c>
      <c r="E67" s="63" t="s">
        <v>291</v>
      </c>
      <c r="F67" s="63"/>
      <c r="G67" s="66" t="s">
        <v>292</v>
      </c>
      <c r="H67" s="66" t="s">
        <v>8</v>
      </c>
      <c r="I67" s="66" t="s">
        <v>217</v>
      </c>
      <c r="J67" s="66" t="s">
        <v>11</v>
      </c>
      <c r="K67" s="66" t="s">
        <v>291</v>
      </c>
      <c r="L67" s="63"/>
      <c r="M67" s="67" t="s">
        <v>293</v>
      </c>
      <c r="N67" s="67" t="s">
        <v>8</v>
      </c>
      <c r="O67" s="67" t="s">
        <v>217</v>
      </c>
      <c r="P67" s="67" t="s">
        <v>11</v>
      </c>
      <c r="Q67" s="67" t="s">
        <v>291</v>
      </c>
      <c r="R67" s="67"/>
      <c r="S67" s="63"/>
      <c r="T67" s="297" t="s">
        <v>275</v>
      </c>
      <c r="U67" s="126" t="s">
        <v>530</v>
      </c>
      <c r="V67" s="114" t="s">
        <v>531</v>
      </c>
      <c r="W67" s="114" t="s">
        <v>532</v>
      </c>
      <c r="X67" s="114" t="s">
        <v>533</v>
      </c>
      <c r="Y67" s="114" t="s">
        <v>534</v>
      </c>
      <c r="Z67" s="114" t="s">
        <v>535</v>
      </c>
      <c r="AA67" s="131" t="s">
        <v>536</v>
      </c>
      <c r="AB67" s="22" t="s">
        <v>545</v>
      </c>
      <c r="AC67" s="23" t="s">
        <v>546</v>
      </c>
      <c r="AD67" s="148" t="s">
        <v>31</v>
      </c>
      <c r="AE67" s="149" t="s">
        <v>32</v>
      </c>
      <c r="AF67" s="150" t="s">
        <v>33</v>
      </c>
      <c r="AG67" s="148" t="s">
        <v>31</v>
      </c>
      <c r="AH67" s="149" t="s">
        <v>32</v>
      </c>
      <c r="AI67" s="150" t="s">
        <v>33</v>
      </c>
      <c r="AJ67" s="148" t="s">
        <v>31</v>
      </c>
      <c r="AK67" s="149" t="s">
        <v>32</v>
      </c>
      <c r="AL67" s="149" t="s">
        <v>33</v>
      </c>
      <c r="AM67" s="298"/>
      <c r="AN67" s="136"/>
      <c r="AO67" s="299"/>
    </row>
    <row r="68" spans="1:41" s="51" customFormat="1" ht="15" customHeight="1" x14ac:dyDescent="0.2">
      <c r="A68" s="68" t="str">
        <f>'36. Generic chemical products'!A5</f>
        <v>Detergent, average (Ultravon EL)</v>
      </c>
      <c r="B68" s="68" t="str">
        <f>'36. Generic chemical products'!B5</f>
        <v>Polyacrylic acid, sodium salt</v>
      </c>
      <c r="C68" s="68">
        <f>'36. Generic chemical products'!C5</f>
        <v>0.1</v>
      </c>
      <c r="D68" s="68" t="str">
        <f>'36. Generic chemical products'!D5</f>
        <v>kg</v>
      </c>
      <c r="E68" s="68" t="str">
        <f>'36. Generic chemical products'!E5</f>
        <v>MSDS</v>
      </c>
      <c r="F68" s="68"/>
      <c r="G68" s="68" t="str">
        <f>'36. Generic chemical products'!G5</f>
        <v>-</v>
      </c>
      <c r="H68" s="68">
        <f>'36. Generic chemical products'!H5</f>
        <v>0</v>
      </c>
      <c r="I68" s="68">
        <f>'36. Generic chemical products'!I5</f>
        <v>0</v>
      </c>
      <c r="J68" s="68">
        <f>'36. Generic chemical products'!J5</f>
        <v>0</v>
      </c>
      <c r="K68" s="68">
        <f>'36. Generic chemical products'!K5</f>
        <v>0</v>
      </c>
      <c r="L68" s="68"/>
      <c r="M68" s="68" t="str">
        <f>'36. Generic chemical products'!M5</f>
        <v>Polyacrylic acid, sodium salt</v>
      </c>
      <c r="N68" s="68" t="str">
        <f>'36. Generic chemical products'!N5</f>
        <v>river</v>
      </c>
      <c r="O68" s="68">
        <f>'36. Generic chemical products'!O5</f>
        <v>9.9000000000000008E-3</v>
      </c>
      <c r="P68" s="68" t="str">
        <f>'36. Generic chemical products'!P5</f>
        <v>kg</v>
      </c>
      <c r="Q68" s="68" t="str">
        <f>'36. Generic chemical products'!Q5</f>
        <v>1% of polymer content remains as monomers from the production process.</v>
      </c>
      <c r="R68" s="68">
        <f>'36. Generic chemical products'!R5</f>
        <v>0</v>
      </c>
      <c r="S68" s="68">
        <f>'36. Generic chemical products'!S5</f>
        <v>0</v>
      </c>
      <c r="T68" s="68" t="str">
        <f>'36. Generic chemical products'!T5</f>
        <v>9003-04-7</v>
      </c>
      <c r="U68" s="68">
        <f>'36. Generic chemical products'!U5</f>
        <v>0</v>
      </c>
      <c r="V68" s="68">
        <f>'36. Generic chemical products'!V5</f>
        <v>0</v>
      </c>
      <c r="W68" s="68">
        <f>'36. Generic chemical products'!W5</f>
        <v>0</v>
      </c>
      <c r="X68" s="68">
        <f>'36. Generic chemical products'!X5</f>
        <v>0</v>
      </c>
      <c r="Y68" s="68">
        <f>'36. Generic chemical products'!Y5</f>
        <v>7.06</v>
      </c>
      <c r="Z68" s="68">
        <f>'36. Generic chemical products'!Z5</f>
        <v>78.599999999999994</v>
      </c>
      <c r="AA68" s="68" t="str">
        <f>'36. Generic chemical products'!AA5</f>
        <v>COSMEDE</v>
      </c>
      <c r="AB68" s="300">
        <f t="shared" ref="AB68:AB73" si="0">$C$22*I68</f>
        <v>0</v>
      </c>
      <c r="AC68" s="301">
        <f t="shared" ref="AC68:AC73" si="1">$C$37*O68</f>
        <v>7.4250000000000021E-4</v>
      </c>
      <c r="AD68" s="302">
        <f>AB68*U68+AC68*W68</f>
        <v>0</v>
      </c>
      <c r="AE68" s="302">
        <f t="shared" ref="AE68:AE107" si="2">AB68*V68+AC68*X68</f>
        <v>0</v>
      </c>
      <c r="AF68" s="303">
        <f t="shared" ref="AF68:AF107" si="3">AB68*Y68+AC68*Z68</f>
        <v>5.836050000000001E-2</v>
      </c>
      <c r="AG68" s="303">
        <f t="shared" ref="AG68:AG107" si="4">AB68*U68</f>
        <v>0</v>
      </c>
      <c r="AH68" s="303">
        <f t="shared" ref="AH68:AH107" si="5">AB68*V68</f>
        <v>0</v>
      </c>
      <c r="AI68" s="303">
        <f t="shared" ref="AI68:AI107" si="6">AB68*Y68</f>
        <v>0</v>
      </c>
      <c r="AJ68" s="303">
        <f t="shared" ref="AJ68:AJ107" si="7">AC68*W68</f>
        <v>0</v>
      </c>
      <c r="AK68" s="303">
        <f t="shared" ref="AK68:AK107" si="8">AC68*X68</f>
        <v>0</v>
      </c>
      <c r="AL68" s="303">
        <f t="shared" ref="AL68:AL107" si="9">AC68*Z68</f>
        <v>5.836050000000001E-2</v>
      </c>
      <c r="AM68" s="304">
        <f t="shared" ref="AM68:AO83" si="10">AG68+AJ68</f>
        <v>0</v>
      </c>
      <c r="AN68" s="305">
        <f t="shared" si="10"/>
        <v>0</v>
      </c>
      <c r="AO68" s="306">
        <f t="shared" si="10"/>
        <v>5.836050000000001E-2</v>
      </c>
    </row>
    <row r="69" spans="1:41" s="51" customFormat="1" ht="15" customHeight="1" x14ac:dyDescent="0.2">
      <c r="A69" s="68" t="str">
        <f>'36. Generic chemical products'!A6</f>
        <v>Detergent, average (Ultravon EL)</v>
      </c>
      <c r="B69" s="68" t="str">
        <f>'36. Generic chemical products'!B6</f>
        <v>Oxirane, methyl-, polymer with oxirane, decyl ether</v>
      </c>
      <c r="C69" s="68">
        <f>'36. Generic chemical products'!C6</f>
        <v>0.25</v>
      </c>
      <c r="D69" s="68" t="str">
        <f>'36. Generic chemical products'!D6</f>
        <v>kg</v>
      </c>
      <c r="E69" s="68" t="str">
        <f>'36. Generic chemical products'!E6</f>
        <v>MSDS</v>
      </c>
      <c r="F69" s="68"/>
      <c r="G69" s="68" t="str">
        <f>'36. Generic chemical products'!G6</f>
        <v>-</v>
      </c>
      <c r="H69" s="68">
        <f>'36. Generic chemical products'!H6</f>
        <v>0</v>
      </c>
      <c r="I69" s="68">
        <f>'36. Generic chemical products'!I6</f>
        <v>0</v>
      </c>
      <c r="J69" s="68">
        <f>'36. Generic chemical products'!J6</f>
        <v>0</v>
      </c>
      <c r="K69" s="68">
        <f>'36. Generic chemical products'!K6</f>
        <v>0</v>
      </c>
      <c r="L69" s="68"/>
      <c r="M69" s="68" t="str">
        <f>'36. Generic chemical products'!M6</f>
        <v>Oxirane, methyl-, polymer with oxirane, decyl ether</v>
      </c>
      <c r="N69" s="68" t="str">
        <f>'36. Generic chemical products'!N6</f>
        <v>river</v>
      </c>
      <c r="O69" s="68">
        <f>'36. Generic chemical products'!O6</f>
        <v>2.5000000000000001E-2</v>
      </c>
      <c r="P69" s="68" t="str">
        <f>'36. Generic chemical products'!P6</f>
        <v>kg</v>
      </c>
      <c r="Q69" s="68">
        <f>'36. Generic chemical products'!Q6</f>
        <v>0</v>
      </c>
      <c r="R69" s="68">
        <f>'36. Generic chemical products'!R6</f>
        <v>0</v>
      </c>
      <c r="S69" s="68">
        <f>'36. Generic chemical products'!S6</f>
        <v>0</v>
      </c>
      <c r="T69" s="68" t="str">
        <f>'36. Generic chemical products'!T6</f>
        <v>37251-67-5</v>
      </c>
      <c r="U69" s="68">
        <f>'36. Generic chemical products'!U6</f>
        <v>0</v>
      </c>
      <c r="V69" s="68">
        <f>'36. Generic chemical products'!V6</f>
        <v>1.2009414857886904E-7</v>
      </c>
      <c r="W69" s="68">
        <f>'36. Generic chemical products'!W6</f>
        <v>0</v>
      </c>
      <c r="X69" s="68">
        <f>'36. Generic chemical products'!X6</f>
        <v>3.2843909509658706E-7</v>
      </c>
      <c r="Y69" s="68">
        <f>'36. Generic chemical products'!Y6</f>
        <v>14.526941022240393</v>
      </c>
      <c r="Z69" s="68">
        <f>'36. Generic chemical products'!Z6</f>
        <v>111.251141519207</v>
      </c>
      <c r="AA69" s="68" t="str">
        <f>'36. Generic chemical products'!AA6</f>
        <v>Roos 2017</v>
      </c>
      <c r="AB69" s="300">
        <f t="shared" si="0"/>
        <v>0</v>
      </c>
      <c r="AC69" s="301">
        <f t="shared" si="1"/>
        <v>1.8750000000000004E-3</v>
      </c>
      <c r="AD69" s="302">
        <f t="shared" ref="AD69:AD107" si="11">AB69*U69+AC69*W69</f>
        <v>0</v>
      </c>
      <c r="AE69" s="302">
        <f t="shared" si="2"/>
        <v>6.1582330330610087E-10</v>
      </c>
      <c r="AF69" s="303">
        <f t="shared" si="3"/>
        <v>0.20859589034851317</v>
      </c>
      <c r="AG69" s="303">
        <f t="shared" si="4"/>
        <v>0</v>
      </c>
      <c r="AH69" s="303">
        <f t="shared" si="5"/>
        <v>0</v>
      </c>
      <c r="AI69" s="303">
        <f t="shared" si="6"/>
        <v>0</v>
      </c>
      <c r="AJ69" s="303">
        <f t="shared" si="7"/>
        <v>0</v>
      </c>
      <c r="AK69" s="303">
        <f t="shared" si="8"/>
        <v>6.1582330330610087E-10</v>
      </c>
      <c r="AL69" s="303">
        <f t="shared" si="9"/>
        <v>0.20859589034851317</v>
      </c>
      <c r="AM69" s="304">
        <f t="shared" si="10"/>
        <v>0</v>
      </c>
      <c r="AN69" s="305">
        <f t="shared" si="10"/>
        <v>6.1582330330610087E-10</v>
      </c>
      <c r="AO69" s="306">
        <f t="shared" si="10"/>
        <v>0.20859589034851317</v>
      </c>
    </row>
    <row r="70" spans="1:41" s="51" customFormat="1" ht="15" customHeight="1" x14ac:dyDescent="0.2">
      <c r="A70" s="68" t="str">
        <f>'36. Generic chemical products'!A7</f>
        <v>Detergent, average (Ultravon EL)</v>
      </c>
      <c r="B70" s="68" t="str">
        <f>'36. Generic chemical products'!B7</f>
        <v>Ethoxylated fatty alcohol (&gt;6 EO)</v>
      </c>
      <c r="C70" s="68">
        <f>'36. Generic chemical products'!C7</f>
        <v>0.1</v>
      </c>
      <c r="D70" s="68" t="str">
        <f>'36. Generic chemical products'!D7</f>
        <v>kg</v>
      </c>
      <c r="E70" s="68" t="str">
        <f>'36. Generic chemical products'!E7</f>
        <v>MSDS</v>
      </c>
      <c r="F70" s="68"/>
      <c r="G70" s="68" t="str">
        <f>'36. Generic chemical products'!G7</f>
        <v>-</v>
      </c>
      <c r="H70" s="68">
        <f>'36. Generic chemical products'!H7</f>
        <v>0</v>
      </c>
      <c r="I70" s="68">
        <f>'36. Generic chemical products'!I7</f>
        <v>0</v>
      </c>
      <c r="J70" s="68">
        <f>'36. Generic chemical products'!J7</f>
        <v>0</v>
      </c>
      <c r="K70" s="68">
        <f>'36. Generic chemical products'!K7</f>
        <v>0</v>
      </c>
      <c r="L70" s="68"/>
      <c r="M70" s="68" t="str">
        <f>'36. Generic chemical products'!M7</f>
        <v>Alcohols, c12-14, ethoxylated</v>
      </c>
      <c r="N70" s="68" t="str">
        <f>'36. Generic chemical products'!N7</f>
        <v>river</v>
      </c>
      <c r="O70" s="68">
        <f>'36. Generic chemical products'!O7</f>
        <v>1.0000000000000002E-2</v>
      </c>
      <c r="P70" s="68" t="str">
        <f>'36. Generic chemical products'!P7</f>
        <v>kg</v>
      </c>
      <c r="Q70" s="68">
        <f>'36. Generic chemical products'!Q7</f>
        <v>0</v>
      </c>
      <c r="R70" s="68">
        <f>'36. Generic chemical products'!R7</f>
        <v>0</v>
      </c>
      <c r="S70" s="68">
        <f>'36. Generic chemical products'!S7</f>
        <v>0</v>
      </c>
      <c r="T70" s="68" t="str">
        <f>'36. Generic chemical products'!T7</f>
        <v>69011-36-5</v>
      </c>
      <c r="U70" s="68">
        <f>'36. Generic chemical products'!U7</f>
        <v>0</v>
      </c>
      <c r="V70" s="68">
        <f>'36. Generic chemical products'!V7</f>
        <v>0</v>
      </c>
      <c r="W70" s="68">
        <f>'36. Generic chemical products'!W7</f>
        <v>0</v>
      </c>
      <c r="X70" s="68">
        <f>'36. Generic chemical products'!X7</f>
        <v>0</v>
      </c>
      <c r="Y70" s="68">
        <f>'36. Generic chemical products'!Y7</f>
        <v>47</v>
      </c>
      <c r="Z70" s="68">
        <f>'36. Generic chemical products'!Z7</f>
        <v>913</v>
      </c>
      <c r="AA70" s="68" t="str">
        <f>'36. Generic chemical products'!AA7</f>
        <v>COSMEDE</v>
      </c>
      <c r="AB70" s="300">
        <f t="shared" si="0"/>
        <v>0</v>
      </c>
      <c r="AC70" s="301">
        <f t="shared" si="1"/>
        <v>7.5000000000000023E-4</v>
      </c>
      <c r="AD70" s="302">
        <f t="shared" si="11"/>
        <v>0</v>
      </c>
      <c r="AE70" s="302">
        <f t="shared" si="2"/>
        <v>0</v>
      </c>
      <c r="AF70" s="303">
        <f t="shared" si="3"/>
        <v>0.68475000000000019</v>
      </c>
      <c r="AG70" s="303">
        <f t="shared" si="4"/>
        <v>0</v>
      </c>
      <c r="AH70" s="303">
        <f t="shared" si="5"/>
        <v>0</v>
      </c>
      <c r="AI70" s="303">
        <f t="shared" si="6"/>
        <v>0</v>
      </c>
      <c r="AJ70" s="303">
        <f t="shared" si="7"/>
        <v>0</v>
      </c>
      <c r="AK70" s="303">
        <f t="shared" si="8"/>
        <v>0</v>
      </c>
      <c r="AL70" s="303">
        <f t="shared" si="9"/>
        <v>0.68475000000000019</v>
      </c>
      <c r="AM70" s="304">
        <f t="shared" si="10"/>
        <v>0</v>
      </c>
      <c r="AN70" s="305">
        <f t="shared" si="10"/>
        <v>0</v>
      </c>
      <c r="AO70" s="306">
        <f t="shared" si="10"/>
        <v>0.68475000000000019</v>
      </c>
    </row>
    <row r="71" spans="1:41" s="51" customFormat="1" ht="15" customHeight="1" x14ac:dyDescent="0.2">
      <c r="A71" s="68" t="str">
        <f>'36. Generic chemical products'!A8</f>
        <v>Detergent, average (Ultravon EL)</v>
      </c>
      <c r="B71" s="68" t="str">
        <f>'36. Generic chemical products'!B8</f>
        <v>Sodium mono(2-ethylhexyl)estersulfate</v>
      </c>
      <c r="C71" s="68">
        <f>'36. Generic chemical products'!C8</f>
        <v>0.05</v>
      </c>
      <c r="D71" s="68" t="str">
        <f>'36. Generic chemical products'!D8</f>
        <v>kg</v>
      </c>
      <c r="E71" s="68" t="str">
        <f>'36. Generic chemical products'!E8</f>
        <v>MSDS</v>
      </c>
      <c r="F71" s="68"/>
      <c r="G71" s="68" t="str">
        <f>'36. Generic chemical products'!G8</f>
        <v>-</v>
      </c>
      <c r="H71" s="68">
        <f>'36. Generic chemical products'!H8</f>
        <v>0</v>
      </c>
      <c r="I71" s="68">
        <f>'36. Generic chemical products'!I8</f>
        <v>0</v>
      </c>
      <c r="J71" s="68">
        <f>'36. Generic chemical products'!J8</f>
        <v>0</v>
      </c>
      <c r="K71" s="68">
        <f>'36. Generic chemical products'!K8</f>
        <v>0</v>
      </c>
      <c r="L71" s="68"/>
      <c r="M71" s="68" t="str">
        <f>'36. Generic chemical products'!M8</f>
        <v>Sodium mono(2-ethylhexyl)estersulfate</v>
      </c>
      <c r="N71" s="68" t="str">
        <f>'36. Generic chemical products'!N8</f>
        <v>river</v>
      </c>
      <c r="O71" s="68">
        <f>'36. Generic chemical products'!O8</f>
        <v>5.000000000000001E-3</v>
      </c>
      <c r="P71" s="68" t="str">
        <f>'36. Generic chemical products'!P8</f>
        <v>kg</v>
      </c>
      <c r="Q71" s="68">
        <f>'36. Generic chemical products'!Q8</f>
        <v>0</v>
      </c>
      <c r="R71" s="68">
        <f>'36. Generic chemical products'!R8</f>
        <v>0</v>
      </c>
      <c r="S71" s="68">
        <f>'36. Generic chemical products'!S8</f>
        <v>0</v>
      </c>
      <c r="T71" s="68" t="str">
        <f>'36. Generic chemical products'!T8</f>
        <v>126-92-1</v>
      </c>
      <c r="U71" s="68">
        <f>'36. Generic chemical products'!U8</f>
        <v>0</v>
      </c>
      <c r="V71" s="68">
        <f>'36. Generic chemical products'!V8</f>
        <v>0</v>
      </c>
      <c r="W71" s="68">
        <f>'36. Generic chemical products'!W8</f>
        <v>0</v>
      </c>
      <c r="X71" s="68">
        <f>'36. Generic chemical products'!X8</f>
        <v>0</v>
      </c>
      <c r="Y71" s="68">
        <f>'36. Generic chemical products'!Y8</f>
        <v>109.72</v>
      </c>
      <c r="Z71" s="68">
        <f>'36. Generic chemical products'!Z8</f>
        <v>110</v>
      </c>
      <c r="AA71" s="68" t="str">
        <f>'36. Generic chemical products'!AA8</f>
        <v>COSMEDE</v>
      </c>
      <c r="AB71" s="300">
        <f t="shared" si="0"/>
        <v>0</v>
      </c>
      <c r="AC71" s="301">
        <f t="shared" si="1"/>
        <v>3.7500000000000012E-4</v>
      </c>
      <c r="AD71" s="302">
        <f t="shared" si="11"/>
        <v>0</v>
      </c>
      <c r="AE71" s="302">
        <f t="shared" si="2"/>
        <v>0</v>
      </c>
      <c r="AF71" s="303">
        <f t="shared" si="3"/>
        <v>4.1250000000000016E-2</v>
      </c>
      <c r="AG71" s="303">
        <f t="shared" si="4"/>
        <v>0</v>
      </c>
      <c r="AH71" s="303">
        <f t="shared" si="5"/>
        <v>0</v>
      </c>
      <c r="AI71" s="303">
        <f t="shared" si="6"/>
        <v>0</v>
      </c>
      <c r="AJ71" s="303">
        <f t="shared" si="7"/>
        <v>0</v>
      </c>
      <c r="AK71" s="303">
        <f t="shared" si="8"/>
        <v>0</v>
      </c>
      <c r="AL71" s="303">
        <f t="shared" si="9"/>
        <v>4.1250000000000016E-2</v>
      </c>
      <c r="AM71" s="304">
        <f t="shared" si="10"/>
        <v>0</v>
      </c>
      <c r="AN71" s="305">
        <f t="shared" si="10"/>
        <v>0</v>
      </c>
      <c r="AO71" s="306">
        <f t="shared" si="10"/>
        <v>4.1250000000000016E-2</v>
      </c>
    </row>
    <row r="72" spans="1:41" s="51" customFormat="1" ht="15" customHeight="1" x14ac:dyDescent="0.2">
      <c r="A72" s="68" t="str">
        <f>'36. Generic chemical products'!A9</f>
        <v>Detergent, average (Ultravon EL)</v>
      </c>
      <c r="B72" s="68" t="str">
        <f>'36. Generic chemical products'!B9</f>
        <v>Ethylene oxide</v>
      </c>
      <c r="C72" s="68">
        <f>'36. Generic chemical products'!C9</f>
        <v>0</v>
      </c>
      <c r="D72" s="68">
        <f>'36. Generic chemical products'!D9</f>
        <v>0</v>
      </c>
      <c r="E72" s="68" t="str">
        <f>'36. Generic chemical products'!E9</f>
        <v>&lt;= 0.1% in alcohol ethoxylates</v>
      </c>
      <c r="F72" s="68"/>
      <c r="G72" s="68" t="str">
        <f>'36. Generic chemical products'!G9</f>
        <v>Ethylene oxide</v>
      </c>
      <c r="H72" s="68" t="str">
        <f>'36. Generic chemical products'!H9</f>
        <v>high. pop.</v>
      </c>
      <c r="I72" s="68">
        <f>'36. Generic chemical products'!I9</f>
        <v>1.0000000000000001E-7</v>
      </c>
      <c r="J72" s="68" t="str">
        <f>'36. Generic chemical products'!J9</f>
        <v>kg</v>
      </c>
      <c r="K72" s="68">
        <f>'36. Generic chemical products'!K9</f>
        <v>0</v>
      </c>
      <c r="L72" s="68"/>
      <c r="M72" s="68" t="str">
        <f>'36. Generic chemical products'!M9</f>
        <v>Ethylene oxide</v>
      </c>
      <c r="N72" s="68" t="str">
        <f>'36. Generic chemical products'!N9</f>
        <v>river</v>
      </c>
      <c r="O72" s="68">
        <f>'36. Generic chemical products'!O9</f>
        <v>1.0000000000000001E-5</v>
      </c>
      <c r="P72" s="68" t="str">
        <f>'36. Generic chemical products'!P9</f>
        <v>kg</v>
      </c>
      <c r="Q72" s="68" t="str">
        <f>'36. Generic chemical products'!Q9</f>
        <v>&lt;= 0.001 in alcohol ethoxylates</v>
      </c>
      <c r="R72" s="68">
        <f>'36. Generic chemical products'!R9</f>
        <v>0</v>
      </c>
      <c r="S72" s="68">
        <f>'36. Generic chemical products'!S9</f>
        <v>0</v>
      </c>
      <c r="T72" s="68" t="str">
        <f>'36. Generic chemical products'!T9</f>
        <v>75-21-8</v>
      </c>
      <c r="U72" s="68">
        <f>'36. Generic chemical products'!U9</f>
        <v>1.0252176328593382E-6</v>
      </c>
      <c r="V72" s="68">
        <f>'36. Generic chemical products'!V9</f>
        <v>0</v>
      </c>
      <c r="W72" s="68">
        <f>'36. Generic chemical products'!W9</f>
        <v>8.6533271568247147E-7</v>
      </c>
      <c r="X72" s="68">
        <f>'36. Generic chemical products'!X9</f>
        <v>0</v>
      </c>
      <c r="Y72" s="68">
        <f>'36. Generic chemical products'!Y9</f>
        <v>0.65406517859613422</v>
      </c>
      <c r="Z72" s="68">
        <f>'36. Generic chemical products'!Z9</f>
        <v>11.248588270889815</v>
      </c>
      <c r="AA72" s="68" t="str">
        <f>'36. Generic chemical products'!AA9</f>
        <v>USEtox</v>
      </c>
      <c r="AB72" s="300">
        <f t="shared" si="0"/>
        <v>7.500000000000001E-9</v>
      </c>
      <c r="AC72" s="301">
        <f t="shared" si="1"/>
        <v>7.5000000000000012E-7</v>
      </c>
      <c r="AD72" s="302">
        <f t="shared" si="11"/>
        <v>6.566886690082987E-13</v>
      </c>
      <c r="AE72" s="302">
        <f t="shared" si="2"/>
        <v>0</v>
      </c>
      <c r="AF72" s="303">
        <f t="shared" si="3"/>
        <v>8.4413466920068334E-6</v>
      </c>
      <c r="AG72" s="303">
        <f t="shared" si="4"/>
        <v>7.6891322464450377E-15</v>
      </c>
      <c r="AH72" s="303">
        <f t="shared" si="5"/>
        <v>0</v>
      </c>
      <c r="AI72" s="303">
        <f t="shared" si="6"/>
        <v>4.9054888394710076E-9</v>
      </c>
      <c r="AJ72" s="303">
        <f t="shared" si="7"/>
        <v>6.4899953676185368E-13</v>
      </c>
      <c r="AK72" s="303">
        <f t="shared" si="8"/>
        <v>0</v>
      </c>
      <c r="AL72" s="303">
        <f t="shared" si="9"/>
        <v>8.4364412031673626E-6</v>
      </c>
      <c r="AM72" s="304">
        <f t="shared" si="10"/>
        <v>6.566886690082987E-13</v>
      </c>
      <c r="AN72" s="305">
        <f t="shared" si="10"/>
        <v>0</v>
      </c>
      <c r="AO72" s="306">
        <f t="shared" si="10"/>
        <v>8.4413466920068334E-6</v>
      </c>
    </row>
    <row r="73" spans="1:41" s="139" customFormat="1" ht="15" customHeight="1" x14ac:dyDescent="0.2">
      <c r="A73" s="193" t="str">
        <f>'36. Generic chemical products'!A10</f>
        <v>Detergent, average (Ultravon EL)</v>
      </c>
      <c r="B73" s="193" t="str">
        <f>'36. Generic chemical products'!B10</f>
        <v xml:space="preserve"> </v>
      </c>
      <c r="C73" s="193">
        <f>'36. Generic chemical products'!C10</f>
        <v>0</v>
      </c>
      <c r="D73" s="193">
        <f>'36. Generic chemical products'!D10</f>
        <v>0</v>
      </c>
      <c r="E73" s="193" t="str">
        <f>'36. Generic chemical products'!E10</f>
        <v>Common breakdown product of of acrylics, 0.001 % assumed</v>
      </c>
      <c r="F73" s="193"/>
      <c r="G73" s="193" t="str">
        <f>'36. Generic chemical products'!G10</f>
        <v>Formaldehyde</v>
      </c>
      <c r="H73" s="193" t="str">
        <f>'36. Generic chemical products'!H10</f>
        <v>high. pop.</v>
      </c>
      <c r="I73" s="193">
        <f>'36. Generic chemical products'!I10</f>
        <v>1.0000000000000001E-7</v>
      </c>
      <c r="J73" s="193" t="str">
        <f>'36. Generic chemical products'!J10</f>
        <v>kg</v>
      </c>
      <c r="K73" s="193">
        <f>'36. Generic chemical products'!K10</f>
        <v>0</v>
      </c>
      <c r="L73" s="193"/>
      <c r="M73" s="193" t="str">
        <f>'36. Generic chemical products'!M10</f>
        <v>Formaldehyde</v>
      </c>
      <c r="N73" s="193" t="str">
        <f>'36. Generic chemical products'!N10</f>
        <v>river</v>
      </c>
      <c r="O73" s="193">
        <f>'36. Generic chemical products'!O10</f>
        <v>1.0000000000000002E-6</v>
      </c>
      <c r="P73" s="193" t="str">
        <f>'36. Generic chemical products'!P10</f>
        <v>kg</v>
      </c>
      <c r="Q73" s="193" t="str">
        <f>'36. Generic chemical products'!Q10</f>
        <v xml:space="preserve">0.1 % of the content is degraded to common breakdown products. 90% of reactive chemicals are degraded during operations. </v>
      </c>
      <c r="R73" s="193">
        <f>'36. Generic chemical products'!R10</f>
        <v>0</v>
      </c>
      <c r="S73" s="193">
        <f>'36. Generic chemical products'!S10</f>
        <v>0</v>
      </c>
      <c r="T73" s="193" t="str">
        <f>'36. Generic chemical products'!T10</f>
        <v>50-00-0</v>
      </c>
      <c r="U73" s="193">
        <f>'36. Generic chemical products'!U10</f>
        <v>2.5208446330720887E-5</v>
      </c>
      <c r="V73" s="193">
        <f>'36. Generic chemical products'!V10</f>
        <v>2.6504960021309262E-7</v>
      </c>
      <c r="W73" s="193">
        <f>'36. Generic chemical products'!W10</f>
        <v>1.4222228897488039E-7</v>
      </c>
      <c r="X73" s="193">
        <f>'36. Generic chemical products'!X10</f>
        <v>3.170874313501273E-7</v>
      </c>
      <c r="Y73" s="193">
        <f>'36. Generic chemical products'!Y10</f>
        <v>17.989178582912412</v>
      </c>
      <c r="Z73" s="193">
        <f>'36. Generic chemical products'!Z10</f>
        <v>290.05086067463066</v>
      </c>
      <c r="AA73" s="193" t="str">
        <f>'36. Generic chemical products'!AA10</f>
        <v>USEtox</v>
      </c>
      <c r="AB73" s="307">
        <f t="shared" si="0"/>
        <v>7.500000000000001E-9</v>
      </c>
      <c r="AC73" s="308">
        <f t="shared" si="1"/>
        <v>7.5000000000000023E-8</v>
      </c>
      <c r="AD73" s="309">
        <f t="shared" si="11"/>
        <v>1.9973001915352273E-13</v>
      </c>
      <c r="AE73" s="309">
        <f t="shared" si="2"/>
        <v>2.576942935285775E-14</v>
      </c>
      <c r="AF73" s="310">
        <f t="shared" si="3"/>
        <v>2.1888733389969147E-5</v>
      </c>
      <c r="AG73" s="310">
        <f t="shared" si="4"/>
        <v>1.8906334748040669E-13</v>
      </c>
      <c r="AH73" s="310">
        <f t="shared" si="5"/>
        <v>1.9878720015981949E-15</v>
      </c>
      <c r="AI73" s="310">
        <f t="shared" si="6"/>
        <v>1.3491883937184311E-7</v>
      </c>
      <c r="AJ73" s="310">
        <f t="shared" si="7"/>
        <v>1.0666671673116034E-14</v>
      </c>
      <c r="AK73" s="310">
        <f t="shared" si="8"/>
        <v>2.3781557351259555E-14</v>
      </c>
      <c r="AL73" s="310">
        <f t="shared" si="9"/>
        <v>2.1753814550597304E-5</v>
      </c>
      <c r="AM73" s="311">
        <f t="shared" si="10"/>
        <v>1.9973001915352273E-13</v>
      </c>
      <c r="AN73" s="312">
        <f t="shared" si="10"/>
        <v>2.576942935285775E-14</v>
      </c>
      <c r="AO73" s="313">
        <f t="shared" si="10"/>
        <v>2.1888733389969147E-5</v>
      </c>
    </row>
    <row r="74" spans="1:41" s="195" customFormat="1" ht="15" customHeight="1" x14ac:dyDescent="0.2">
      <c r="A74" s="400" t="str">
        <f>'36. Generic chemical products'!A22</f>
        <v>Sequestering agent/complex binder, average (Invatex)</v>
      </c>
      <c r="B74" s="400" t="str">
        <f>'36. Generic chemical products'!B22</f>
        <v>Phosphonic acid, disodium salt</v>
      </c>
      <c r="C74" s="400">
        <f>'36. Generic chemical products'!C22</f>
        <v>0.3</v>
      </c>
      <c r="D74" s="400" t="str">
        <f>'36. Generic chemical products'!D22</f>
        <v>kg</v>
      </c>
      <c r="E74" s="400" t="str">
        <f>'36. Generic chemical products'!E22</f>
        <v>MSDS</v>
      </c>
      <c r="F74" s="400"/>
      <c r="G74" s="400" t="str">
        <f>'36. Generic chemical products'!G22</f>
        <v>Phosphonic acid</v>
      </c>
      <c r="H74" s="400" t="str">
        <f>'36. Generic chemical products'!H22</f>
        <v>high. pop.</v>
      </c>
      <c r="I74" s="400">
        <f>'36. Generic chemical products'!I22</f>
        <v>2.9999999999999997E-4</v>
      </c>
      <c r="J74" s="400">
        <f>'36. Generic chemical products'!J22</f>
        <v>0</v>
      </c>
      <c r="K74" s="400">
        <f>'36. Generic chemical products'!K22</f>
        <v>0</v>
      </c>
      <c r="L74" s="400"/>
      <c r="M74" s="400" t="str">
        <f>'36. Generic chemical products'!M22</f>
        <v>Phosphonic acid</v>
      </c>
      <c r="N74" s="400" t="str">
        <f>'36. Generic chemical products'!N22</f>
        <v>river</v>
      </c>
      <c r="O74" s="400">
        <f>'36. Generic chemical products'!O22</f>
        <v>0.03</v>
      </c>
      <c r="P74" s="400" t="str">
        <f>'36. Generic chemical products'!P22</f>
        <v>kg</v>
      </c>
      <c r="Q74" s="400">
        <f>'36. Generic chemical products'!Q22</f>
        <v>0</v>
      </c>
      <c r="R74" s="400">
        <f>'36. Generic chemical products'!R22</f>
        <v>0</v>
      </c>
      <c r="S74" s="400">
        <f>'36. Generic chemical products'!S22</f>
        <v>0</v>
      </c>
      <c r="T74" s="400" t="str">
        <f>'36. Generic chemical products'!T22</f>
        <v>13708-85-5</v>
      </c>
      <c r="U74" s="400">
        <f>'36. Generic chemical products'!U22</f>
        <v>0</v>
      </c>
      <c r="V74" s="400">
        <f>'36. Generic chemical products'!V22</f>
        <v>2.5624272316803493E-8</v>
      </c>
      <c r="W74" s="400">
        <f>'36. Generic chemical products'!W22</f>
        <v>0</v>
      </c>
      <c r="X74" s="400">
        <f>'36. Generic chemical products'!X22</f>
        <v>6.1179997974786175E-9</v>
      </c>
      <c r="Y74" s="400">
        <f>'36. Generic chemical products'!Y22</f>
        <v>95.727827940780713</v>
      </c>
      <c r="Z74" s="400">
        <f>'36. Generic chemical products'!Z22</f>
        <v>451.93033608164546</v>
      </c>
      <c r="AA74" s="400" t="str">
        <f>'36. Generic chemical products'!AA22</f>
        <v>Roos 2017</v>
      </c>
      <c r="AB74" s="327">
        <f>$C$23*I74</f>
        <v>5.9999999999999993E-6</v>
      </c>
      <c r="AC74" s="328">
        <f>$C$38*O74</f>
        <v>5.9999999999999995E-4</v>
      </c>
      <c r="AD74" s="329">
        <f t="shared" si="11"/>
        <v>0</v>
      </c>
      <c r="AE74" s="329">
        <f t="shared" si="2"/>
        <v>3.8245455123879915E-12</v>
      </c>
      <c r="AF74" s="330">
        <f t="shared" si="3"/>
        <v>0.27173256861663192</v>
      </c>
      <c r="AG74" s="330">
        <f t="shared" si="4"/>
        <v>0</v>
      </c>
      <c r="AH74" s="330">
        <f t="shared" si="5"/>
        <v>1.5374563390082094E-13</v>
      </c>
      <c r="AI74" s="330">
        <f t="shared" si="6"/>
        <v>5.743669676446842E-4</v>
      </c>
      <c r="AJ74" s="330">
        <f t="shared" si="7"/>
        <v>0</v>
      </c>
      <c r="AK74" s="330">
        <f t="shared" si="8"/>
        <v>3.6707998784871705E-12</v>
      </c>
      <c r="AL74" s="330">
        <f t="shared" si="9"/>
        <v>0.27115820164898724</v>
      </c>
      <c r="AM74" s="331">
        <f t="shared" si="10"/>
        <v>0</v>
      </c>
      <c r="AN74" s="332">
        <f t="shared" si="10"/>
        <v>3.8245455123879915E-12</v>
      </c>
      <c r="AO74" s="333">
        <f t="shared" si="10"/>
        <v>0.27173256861663192</v>
      </c>
    </row>
    <row r="75" spans="1:41" s="51" customFormat="1" ht="15" customHeight="1" x14ac:dyDescent="0.2">
      <c r="A75" s="68" t="str">
        <f>'36. Generic chemical products'!A27</f>
        <v>Antifoaming agent, average (3M Defoamer)</v>
      </c>
      <c r="B75" s="68" t="str">
        <f>'36. Generic chemical products'!B27</f>
        <v>Dimethyl siloxane, reaction product with silica</v>
      </c>
      <c r="C75" s="68">
        <f>'36. Generic chemical products'!C27</f>
        <v>0.05</v>
      </c>
      <c r="D75" s="68" t="str">
        <f>'36. Generic chemical products'!D27</f>
        <v>kg</v>
      </c>
      <c r="E75" s="68" t="str">
        <f>'36. Generic chemical products'!E27</f>
        <v>MSDS</v>
      </c>
      <c r="F75" s="68"/>
      <c r="G75" s="68" t="str">
        <f>'36. Generic chemical products'!G27</f>
        <v>-</v>
      </c>
      <c r="H75" s="68">
        <f>'36. Generic chemical products'!H27</f>
        <v>0</v>
      </c>
      <c r="I75" s="68">
        <f>'36. Generic chemical products'!I27</f>
        <v>0</v>
      </c>
      <c r="J75" s="68">
        <f>'36. Generic chemical products'!J27</f>
        <v>0</v>
      </c>
      <c r="K75" s="68">
        <f>'36. Generic chemical products'!K27</f>
        <v>0</v>
      </c>
      <c r="L75" s="68"/>
      <c r="M75" s="68" t="str">
        <f>'36. Generic chemical products'!M27</f>
        <v>Dimethyl siloxane, reaction product with silica</v>
      </c>
      <c r="N75" s="68" t="str">
        <f>'36. Generic chemical products'!N27</f>
        <v>river</v>
      </c>
      <c r="O75" s="68">
        <f>'36. Generic chemical products'!O27</f>
        <v>5.000000000000001E-3</v>
      </c>
      <c r="P75" s="68" t="str">
        <f>'36. Generic chemical products'!P27</f>
        <v>kg</v>
      </c>
      <c r="Q75" s="68">
        <f>'36. Generic chemical products'!Q27</f>
        <v>0</v>
      </c>
      <c r="R75" s="68">
        <f>'36. Generic chemical products'!R27</f>
        <v>0</v>
      </c>
      <c r="S75" s="68">
        <f>'36. Generic chemical products'!S27</f>
        <v>0</v>
      </c>
      <c r="T75" s="68" t="str">
        <f>'36. Generic chemical products'!T27</f>
        <v>67762-90-7</v>
      </c>
      <c r="U75" s="68">
        <f>'36. Generic chemical products'!U27</f>
        <v>0</v>
      </c>
      <c r="V75" s="68">
        <f>'36. Generic chemical products'!V27</f>
        <v>3.4962401965755862E-5</v>
      </c>
      <c r="W75" s="68">
        <f>'36. Generic chemical products'!W27</f>
        <v>0</v>
      </c>
      <c r="X75" s="68">
        <f>'36. Generic chemical products'!X27</f>
        <v>1.4442852689626513E-7</v>
      </c>
      <c r="Y75" s="68">
        <f>'36. Generic chemical products'!Y27</f>
        <v>1.7253896630384493</v>
      </c>
      <c r="Z75" s="68">
        <f>'36. Generic chemical products'!Z27</f>
        <v>5.4794308572283885</v>
      </c>
      <c r="AA75" s="68" t="str">
        <f>'36. Generic chemical products'!AA27</f>
        <v>Roos 2017</v>
      </c>
      <c r="AB75" s="300">
        <f>$C$24*I75</f>
        <v>0</v>
      </c>
      <c r="AC75" s="301">
        <f>$C$39*O75</f>
        <v>7.5000000000000002E-6</v>
      </c>
      <c r="AD75" s="302">
        <f t="shared" si="11"/>
        <v>0</v>
      </c>
      <c r="AE75" s="302">
        <f t="shared" si="2"/>
        <v>1.0832139517219885E-12</v>
      </c>
      <c r="AF75" s="303">
        <f t="shared" si="3"/>
        <v>4.1095731429212918E-5</v>
      </c>
      <c r="AG75" s="303">
        <f t="shared" si="4"/>
        <v>0</v>
      </c>
      <c r="AH75" s="303">
        <f t="shared" si="5"/>
        <v>0</v>
      </c>
      <c r="AI75" s="303">
        <f t="shared" si="6"/>
        <v>0</v>
      </c>
      <c r="AJ75" s="303">
        <f t="shared" si="7"/>
        <v>0</v>
      </c>
      <c r="AK75" s="303">
        <f t="shared" si="8"/>
        <v>1.0832139517219885E-12</v>
      </c>
      <c r="AL75" s="303">
        <f t="shared" si="9"/>
        <v>4.1095731429212918E-5</v>
      </c>
      <c r="AM75" s="304">
        <f t="shared" si="10"/>
        <v>0</v>
      </c>
      <c r="AN75" s="305">
        <f t="shared" si="10"/>
        <v>1.0832139517219885E-12</v>
      </c>
      <c r="AO75" s="306">
        <f t="shared" si="10"/>
        <v>4.1095731429212918E-5</v>
      </c>
    </row>
    <row r="76" spans="1:41" s="51" customFormat="1" ht="15" customHeight="1" x14ac:dyDescent="0.2">
      <c r="A76" s="68" t="str">
        <f>'36. Generic chemical products'!A28</f>
        <v>Antifoaming agent, average (3M Defoamer)</v>
      </c>
      <c r="B76" s="68" t="str">
        <f>'36. Generic chemical products'!B28</f>
        <v>Sodium hydroxide</v>
      </c>
      <c r="C76" s="68">
        <f>'36. Generic chemical products'!C28</f>
        <v>0.02</v>
      </c>
      <c r="D76" s="68" t="str">
        <f>'36. Generic chemical products'!D28</f>
        <v>kg</v>
      </c>
      <c r="E76" s="68" t="str">
        <f>'36. Generic chemical products'!E28</f>
        <v>MSDS</v>
      </c>
      <c r="F76" s="68"/>
      <c r="G76" s="68" t="str">
        <f>'36. Generic chemical products'!G28</f>
        <v>-</v>
      </c>
      <c r="H76" s="68">
        <f>'36. Generic chemical products'!H28</f>
        <v>0</v>
      </c>
      <c r="I76" s="68">
        <f>'36. Generic chemical products'!I28</f>
        <v>0</v>
      </c>
      <c r="J76" s="68">
        <f>'36. Generic chemical products'!J28</f>
        <v>0</v>
      </c>
      <c r="K76" s="68">
        <f>'36. Generic chemical products'!K28</f>
        <v>0</v>
      </c>
      <c r="L76" s="68"/>
      <c r="M76" s="68" t="str">
        <f>'36. Generic chemical products'!M28</f>
        <v>Sodium hydroxide</v>
      </c>
      <c r="N76" s="68" t="str">
        <f>'36. Generic chemical products'!N28</f>
        <v>river</v>
      </c>
      <c r="O76" s="68">
        <f>'36. Generic chemical products'!O28</f>
        <v>2E-3</v>
      </c>
      <c r="P76" s="68" t="str">
        <f>'36. Generic chemical products'!P28</f>
        <v>kg</v>
      </c>
      <c r="Q76" s="68">
        <f>'36. Generic chemical products'!Q28</f>
        <v>0</v>
      </c>
      <c r="R76" s="68">
        <f>'36. Generic chemical products'!R28</f>
        <v>0</v>
      </c>
      <c r="S76" s="68">
        <f>'36. Generic chemical products'!S28</f>
        <v>0</v>
      </c>
      <c r="T76" s="68" t="str">
        <f>'36. Generic chemical products'!T28</f>
        <v>1310-73-2</v>
      </c>
      <c r="U76" s="68">
        <f>'36. Generic chemical products'!U28</f>
        <v>0</v>
      </c>
      <c r="V76" s="68">
        <f>'36. Generic chemical products'!V28</f>
        <v>0</v>
      </c>
      <c r="W76" s="68">
        <f>'36. Generic chemical products'!W28</f>
        <v>0</v>
      </c>
      <c r="X76" s="68">
        <f>'36. Generic chemical products'!X28</f>
        <v>0</v>
      </c>
      <c r="Y76" s="68">
        <f>'36. Generic chemical products'!Y28</f>
        <v>164.24</v>
      </c>
      <c r="Z76" s="68">
        <f>'36. Generic chemical products'!Z28</f>
        <v>400.09</v>
      </c>
      <c r="AA76" s="68" t="str">
        <f>'36. Generic chemical products'!AA28</f>
        <v>COSMEDE</v>
      </c>
      <c r="AB76" s="300">
        <f>$C$24*I76</f>
        <v>0</v>
      </c>
      <c r="AC76" s="301">
        <f>$C$39*O76</f>
        <v>2.9999999999999997E-6</v>
      </c>
      <c r="AD76" s="302">
        <f t="shared" si="11"/>
        <v>0</v>
      </c>
      <c r="AE76" s="302">
        <f t="shared" si="2"/>
        <v>0</v>
      </c>
      <c r="AF76" s="303">
        <f t="shared" si="3"/>
        <v>1.2002699999999998E-3</v>
      </c>
      <c r="AG76" s="303">
        <f t="shared" si="4"/>
        <v>0</v>
      </c>
      <c r="AH76" s="303">
        <f t="shared" si="5"/>
        <v>0</v>
      </c>
      <c r="AI76" s="303">
        <f t="shared" si="6"/>
        <v>0</v>
      </c>
      <c r="AJ76" s="303">
        <f t="shared" si="7"/>
        <v>0</v>
      </c>
      <c r="AK76" s="303">
        <f t="shared" si="8"/>
        <v>0</v>
      </c>
      <c r="AL76" s="303">
        <f t="shared" si="9"/>
        <v>1.2002699999999998E-3</v>
      </c>
      <c r="AM76" s="304">
        <f t="shared" si="10"/>
        <v>0</v>
      </c>
      <c r="AN76" s="305">
        <f t="shared" si="10"/>
        <v>0</v>
      </c>
      <c r="AO76" s="306">
        <f t="shared" si="10"/>
        <v>1.2002699999999998E-3</v>
      </c>
    </row>
    <row r="77" spans="1:41" s="51" customFormat="1" ht="15" customHeight="1" x14ac:dyDescent="0.2">
      <c r="A77" s="68" t="str">
        <f>'36. Generic chemical products'!A29</f>
        <v>Antifoaming agent, average (3M Defoamer)</v>
      </c>
      <c r="B77" s="68" t="str">
        <f>'36. Generic chemical products'!B29</f>
        <v>Sodium lauryl sulphate</v>
      </c>
      <c r="C77" s="68">
        <f>'36. Generic chemical products'!C29</f>
        <v>1E-3</v>
      </c>
      <c r="D77" s="68" t="str">
        <f>'36. Generic chemical products'!D29</f>
        <v>kg</v>
      </c>
      <c r="E77" s="68" t="str">
        <f>'36. Generic chemical products'!E29</f>
        <v>MSDS</v>
      </c>
      <c r="F77" s="68"/>
      <c r="G77" s="68" t="str">
        <f>'36. Generic chemical products'!G29</f>
        <v>-</v>
      </c>
      <c r="H77" s="68">
        <f>'36. Generic chemical products'!H29</f>
        <v>0</v>
      </c>
      <c r="I77" s="68">
        <f>'36. Generic chemical products'!I29</f>
        <v>0</v>
      </c>
      <c r="J77" s="68">
        <f>'36. Generic chemical products'!J29</f>
        <v>0</v>
      </c>
      <c r="K77" s="68">
        <f>'36. Generic chemical products'!K29</f>
        <v>0</v>
      </c>
      <c r="L77" s="68"/>
      <c r="M77" s="68" t="str">
        <f>'36. Generic chemical products'!M29</f>
        <v>Sodium lauryl sulfate</v>
      </c>
      <c r="N77" s="68" t="str">
        <f>'36. Generic chemical products'!N29</f>
        <v>river</v>
      </c>
      <c r="O77" s="68">
        <f>'36. Generic chemical products'!O29</f>
        <v>1E-4</v>
      </c>
      <c r="P77" s="68" t="str">
        <f>'36. Generic chemical products'!P29</f>
        <v>kg</v>
      </c>
      <c r="Q77" s="68">
        <f>'36. Generic chemical products'!Q29</f>
        <v>0</v>
      </c>
      <c r="R77" s="68">
        <f>'36. Generic chemical products'!R29</f>
        <v>0</v>
      </c>
      <c r="S77" s="68">
        <f>'36. Generic chemical products'!S29</f>
        <v>0</v>
      </c>
      <c r="T77" s="68" t="str">
        <f>'36. Generic chemical products'!T29</f>
        <v>151-21-3</v>
      </c>
      <c r="U77" s="68">
        <f>'36. Generic chemical products'!U29</f>
        <v>0</v>
      </c>
      <c r="V77" s="68">
        <f>'36. Generic chemical products'!V29</f>
        <v>0</v>
      </c>
      <c r="W77" s="68">
        <f>'36. Generic chemical products'!W29</f>
        <v>0</v>
      </c>
      <c r="X77" s="68">
        <f>'36. Generic chemical products'!X29</f>
        <v>0</v>
      </c>
      <c r="Y77" s="68">
        <f>'36. Generic chemical products'!Y29</f>
        <v>306.24811854656059</v>
      </c>
      <c r="Z77" s="68">
        <f>'36. Generic chemical products'!Z29</f>
        <v>2239.9292193792821</v>
      </c>
      <c r="AA77" s="68" t="str">
        <f>'36. Generic chemical products'!AA29</f>
        <v>USEtox</v>
      </c>
      <c r="AB77" s="300">
        <f>$C$24*I77</f>
        <v>0</v>
      </c>
      <c r="AC77" s="301">
        <f>$C$39*O77</f>
        <v>1.4999999999999999E-7</v>
      </c>
      <c r="AD77" s="302">
        <f t="shared" si="11"/>
        <v>0</v>
      </c>
      <c r="AE77" s="302">
        <f t="shared" si="2"/>
        <v>0</v>
      </c>
      <c r="AF77" s="303">
        <f t="shared" si="3"/>
        <v>3.3598938290689231E-4</v>
      </c>
      <c r="AG77" s="303">
        <f t="shared" si="4"/>
        <v>0</v>
      </c>
      <c r="AH77" s="303">
        <f t="shared" si="5"/>
        <v>0</v>
      </c>
      <c r="AI77" s="303">
        <f t="shared" si="6"/>
        <v>0</v>
      </c>
      <c r="AJ77" s="303">
        <f t="shared" si="7"/>
        <v>0</v>
      </c>
      <c r="AK77" s="303">
        <f t="shared" si="8"/>
        <v>0</v>
      </c>
      <c r="AL77" s="303">
        <f t="shared" si="9"/>
        <v>3.3598938290689231E-4</v>
      </c>
      <c r="AM77" s="304">
        <f t="shared" si="10"/>
        <v>0</v>
      </c>
      <c r="AN77" s="305">
        <f t="shared" si="10"/>
        <v>0</v>
      </c>
      <c r="AO77" s="306">
        <f t="shared" si="10"/>
        <v>3.3598938290689231E-4</v>
      </c>
    </row>
    <row r="78" spans="1:41" s="51" customFormat="1" ht="15" customHeight="1" x14ac:dyDescent="0.2">
      <c r="A78" s="68" t="str">
        <f>'36. Generic chemical products'!A30</f>
        <v>Antifoaming agent, average (3M Defoamer)</v>
      </c>
      <c r="B78" s="68" t="str">
        <f>'36. Generic chemical products'!B30</f>
        <v>5-chloro-2-methyl-4-isothiazoline-3-one</v>
      </c>
      <c r="C78" s="68">
        <f>'36. Generic chemical products'!C30</f>
        <v>1E-3</v>
      </c>
      <c r="D78" s="68" t="str">
        <f>'36. Generic chemical products'!D30</f>
        <v>kg</v>
      </c>
      <c r="E78" s="68" t="str">
        <f>'36. Generic chemical products'!E30</f>
        <v>MSDS</v>
      </c>
      <c r="F78" s="68"/>
      <c r="G78" s="68" t="str">
        <f>'36. Generic chemical products'!G30</f>
        <v>-</v>
      </c>
      <c r="H78" s="68">
        <f>'36. Generic chemical products'!H30</f>
        <v>0</v>
      </c>
      <c r="I78" s="68">
        <f>'36. Generic chemical products'!I30</f>
        <v>0</v>
      </c>
      <c r="J78" s="68">
        <f>'36. Generic chemical products'!J30</f>
        <v>0</v>
      </c>
      <c r="K78" s="68">
        <f>'36. Generic chemical products'!K30</f>
        <v>0</v>
      </c>
      <c r="L78" s="68"/>
      <c r="M78" s="68" t="str">
        <f>'36. Generic chemical products'!M30</f>
        <v>5-chloro-2-methyl-4-isothiazolin-3-one</v>
      </c>
      <c r="N78" s="68" t="str">
        <f>'36. Generic chemical products'!N30</f>
        <v>river</v>
      </c>
      <c r="O78" s="68">
        <f>'36. Generic chemical products'!O30</f>
        <v>1E-4</v>
      </c>
      <c r="P78" s="68" t="str">
        <f>'36. Generic chemical products'!P30</f>
        <v>kg</v>
      </c>
      <c r="Q78" s="68">
        <f>'36. Generic chemical products'!Q30</f>
        <v>0</v>
      </c>
      <c r="R78" s="68">
        <f>'36. Generic chemical products'!R30</f>
        <v>0</v>
      </c>
      <c r="S78" s="68">
        <f>'36. Generic chemical products'!S30</f>
        <v>0</v>
      </c>
      <c r="T78" s="68" t="str">
        <f>'36. Generic chemical products'!T30</f>
        <v>26172-55-4</v>
      </c>
      <c r="U78" s="68">
        <f>'36. Generic chemical products'!U30</f>
        <v>0</v>
      </c>
      <c r="V78" s="68">
        <f>'36. Generic chemical products'!V30</f>
        <v>0</v>
      </c>
      <c r="W78" s="68">
        <f>'36. Generic chemical products'!W30</f>
        <v>0</v>
      </c>
      <c r="X78" s="68">
        <f>'36. Generic chemical products'!X30</f>
        <v>0</v>
      </c>
      <c r="Y78" s="68">
        <f>'36. Generic chemical products'!Y30</f>
        <v>6089.5109426939807</v>
      </c>
      <c r="Z78" s="68">
        <f>'36. Generic chemical products'!Z30</f>
        <v>54476.932420915044</v>
      </c>
      <c r="AA78" s="68" t="str">
        <f>'36. Generic chemical products'!AA30</f>
        <v>USEtox</v>
      </c>
      <c r="AB78" s="300">
        <f>$C$24*I78</f>
        <v>0</v>
      </c>
      <c r="AC78" s="301">
        <f>$C$39*O78</f>
        <v>1.4999999999999999E-7</v>
      </c>
      <c r="AD78" s="302">
        <f t="shared" si="11"/>
        <v>0</v>
      </c>
      <c r="AE78" s="302">
        <f t="shared" si="2"/>
        <v>0</v>
      </c>
      <c r="AF78" s="303">
        <f t="shared" si="3"/>
        <v>8.1715398631372563E-3</v>
      </c>
      <c r="AG78" s="303">
        <f t="shared" si="4"/>
        <v>0</v>
      </c>
      <c r="AH78" s="303">
        <f t="shared" si="5"/>
        <v>0</v>
      </c>
      <c r="AI78" s="303">
        <f t="shared" si="6"/>
        <v>0</v>
      </c>
      <c r="AJ78" s="303">
        <f t="shared" si="7"/>
        <v>0</v>
      </c>
      <c r="AK78" s="303">
        <f t="shared" si="8"/>
        <v>0</v>
      </c>
      <c r="AL78" s="303">
        <f t="shared" si="9"/>
        <v>8.1715398631372563E-3</v>
      </c>
      <c r="AM78" s="304">
        <f t="shared" si="10"/>
        <v>0</v>
      </c>
      <c r="AN78" s="305">
        <f t="shared" si="10"/>
        <v>0</v>
      </c>
      <c r="AO78" s="306">
        <f t="shared" si="10"/>
        <v>8.1715398631372563E-3</v>
      </c>
    </row>
    <row r="79" spans="1:41" s="139" customFormat="1" ht="15" customHeight="1" x14ac:dyDescent="0.2">
      <c r="A79" s="193" t="str">
        <f>'36. Generic chemical products'!A31</f>
        <v>Antifoaming agent, average (3M Defoamer)</v>
      </c>
      <c r="B79" s="193" t="str">
        <f>'36. Generic chemical products'!B31</f>
        <v>2-methyl-4-isothiazolin-3-one</v>
      </c>
      <c r="C79" s="193">
        <f>'36. Generic chemical products'!C31</f>
        <v>1E-3</v>
      </c>
      <c r="D79" s="193" t="str">
        <f>'36. Generic chemical products'!D31</f>
        <v>kg</v>
      </c>
      <c r="E79" s="193" t="str">
        <f>'36. Generic chemical products'!E31</f>
        <v>MSDS</v>
      </c>
      <c r="F79" s="193"/>
      <c r="G79" s="193" t="str">
        <f>'36. Generic chemical products'!G31</f>
        <v>-</v>
      </c>
      <c r="H79" s="193">
        <f>'36. Generic chemical products'!H31</f>
        <v>0</v>
      </c>
      <c r="I79" s="193">
        <f>'36. Generic chemical products'!I31</f>
        <v>0</v>
      </c>
      <c r="J79" s="193">
        <f>'36. Generic chemical products'!J31</f>
        <v>0</v>
      </c>
      <c r="K79" s="193">
        <f>'36. Generic chemical products'!K31</f>
        <v>0</v>
      </c>
      <c r="L79" s="193"/>
      <c r="M79" s="193" t="str">
        <f>'36. Generic chemical products'!M31</f>
        <v>2-methyl-4-isothiazolin-3-one</v>
      </c>
      <c r="N79" s="193" t="str">
        <f>'36. Generic chemical products'!N31</f>
        <v>river</v>
      </c>
      <c r="O79" s="193">
        <f>'36. Generic chemical products'!O31</f>
        <v>1E-4</v>
      </c>
      <c r="P79" s="193" t="str">
        <f>'36. Generic chemical products'!P31</f>
        <v>kg</v>
      </c>
      <c r="Q79" s="193">
        <f>'36. Generic chemical products'!Q31</f>
        <v>0</v>
      </c>
      <c r="R79" s="193">
        <f>'36. Generic chemical products'!R31</f>
        <v>0</v>
      </c>
      <c r="S79" s="193">
        <f>'36. Generic chemical products'!S31</f>
        <v>0</v>
      </c>
      <c r="T79" s="193" t="str">
        <f>'36. Generic chemical products'!T31</f>
        <v>2682-20-4</v>
      </c>
      <c r="U79" s="193">
        <f>'36. Generic chemical products'!U31</f>
        <v>0</v>
      </c>
      <c r="V79" s="193">
        <f>'36. Generic chemical products'!V31</f>
        <v>0</v>
      </c>
      <c r="W79" s="193">
        <f>'36. Generic chemical products'!W31</f>
        <v>0</v>
      </c>
      <c r="X79" s="193">
        <f>'36. Generic chemical products'!X31</f>
        <v>0</v>
      </c>
      <c r="Y79" s="193">
        <f>'36. Generic chemical products'!Y31</f>
        <v>15653.997644153058</v>
      </c>
      <c r="Z79" s="193">
        <f>'36. Generic chemical products'!Z31</f>
        <v>184815.26625319294</v>
      </c>
      <c r="AA79" s="193" t="str">
        <f>'36. Generic chemical products'!AA31</f>
        <v>USEtox</v>
      </c>
      <c r="AB79" s="307">
        <f>$C$24*I79</f>
        <v>0</v>
      </c>
      <c r="AC79" s="308">
        <f>$C$39*O79</f>
        <v>1.4999999999999999E-7</v>
      </c>
      <c r="AD79" s="309">
        <f t="shared" si="11"/>
        <v>0</v>
      </c>
      <c r="AE79" s="309">
        <f t="shared" si="2"/>
        <v>0</v>
      </c>
      <c r="AF79" s="310">
        <f t="shared" si="3"/>
        <v>2.7722289937978938E-2</v>
      </c>
      <c r="AG79" s="310">
        <f t="shared" si="4"/>
        <v>0</v>
      </c>
      <c r="AH79" s="310">
        <f t="shared" si="5"/>
        <v>0</v>
      </c>
      <c r="AI79" s="310">
        <f t="shared" si="6"/>
        <v>0</v>
      </c>
      <c r="AJ79" s="310">
        <f t="shared" si="7"/>
        <v>0</v>
      </c>
      <c r="AK79" s="310">
        <f t="shared" si="8"/>
        <v>0</v>
      </c>
      <c r="AL79" s="310">
        <f t="shared" si="9"/>
        <v>2.7722289937978938E-2</v>
      </c>
      <c r="AM79" s="311">
        <f t="shared" si="10"/>
        <v>0</v>
      </c>
      <c r="AN79" s="312">
        <f t="shared" si="10"/>
        <v>0</v>
      </c>
      <c r="AO79" s="313">
        <f t="shared" si="10"/>
        <v>2.7722289937978938E-2</v>
      </c>
    </row>
    <row r="80" spans="1:41" s="195" customFormat="1" ht="15" customHeight="1" x14ac:dyDescent="0.2">
      <c r="A80" s="194" t="str">
        <f>'36. Generic chemical products'!A32</f>
        <v>Base/Soda ash (Na2CO3), average</v>
      </c>
      <c r="B80" s="194" t="str">
        <f>'36. Generic chemical products'!B32</f>
        <v>Sodium carbonate (Na2CO3)</v>
      </c>
      <c r="C80" s="194">
        <f>'36. Generic chemical products'!C32</f>
        <v>1</v>
      </c>
      <c r="D80" s="194" t="str">
        <f>'36. Generic chemical products'!D32</f>
        <v>kg</v>
      </c>
      <c r="E80" s="194">
        <f>'36. Generic chemical products'!E32</f>
        <v>1</v>
      </c>
      <c r="F80" s="194"/>
      <c r="G80" s="194" t="str">
        <f>'36. Generic chemical products'!G32</f>
        <v>-</v>
      </c>
      <c r="H80" s="194">
        <f>'36. Generic chemical products'!H32</f>
        <v>0</v>
      </c>
      <c r="I80" s="194">
        <f>'36. Generic chemical products'!I32</f>
        <v>0</v>
      </c>
      <c r="J80" s="194">
        <f>'36. Generic chemical products'!J32</f>
        <v>0</v>
      </c>
      <c r="K80" s="194" t="str">
        <f>'36. Generic chemical products'!K32</f>
        <v>Worst case - mist carries substance</v>
      </c>
      <c r="L80" s="194"/>
      <c r="M80" s="194" t="str">
        <f>'36. Generic chemical products'!M32</f>
        <v>Sodium carbonate (Na2CO3)</v>
      </c>
      <c r="N80" s="194" t="str">
        <f>'36. Generic chemical products'!N32</f>
        <v>river</v>
      </c>
      <c r="O80" s="194">
        <f>'36. Generic chemical products'!O32</f>
        <v>0.1</v>
      </c>
      <c r="P80" s="194" t="str">
        <f>'36. Generic chemical products'!P32</f>
        <v>kg</v>
      </c>
      <c r="Q80" s="194">
        <f>'36. Generic chemical products'!Q32</f>
        <v>0</v>
      </c>
      <c r="R80" s="194">
        <f>'36. Generic chemical products'!R32</f>
        <v>0</v>
      </c>
      <c r="S80" s="194">
        <f>'36. Generic chemical products'!S32</f>
        <v>0</v>
      </c>
      <c r="T80" s="194" t="str">
        <f>'36. Generic chemical products'!T32</f>
        <v>497-19-8</v>
      </c>
      <c r="U80" s="194">
        <f>'36. Generic chemical products'!U32</f>
        <v>0</v>
      </c>
      <c r="V80" s="194">
        <f>'36. Generic chemical products'!V32</f>
        <v>0</v>
      </c>
      <c r="W80" s="194">
        <f>'36. Generic chemical products'!W32</f>
        <v>0</v>
      </c>
      <c r="X80" s="194">
        <f>'36. Generic chemical products'!X32</f>
        <v>0</v>
      </c>
      <c r="Y80" s="194">
        <f>'36. Generic chemical products'!Y32</f>
        <v>31</v>
      </c>
      <c r="Z80" s="194">
        <f>'36. Generic chemical products'!Z32</f>
        <v>73.7</v>
      </c>
      <c r="AA80" s="194" t="str">
        <f>'36. Generic chemical products'!AA32</f>
        <v>COSMEDE</v>
      </c>
      <c r="AB80" s="327">
        <f>$C$25*I80</f>
        <v>0</v>
      </c>
      <c r="AC80" s="328">
        <f>$C$40*O80</f>
        <v>2.5000000000000001E-4</v>
      </c>
      <c r="AD80" s="329">
        <f t="shared" si="11"/>
        <v>0</v>
      </c>
      <c r="AE80" s="329">
        <f t="shared" si="2"/>
        <v>0</v>
      </c>
      <c r="AF80" s="330">
        <f t="shared" si="3"/>
        <v>1.8425E-2</v>
      </c>
      <c r="AG80" s="330">
        <f t="shared" si="4"/>
        <v>0</v>
      </c>
      <c r="AH80" s="330">
        <f t="shared" si="5"/>
        <v>0</v>
      </c>
      <c r="AI80" s="330">
        <f t="shared" si="6"/>
        <v>0</v>
      </c>
      <c r="AJ80" s="330">
        <f t="shared" si="7"/>
        <v>0</v>
      </c>
      <c r="AK80" s="330">
        <f t="shared" si="8"/>
        <v>0</v>
      </c>
      <c r="AL80" s="330">
        <f t="shared" si="9"/>
        <v>1.8425E-2</v>
      </c>
      <c r="AM80" s="331">
        <f t="shared" si="10"/>
        <v>0</v>
      </c>
      <c r="AN80" s="332">
        <f t="shared" si="10"/>
        <v>0</v>
      </c>
      <c r="AO80" s="333">
        <f t="shared" si="10"/>
        <v>1.8425E-2</v>
      </c>
    </row>
    <row r="81" spans="1:41" s="195" customFormat="1" ht="15" customHeight="1" x14ac:dyDescent="0.2">
      <c r="A81" s="196" t="str">
        <f>'36. Generic chemical products'!A11</f>
        <v>Acid, formic acid, average</v>
      </c>
      <c r="B81" s="196" t="str">
        <f>'36. Generic chemical products'!B11</f>
        <v>Formic acid</v>
      </c>
      <c r="C81" s="196">
        <f>'36. Generic chemical products'!C11</f>
        <v>1</v>
      </c>
      <c r="D81" s="196" t="str">
        <f>'36. Generic chemical products'!D11</f>
        <v>kg</v>
      </c>
      <c r="E81" s="196">
        <f>'36. Generic chemical products'!E11</f>
        <v>1</v>
      </c>
      <c r="F81" s="196"/>
      <c r="G81" s="196" t="str">
        <f>'36. Generic chemical products'!G11</f>
        <v>Formic acid</v>
      </c>
      <c r="H81" s="196" t="str">
        <f>'36. Generic chemical products'!H11</f>
        <v>high. pop.</v>
      </c>
      <c r="I81" s="196">
        <f>'36. Generic chemical products'!I11</f>
        <v>1E-3</v>
      </c>
      <c r="J81" s="196" t="str">
        <f>'36. Generic chemical products'!J11</f>
        <v>kg</v>
      </c>
      <c r="K81" s="196">
        <f>'36. Generic chemical products'!K11</f>
        <v>0</v>
      </c>
      <c r="L81" s="196"/>
      <c r="M81" s="196" t="str">
        <f>'36. Generic chemical products'!M11</f>
        <v>Formic acid</v>
      </c>
      <c r="N81" s="196" t="str">
        <f>'36. Generic chemical products'!N11</f>
        <v>river</v>
      </c>
      <c r="O81" s="196">
        <f>'36. Generic chemical products'!O11</f>
        <v>0.1</v>
      </c>
      <c r="P81" s="196" t="str">
        <f>'36. Generic chemical products'!P11</f>
        <v>kg</v>
      </c>
      <c r="Q81" s="196">
        <f>'36. Generic chemical products'!Q11</f>
        <v>0</v>
      </c>
      <c r="R81" s="196">
        <f>'36. Generic chemical products'!R11</f>
        <v>0</v>
      </c>
      <c r="S81" s="196">
        <f>'36. Generic chemical products'!S11</f>
        <v>0</v>
      </c>
      <c r="T81" s="196" t="str">
        <f>'36. Generic chemical products'!T11</f>
        <v>64-18-6</v>
      </c>
      <c r="U81" s="196">
        <f>'36. Generic chemical products'!U11</f>
        <v>0</v>
      </c>
      <c r="V81" s="196">
        <f>'36. Generic chemical products'!V11</f>
        <v>0</v>
      </c>
      <c r="W81" s="196">
        <f>'36. Generic chemical products'!W11</f>
        <v>0</v>
      </c>
      <c r="X81" s="196">
        <f>'36. Generic chemical products'!X11</f>
        <v>0</v>
      </c>
      <c r="Y81" s="196">
        <f>'36. Generic chemical products'!Y11</f>
        <v>2.8072892978694037</v>
      </c>
      <c r="Z81" s="196">
        <f>'36. Generic chemical products'!Z11</f>
        <v>44.680467206809801</v>
      </c>
      <c r="AA81" s="196" t="str">
        <f>'36. Generic chemical products'!AA11</f>
        <v>USEtox</v>
      </c>
      <c r="AB81" s="327">
        <f>$C$26*I81</f>
        <v>1.5E-5</v>
      </c>
      <c r="AC81" s="328">
        <f>$C$41*O81</f>
        <v>1.5E-3</v>
      </c>
      <c r="AD81" s="329">
        <f t="shared" si="11"/>
        <v>0</v>
      </c>
      <c r="AE81" s="329">
        <f t="shared" si="2"/>
        <v>0</v>
      </c>
      <c r="AF81" s="330">
        <f t="shared" si="3"/>
        <v>6.7062810149682739E-2</v>
      </c>
      <c r="AG81" s="330">
        <f t="shared" si="4"/>
        <v>0</v>
      </c>
      <c r="AH81" s="330">
        <f t="shared" si="5"/>
        <v>0</v>
      </c>
      <c r="AI81" s="330">
        <f t="shared" si="6"/>
        <v>4.2109339468041059E-5</v>
      </c>
      <c r="AJ81" s="330">
        <f t="shared" si="7"/>
        <v>0</v>
      </c>
      <c r="AK81" s="330">
        <f t="shared" si="8"/>
        <v>0</v>
      </c>
      <c r="AL81" s="330">
        <f t="shared" si="9"/>
        <v>6.7020700810214703E-2</v>
      </c>
      <c r="AM81" s="331">
        <f t="shared" si="10"/>
        <v>0</v>
      </c>
      <c r="AN81" s="332">
        <f t="shared" si="10"/>
        <v>0</v>
      </c>
      <c r="AO81" s="333">
        <f t="shared" si="10"/>
        <v>6.7062810149682739E-2</v>
      </c>
    </row>
    <row r="82" spans="1:41" s="51" customFormat="1" ht="15" customHeight="1" x14ac:dyDescent="0.2">
      <c r="A82" s="54" t="str">
        <f>'36. Generic chemical products'!A23</f>
        <v>Wetting agent/Penetration agent, worst case (Cottoclarin ok 88 ECO)</v>
      </c>
      <c r="B82" s="54" t="str">
        <f>'36. Generic chemical products'!B23</f>
        <v>Fatty methylester sulfonates (R16) sodium salt</v>
      </c>
      <c r="C82" s="54">
        <f>'36. Generic chemical products'!C23</f>
        <v>0.6</v>
      </c>
      <c r="D82" s="54" t="str">
        <f>'36. Generic chemical products'!D23</f>
        <v>kg</v>
      </c>
      <c r="E82" s="54" t="str">
        <f>'36. Generic chemical products'!E23</f>
        <v>MSDS</v>
      </c>
      <c r="F82" s="54"/>
      <c r="G82" s="54" t="str">
        <f>'36. Generic chemical products'!G23</f>
        <v>-</v>
      </c>
      <c r="H82" s="54">
        <f>'36. Generic chemical products'!H23</f>
        <v>0</v>
      </c>
      <c r="I82" s="54">
        <f>'36. Generic chemical products'!I23</f>
        <v>0</v>
      </c>
      <c r="J82" s="54">
        <f>'36. Generic chemical products'!J23</f>
        <v>0</v>
      </c>
      <c r="K82" s="54">
        <f>'36. Generic chemical products'!K23</f>
        <v>0</v>
      </c>
      <c r="L82" s="54"/>
      <c r="M82" s="54" t="str">
        <f>'36. Generic chemical products'!M23</f>
        <v>Fatty methylester sulfonates</v>
      </c>
      <c r="N82" s="54" t="str">
        <f>'36. Generic chemical products'!N23</f>
        <v>river</v>
      </c>
      <c r="O82" s="54">
        <f>'36. Generic chemical products'!O23</f>
        <v>0.06</v>
      </c>
      <c r="P82" s="54" t="str">
        <f>'36. Generic chemical products'!P23</f>
        <v>kg</v>
      </c>
      <c r="Q82" s="54">
        <f>'36. Generic chemical products'!Q23</f>
        <v>0</v>
      </c>
      <c r="R82" s="54">
        <f>'36. Generic chemical products'!R23</f>
        <v>0</v>
      </c>
      <c r="S82" s="54">
        <f>'36. Generic chemical products'!S23</f>
        <v>0</v>
      </c>
      <c r="T82" s="54" t="str">
        <f>'36. Generic chemical products'!T23</f>
        <v>93348-22-2</v>
      </c>
      <c r="U82" s="54">
        <f>'36. Generic chemical products'!U23</f>
        <v>0</v>
      </c>
      <c r="V82" s="54">
        <f>'36. Generic chemical products'!V23</f>
        <v>1.6437731647150863E-6</v>
      </c>
      <c r="W82" s="54">
        <f>'36. Generic chemical products'!W23</f>
        <v>0</v>
      </c>
      <c r="X82" s="54">
        <f>'36. Generic chemical products'!X23</f>
        <v>9.8891167609639291E-6</v>
      </c>
      <c r="Y82" s="54">
        <f>'36. Generic chemical products'!Y23</f>
        <v>25539.178143122717</v>
      </c>
      <c r="Z82" s="54">
        <f>'36. Generic chemical products'!Z23</f>
        <v>766743.80504211958</v>
      </c>
      <c r="AA82" s="54" t="str">
        <f>'36. Generic chemical products'!AA23</f>
        <v>Roos 2017</v>
      </c>
      <c r="AB82" s="300">
        <f>$C$27*I82</f>
        <v>0</v>
      </c>
      <c r="AC82" s="301">
        <f>$C$42*O82</f>
        <v>5.9999999999999995E-4</v>
      </c>
      <c r="AD82" s="302">
        <f t="shared" si="11"/>
        <v>0</v>
      </c>
      <c r="AE82" s="302">
        <f t="shared" si="2"/>
        <v>5.9334700565783567E-9</v>
      </c>
      <c r="AF82" s="303">
        <f t="shared" si="3"/>
        <v>460.04628302527169</v>
      </c>
      <c r="AG82" s="303">
        <f t="shared" si="4"/>
        <v>0</v>
      </c>
      <c r="AH82" s="303">
        <f t="shared" si="5"/>
        <v>0</v>
      </c>
      <c r="AI82" s="303">
        <f t="shared" si="6"/>
        <v>0</v>
      </c>
      <c r="AJ82" s="303">
        <f t="shared" si="7"/>
        <v>0</v>
      </c>
      <c r="AK82" s="303">
        <f t="shared" si="8"/>
        <v>5.9334700565783567E-9</v>
      </c>
      <c r="AL82" s="303">
        <f t="shared" si="9"/>
        <v>460.04628302527169</v>
      </c>
      <c r="AM82" s="304">
        <f t="shared" si="10"/>
        <v>0</v>
      </c>
      <c r="AN82" s="305">
        <f t="shared" si="10"/>
        <v>5.9334700565783567E-9</v>
      </c>
      <c r="AO82" s="306">
        <f t="shared" si="10"/>
        <v>460.04628302527169</v>
      </c>
    </row>
    <row r="83" spans="1:41" s="51" customFormat="1" ht="15" customHeight="1" x14ac:dyDescent="0.2">
      <c r="A83" s="54" t="str">
        <f>'36. Generic chemical products'!A24</f>
        <v>Wetting agent/Penetration agent, worst case (Cottoclarin ok 88 ECO)</v>
      </c>
      <c r="B83" s="54" t="str">
        <f>'36. Generic chemical products'!B24</f>
        <v>Iso-octyl alcohol</v>
      </c>
      <c r="C83" s="54">
        <f>'36. Generic chemical products'!C24</f>
        <v>0.2</v>
      </c>
      <c r="D83" s="54" t="str">
        <f>'36. Generic chemical products'!D24</f>
        <v>kg</v>
      </c>
      <c r="E83" s="54" t="str">
        <f>'36. Generic chemical products'!E24</f>
        <v>MSDS</v>
      </c>
      <c r="F83" s="54"/>
      <c r="G83" s="54" t="str">
        <f>'36. Generic chemical products'!G24</f>
        <v>Iso-octyl alcohol</v>
      </c>
      <c r="H83" s="54" t="str">
        <f>'36. Generic chemical products'!H24</f>
        <v>high. pop.</v>
      </c>
      <c r="I83" s="54">
        <f>'36. Generic chemical products'!I24</f>
        <v>2.0000000000000001E-4</v>
      </c>
      <c r="J83" s="54" t="str">
        <f>'36. Generic chemical products'!J24</f>
        <v>kg</v>
      </c>
      <c r="K83" s="54">
        <f>'36. Generic chemical products'!K24</f>
        <v>0</v>
      </c>
      <c r="L83" s="54"/>
      <c r="M83" s="54" t="str">
        <f>'36. Generic chemical products'!M24</f>
        <v>Isooctyl alcohol</v>
      </c>
      <c r="N83" s="54" t="str">
        <f>'36. Generic chemical products'!N24</f>
        <v>river</v>
      </c>
      <c r="O83" s="54">
        <f>'36. Generic chemical products'!O24</f>
        <v>2.0000000000000004E-2</v>
      </c>
      <c r="P83" s="54" t="str">
        <f>'36. Generic chemical products'!P24</f>
        <v>kg</v>
      </c>
      <c r="Q83" s="54">
        <f>'36. Generic chemical products'!Q24</f>
        <v>0</v>
      </c>
      <c r="R83" s="54">
        <f>'36. Generic chemical products'!R24</f>
        <v>0</v>
      </c>
      <c r="S83" s="54">
        <f>'36. Generic chemical products'!S24</f>
        <v>0</v>
      </c>
      <c r="T83" s="54" t="str">
        <f>'36. Generic chemical products'!T24</f>
        <v>104-76-7</v>
      </c>
      <c r="U83" s="54">
        <f>'36. Generic chemical products'!U24</f>
        <v>3.1027213023718394E-8</v>
      </c>
      <c r="V83" s="54">
        <f>'36. Generic chemical products'!V24</f>
        <v>0</v>
      </c>
      <c r="W83" s="54">
        <f>'36. Generic chemical products'!W24</f>
        <v>1.7206281348183625E-8</v>
      </c>
      <c r="X83" s="54">
        <f>'36. Generic chemical products'!X24</f>
        <v>0</v>
      </c>
      <c r="Y83" s="54">
        <f>'36. Generic chemical products'!Y24</f>
        <v>2.6323079574736696</v>
      </c>
      <c r="Z83" s="54">
        <f>'36. Generic chemical products'!Z24</f>
        <v>191.63613931032927</v>
      </c>
      <c r="AA83" s="54" t="str">
        <f>'36. Generic chemical products'!AA24</f>
        <v>USEtox</v>
      </c>
      <c r="AB83" s="300">
        <f>$C$27*I83</f>
        <v>2.0000000000000003E-6</v>
      </c>
      <c r="AC83" s="301">
        <f>$C$42*O83</f>
        <v>2.0000000000000004E-4</v>
      </c>
      <c r="AD83" s="302">
        <f t="shared" si="11"/>
        <v>3.5033106956841625E-12</v>
      </c>
      <c r="AE83" s="302">
        <f t="shared" si="2"/>
        <v>0</v>
      </c>
      <c r="AF83" s="303">
        <f t="shared" si="3"/>
        <v>3.833249247798081E-2</v>
      </c>
      <c r="AG83" s="303">
        <f t="shared" si="4"/>
        <v>6.2054426047436803E-14</v>
      </c>
      <c r="AH83" s="303">
        <f t="shared" si="5"/>
        <v>0</v>
      </c>
      <c r="AI83" s="303">
        <f t="shared" si="6"/>
        <v>5.2646159149473397E-6</v>
      </c>
      <c r="AJ83" s="303">
        <f t="shared" si="7"/>
        <v>3.4412562696367258E-12</v>
      </c>
      <c r="AK83" s="303">
        <f t="shared" si="8"/>
        <v>0</v>
      </c>
      <c r="AL83" s="303">
        <f t="shared" si="9"/>
        <v>3.8327227862065862E-2</v>
      </c>
      <c r="AM83" s="304">
        <f t="shared" si="10"/>
        <v>3.5033106956841625E-12</v>
      </c>
      <c r="AN83" s="305">
        <f t="shared" si="10"/>
        <v>0</v>
      </c>
      <c r="AO83" s="306">
        <f t="shared" si="10"/>
        <v>3.833249247798081E-2</v>
      </c>
    </row>
    <row r="84" spans="1:41" s="51" customFormat="1" ht="15" customHeight="1" x14ac:dyDescent="0.2">
      <c r="A84" s="54" t="str">
        <f>'36. Generic chemical products'!A25</f>
        <v>Wetting agent/Penetration agent, worst case (Cottoclarin ok 88 ECO)</v>
      </c>
      <c r="B84" s="54" t="str">
        <f>'36. Generic chemical products'!B25</f>
        <v>Ethoxylated alcohol (NPEO)</v>
      </c>
      <c r="C84" s="54">
        <f>'36. Generic chemical products'!C25</f>
        <v>0.1</v>
      </c>
      <c r="D84" s="54" t="str">
        <f>'36. Generic chemical products'!D25</f>
        <v>kg</v>
      </c>
      <c r="E84" s="54" t="str">
        <f>'36. Generic chemical products'!E25</f>
        <v>MSDS</v>
      </c>
      <c r="F84" s="54"/>
      <c r="G84" s="54" t="str">
        <f>'36. Generic chemical products'!G25</f>
        <v>Nonylphenol ethoxylate (NPEO)</v>
      </c>
      <c r="H84" s="54" t="str">
        <f>'36. Generic chemical products'!H25</f>
        <v>high. pop.</v>
      </c>
      <c r="I84" s="54">
        <f>'36. Generic chemical products'!I25</f>
        <v>1E-4</v>
      </c>
      <c r="J84" s="54" t="str">
        <f>'36. Generic chemical products'!J25</f>
        <v>kg</v>
      </c>
      <c r="K84" s="54">
        <f>'36. Generic chemical products'!K25</f>
        <v>0</v>
      </c>
      <c r="L84" s="54"/>
      <c r="M84" s="54" t="str">
        <f>'36. Generic chemical products'!M25</f>
        <v>Nonylphenol ethoxylate (NPEO)</v>
      </c>
      <c r="N84" s="54" t="str">
        <f>'36. Generic chemical products'!N25</f>
        <v>river</v>
      </c>
      <c r="O84" s="54">
        <f>'36. Generic chemical products'!O25</f>
        <v>1.0000000000000002E-2</v>
      </c>
      <c r="P84" s="54" t="str">
        <f>'36. Generic chemical products'!P25</f>
        <v>kg</v>
      </c>
      <c r="Q84" s="54">
        <f>'36. Generic chemical products'!Q25</f>
        <v>0</v>
      </c>
      <c r="R84" s="54">
        <f>'36. Generic chemical products'!R25</f>
        <v>0</v>
      </c>
      <c r="S84" s="54">
        <f>'36. Generic chemical products'!S25</f>
        <v>0</v>
      </c>
      <c r="T84" s="54" t="str">
        <f>'36. Generic chemical products'!T25</f>
        <v>9016-45-9</v>
      </c>
      <c r="U84" s="54">
        <f>'36. Generic chemical products'!U25</f>
        <v>0</v>
      </c>
      <c r="V84" s="54">
        <f>'36. Generic chemical products'!V25</f>
        <v>0</v>
      </c>
      <c r="W84" s="54">
        <f>'36. Generic chemical products'!W25</f>
        <v>0</v>
      </c>
      <c r="X84" s="54">
        <f>'36. Generic chemical products'!X25</f>
        <v>0</v>
      </c>
      <c r="Y84" s="54">
        <f>'36. Generic chemical products'!Y25</f>
        <v>63</v>
      </c>
      <c r="Z84" s="54">
        <f>'36. Generic chemical products'!Z25</f>
        <v>2910</v>
      </c>
      <c r="AA84" s="54" t="str">
        <f>'36. Generic chemical products'!AA25</f>
        <v>COSMEDE</v>
      </c>
      <c r="AB84" s="300">
        <f>$C$27*I84</f>
        <v>1.0000000000000002E-6</v>
      </c>
      <c r="AC84" s="301">
        <f>$C$42*O84</f>
        <v>1.0000000000000002E-4</v>
      </c>
      <c r="AD84" s="302">
        <f t="shared" si="11"/>
        <v>0</v>
      </c>
      <c r="AE84" s="302">
        <f t="shared" si="2"/>
        <v>0</v>
      </c>
      <c r="AF84" s="303">
        <f t="shared" si="3"/>
        <v>0.29106300000000002</v>
      </c>
      <c r="AG84" s="303">
        <f t="shared" si="4"/>
        <v>0</v>
      </c>
      <c r="AH84" s="303">
        <f t="shared" si="5"/>
        <v>0</v>
      </c>
      <c r="AI84" s="303">
        <f t="shared" si="6"/>
        <v>6.3000000000000013E-5</v>
      </c>
      <c r="AJ84" s="303">
        <f t="shared" si="7"/>
        <v>0</v>
      </c>
      <c r="AK84" s="303">
        <f t="shared" si="8"/>
        <v>0</v>
      </c>
      <c r="AL84" s="303">
        <f t="shared" si="9"/>
        <v>0.29100000000000004</v>
      </c>
      <c r="AM84" s="304">
        <f t="shared" ref="AM84:AO107" si="12">AG84+AJ84</f>
        <v>0</v>
      </c>
      <c r="AN84" s="305">
        <f t="shared" si="12"/>
        <v>0</v>
      </c>
      <c r="AO84" s="306">
        <f t="shared" si="12"/>
        <v>0.29106300000000002</v>
      </c>
    </row>
    <row r="85" spans="1:41" s="139" customFormat="1" ht="15" customHeight="1" x14ac:dyDescent="0.2">
      <c r="A85" s="141" t="str">
        <f>'36. Generic chemical products'!A26</f>
        <v>Wetting agent/Penetration agent, worst case (Cottoclarin ok 88 ECO)</v>
      </c>
      <c r="B85" s="141" t="str">
        <f>'36. Generic chemical products'!B26</f>
        <v>Nonylphenol</v>
      </c>
      <c r="C85" s="141">
        <f>'36. Generic chemical products'!C26</f>
        <v>0</v>
      </c>
      <c r="D85" s="141">
        <f>'36. Generic chemical products'!D26</f>
        <v>0</v>
      </c>
      <c r="E85" s="141" t="str">
        <f>'36. Generic chemical products'!E26</f>
        <v>Breakdown product</v>
      </c>
      <c r="F85" s="141"/>
      <c r="G85" s="141" t="str">
        <f>'36. Generic chemical products'!G26</f>
        <v>-</v>
      </c>
      <c r="H85" s="141">
        <f>'36. Generic chemical products'!H26</f>
        <v>0</v>
      </c>
      <c r="I85" s="141">
        <f>'36. Generic chemical products'!I26</f>
        <v>0</v>
      </c>
      <c r="J85" s="141">
        <f>'36. Generic chemical products'!J26</f>
        <v>0</v>
      </c>
      <c r="K85" s="141">
        <f>'36. Generic chemical products'!K26</f>
        <v>0</v>
      </c>
      <c r="L85" s="141"/>
      <c r="M85" s="141" t="str">
        <f>'36. Generic chemical products'!M26</f>
        <v>Nonylphenol</v>
      </c>
      <c r="N85" s="141" t="str">
        <f>'36. Generic chemical products'!N26</f>
        <v>river</v>
      </c>
      <c r="O85" s="141">
        <f>'36. Generic chemical products'!O26</f>
        <v>1.0000000000000001E-5</v>
      </c>
      <c r="P85" s="141" t="str">
        <f>'36. Generic chemical products'!P26</f>
        <v>kg</v>
      </c>
      <c r="Q85" s="141" t="str">
        <f>'36. Generic chemical products'!Q26</f>
        <v>0.1 % of the content is degraded to common breakdown products.</v>
      </c>
      <c r="R85" s="141">
        <f>'36. Generic chemical products'!R26</f>
        <v>0</v>
      </c>
      <c r="S85" s="141">
        <f>'36. Generic chemical products'!S26</f>
        <v>0</v>
      </c>
      <c r="T85" s="141" t="str">
        <f>'36. Generic chemical products'!T26</f>
        <v>25154-52-3</v>
      </c>
      <c r="U85" s="141">
        <f>'36. Generic chemical products'!U26</f>
        <v>0</v>
      </c>
      <c r="V85" s="141">
        <f>'36. Generic chemical products'!V26</f>
        <v>0</v>
      </c>
      <c r="W85" s="141">
        <f>'36. Generic chemical products'!W26</f>
        <v>0</v>
      </c>
      <c r="X85" s="141">
        <f>'36. Generic chemical products'!X26</f>
        <v>0</v>
      </c>
      <c r="Y85" s="141">
        <f>'36. Generic chemical products'!Y26</f>
        <v>63.500038841149426</v>
      </c>
      <c r="Z85" s="141">
        <f>'36. Generic chemical products'!Z26</f>
        <v>10848.472578502809</v>
      </c>
      <c r="AA85" s="141" t="str">
        <f>'36. Generic chemical products'!AA26</f>
        <v>USEtox</v>
      </c>
      <c r="AB85" s="307">
        <f>$C$27*I85</f>
        <v>0</v>
      </c>
      <c r="AC85" s="308">
        <f>$C$42*O85</f>
        <v>1.0000000000000001E-7</v>
      </c>
      <c r="AD85" s="309">
        <f t="shared" si="11"/>
        <v>0</v>
      </c>
      <c r="AE85" s="309">
        <f t="shared" si="2"/>
        <v>0</v>
      </c>
      <c r="AF85" s="310">
        <f t="shared" si="3"/>
        <v>1.084847257850281E-3</v>
      </c>
      <c r="AG85" s="310">
        <f t="shared" si="4"/>
        <v>0</v>
      </c>
      <c r="AH85" s="310">
        <f t="shared" si="5"/>
        <v>0</v>
      </c>
      <c r="AI85" s="310">
        <f t="shared" si="6"/>
        <v>0</v>
      </c>
      <c r="AJ85" s="310">
        <f t="shared" si="7"/>
        <v>0</v>
      </c>
      <c r="AK85" s="310">
        <f t="shared" si="8"/>
        <v>0</v>
      </c>
      <c r="AL85" s="310">
        <f t="shared" si="9"/>
        <v>1.084847257850281E-3</v>
      </c>
      <c r="AM85" s="311">
        <f t="shared" si="12"/>
        <v>0</v>
      </c>
      <c r="AN85" s="312">
        <f t="shared" si="12"/>
        <v>0</v>
      </c>
      <c r="AO85" s="313">
        <f t="shared" si="12"/>
        <v>1.084847257850281E-3</v>
      </c>
    </row>
    <row r="86" spans="1:41" s="51" customFormat="1" ht="15" customHeight="1" x14ac:dyDescent="0.2">
      <c r="A86" s="68" t="str">
        <f>'36. Generic chemical products'!A33</f>
        <v>Dispergent, average (ALBAFLOW UNI-01)</v>
      </c>
      <c r="B86" s="68" t="str">
        <f>'36. Generic chemical products'!B33</f>
        <v>Isotridecanol ethoxylated</v>
      </c>
      <c r="C86" s="68">
        <f>'36. Generic chemical products'!C33</f>
        <v>0.1</v>
      </c>
      <c r="D86" s="68" t="str">
        <f>'36. Generic chemical products'!D33</f>
        <v>kg</v>
      </c>
      <c r="E86" s="68" t="str">
        <f>'36. Generic chemical products'!E33</f>
        <v>MSDS</v>
      </c>
      <c r="F86" s="68"/>
      <c r="G86" s="68" t="str">
        <f>'36. Generic chemical products'!G33</f>
        <v>Isotridecanol ethoxylated</v>
      </c>
      <c r="H86" s="68" t="str">
        <f>'36. Generic chemical products'!H33</f>
        <v>high. pop.</v>
      </c>
      <c r="I86" s="68">
        <f>'36. Generic chemical products'!I33</f>
        <v>1E-4</v>
      </c>
      <c r="J86" s="68" t="str">
        <f>'36. Generic chemical products'!J33</f>
        <v>kg</v>
      </c>
      <c r="K86" s="68">
        <f>'36. Generic chemical products'!K33</f>
        <v>0</v>
      </c>
      <c r="L86" s="68"/>
      <c r="M86" s="68" t="str">
        <f>'36. Generic chemical products'!M33</f>
        <v>Isotridecanol ethoxylated</v>
      </c>
      <c r="N86" s="68" t="str">
        <f>'36. Generic chemical products'!N33</f>
        <v>river</v>
      </c>
      <c r="O86" s="68">
        <f>'36. Generic chemical products'!O33</f>
        <v>1.0000000000000002E-2</v>
      </c>
      <c r="P86" s="68" t="str">
        <f>'36. Generic chemical products'!P33</f>
        <v>kg</v>
      </c>
      <c r="Q86" s="68">
        <f>'36. Generic chemical products'!Q33</f>
        <v>0</v>
      </c>
      <c r="R86" s="68">
        <f>'36. Generic chemical products'!R33</f>
        <v>0</v>
      </c>
      <c r="S86" s="68">
        <f>'36. Generic chemical products'!S33</f>
        <v>0</v>
      </c>
      <c r="T86" s="68" t="str">
        <f>'36. Generic chemical products'!T33</f>
        <v>69011-36-5</v>
      </c>
      <c r="U86" s="68">
        <f>'36. Generic chemical products'!U33</f>
        <v>0</v>
      </c>
      <c r="V86" s="68">
        <f>'36. Generic chemical products'!V33</f>
        <v>0</v>
      </c>
      <c r="W86" s="68">
        <f>'36. Generic chemical products'!W33</f>
        <v>0</v>
      </c>
      <c r="X86" s="68">
        <f>'36. Generic chemical products'!X33</f>
        <v>0</v>
      </c>
      <c r="Y86" s="68">
        <f>'36. Generic chemical products'!Y33</f>
        <v>47</v>
      </c>
      <c r="Z86" s="68">
        <f>'36. Generic chemical products'!Z33</f>
        <v>913</v>
      </c>
      <c r="AA86" s="68" t="str">
        <f>'36. Generic chemical products'!AA33</f>
        <v>COSMEDE</v>
      </c>
      <c r="AB86" s="300">
        <f>$C$28*I86</f>
        <v>1.5E-6</v>
      </c>
      <c r="AC86" s="301">
        <f>$C$43*O86</f>
        <v>1.5000000000000001E-4</v>
      </c>
      <c r="AD86" s="302">
        <f t="shared" si="11"/>
        <v>0</v>
      </c>
      <c r="AE86" s="302">
        <f t="shared" si="2"/>
        <v>0</v>
      </c>
      <c r="AF86" s="303">
        <f t="shared" si="3"/>
        <v>0.13702050000000002</v>
      </c>
      <c r="AG86" s="303">
        <f t="shared" si="4"/>
        <v>0</v>
      </c>
      <c r="AH86" s="303">
        <f t="shared" si="5"/>
        <v>0</v>
      </c>
      <c r="AI86" s="303">
        <f t="shared" si="6"/>
        <v>7.0500000000000006E-5</v>
      </c>
      <c r="AJ86" s="303">
        <f t="shared" si="7"/>
        <v>0</v>
      </c>
      <c r="AK86" s="303">
        <f t="shared" si="8"/>
        <v>0</v>
      </c>
      <c r="AL86" s="303">
        <f t="shared" si="9"/>
        <v>0.13695000000000002</v>
      </c>
      <c r="AM86" s="304">
        <f t="shared" si="12"/>
        <v>0</v>
      </c>
      <c r="AN86" s="305">
        <f t="shared" si="12"/>
        <v>0</v>
      </c>
      <c r="AO86" s="306">
        <f t="shared" si="12"/>
        <v>0.13702050000000002</v>
      </c>
    </row>
    <row r="87" spans="1:41" s="139" customFormat="1" ht="15" customHeight="1" x14ac:dyDescent="0.2">
      <c r="A87" s="68" t="str">
        <f>'36. Generic chemical products'!A34</f>
        <v>Dispergent, average (ALBAFLOW UNI-01)</v>
      </c>
      <c r="B87" s="68" t="str">
        <f>'36. Generic chemical products'!B34</f>
        <v>C9-11 Alkohol ethoxylate</v>
      </c>
      <c r="C87" s="68">
        <f>'36. Generic chemical products'!C34</f>
        <v>0.2</v>
      </c>
      <c r="D87" s="68" t="str">
        <f>'36. Generic chemical products'!D34</f>
        <v>kg</v>
      </c>
      <c r="E87" s="68" t="str">
        <f>'36. Generic chemical products'!E34</f>
        <v>MSDS</v>
      </c>
      <c r="F87" s="68"/>
      <c r="G87" s="68" t="str">
        <f>'36. Generic chemical products'!G34</f>
        <v>C9-11 Alkohol ethoxylate</v>
      </c>
      <c r="H87" s="68" t="str">
        <f>'36. Generic chemical products'!H34</f>
        <v>high. pop.</v>
      </c>
      <c r="I87" s="68">
        <f>'36. Generic chemical products'!I34</f>
        <v>2.0000000000000001E-4</v>
      </c>
      <c r="J87" s="68" t="str">
        <f>'36. Generic chemical products'!J34</f>
        <v>kg</v>
      </c>
      <c r="K87" s="68">
        <f>'36. Generic chemical products'!K34</f>
        <v>0</v>
      </c>
      <c r="L87" s="68"/>
      <c r="M87" s="68" t="str">
        <f>'36. Generic chemical products'!M34</f>
        <v>C9-11 Alkohol ethoxylate</v>
      </c>
      <c r="N87" s="68" t="str">
        <f>'36. Generic chemical products'!N34</f>
        <v>river</v>
      </c>
      <c r="O87" s="68">
        <f>'36. Generic chemical products'!O34</f>
        <v>2.0000000000000004E-2</v>
      </c>
      <c r="P87" s="68" t="str">
        <f>'36. Generic chemical products'!P34</f>
        <v>kg</v>
      </c>
      <c r="Q87" s="68">
        <f>'36. Generic chemical products'!Q34</f>
        <v>0</v>
      </c>
      <c r="R87" s="68">
        <f>'36. Generic chemical products'!R34</f>
        <v>0</v>
      </c>
      <c r="S87" s="68">
        <f>'36. Generic chemical products'!S34</f>
        <v>0</v>
      </c>
      <c r="T87" s="68" t="str">
        <f>'36. Generic chemical products'!T34</f>
        <v>68439-46-3</v>
      </c>
      <c r="U87" s="68">
        <f>'36. Generic chemical products'!U34</f>
        <v>0</v>
      </c>
      <c r="V87" s="68">
        <f>'36. Generic chemical products'!V34</f>
        <v>0</v>
      </c>
      <c r="W87" s="68">
        <f>'36. Generic chemical products'!W34</f>
        <v>0</v>
      </c>
      <c r="X87" s="68">
        <f>'36. Generic chemical products'!X34</f>
        <v>0</v>
      </c>
      <c r="Y87" s="68">
        <f>'36. Generic chemical products'!Y34</f>
        <v>53</v>
      </c>
      <c r="Z87" s="68">
        <f>'36. Generic chemical products'!Z34</f>
        <v>687</v>
      </c>
      <c r="AA87" s="68" t="str">
        <f>'36. Generic chemical products'!AA34</f>
        <v>COSMEDE</v>
      </c>
      <c r="AB87" s="307">
        <f>$C$28*I87</f>
        <v>3.0000000000000001E-6</v>
      </c>
      <c r="AC87" s="308">
        <f>$C$43*O87</f>
        <v>3.0000000000000003E-4</v>
      </c>
      <c r="AD87" s="309">
        <f t="shared" si="11"/>
        <v>0</v>
      </c>
      <c r="AE87" s="309">
        <f t="shared" si="2"/>
        <v>0</v>
      </c>
      <c r="AF87" s="310">
        <f t="shared" si="3"/>
        <v>0.206259</v>
      </c>
      <c r="AG87" s="310">
        <f t="shared" si="4"/>
        <v>0</v>
      </c>
      <c r="AH87" s="310">
        <f t="shared" si="5"/>
        <v>0</v>
      </c>
      <c r="AI87" s="310">
        <f t="shared" si="6"/>
        <v>1.5900000000000002E-4</v>
      </c>
      <c r="AJ87" s="310">
        <f t="shared" si="7"/>
        <v>0</v>
      </c>
      <c r="AK87" s="310">
        <f t="shared" si="8"/>
        <v>0</v>
      </c>
      <c r="AL87" s="310">
        <f t="shared" si="9"/>
        <v>0.20610000000000001</v>
      </c>
      <c r="AM87" s="311">
        <f t="shared" si="12"/>
        <v>0</v>
      </c>
      <c r="AN87" s="312">
        <f t="shared" si="12"/>
        <v>0</v>
      </c>
      <c r="AO87" s="313">
        <f t="shared" si="12"/>
        <v>0.206259</v>
      </c>
    </row>
    <row r="88" spans="1:41" s="195" customFormat="1" ht="15" customHeight="1" x14ac:dyDescent="0.2">
      <c r="A88" s="194" t="str">
        <f>'36. Generic chemical products'!A35</f>
        <v>Decalcifier ((NH4)2SO4), average</v>
      </c>
      <c r="B88" s="194" t="str">
        <f>'36. Generic chemical products'!B35</f>
        <v>Ammonium sulphate</v>
      </c>
      <c r="C88" s="194">
        <f>'36. Generic chemical products'!C35</f>
        <v>1</v>
      </c>
      <c r="D88" s="194" t="str">
        <f>'36. Generic chemical products'!D35</f>
        <v>kg</v>
      </c>
      <c r="E88" s="194">
        <f>'36. Generic chemical products'!E35</f>
        <v>1</v>
      </c>
      <c r="F88" s="194"/>
      <c r="G88" s="194" t="str">
        <f>'36. Generic chemical products'!G35</f>
        <v>-</v>
      </c>
      <c r="H88" s="194">
        <f>'36. Generic chemical products'!H35</f>
        <v>0</v>
      </c>
      <c r="I88" s="194">
        <f>'36. Generic chemical products'!I35</f>
        <v>0</v>
      </c>
      <c r="J88" s="194">
        <f>'36. Generic chemical products'!J35</f>
        <v>0</v>
      </c>
      <c r="K88" s="194">
        <f>'36. Generic chemical products'!K35</f>
        <v>0</v>
      </c>
      <c r="L88" s="194"/>
      <c r="M88" s="194" t="str">
        <f>'36. Generic chemical products'!M35</f>
        <v>Ammonium sulphate</v>
      </c>
      <c r="N88" s="194" t="str">
        <f>'36. Generic chemical products'!N35</f>
        <v>river</v>
      </c>
      <c r="O88" s="194">
        <f>'36. Generic chemical products'!O35</f>
        <v>0.1</v>
      </c>
      <c r="P88" s="194" t="str">
        <f>'36. Generic chemical products'!P35</f>
        <v>kg</v>
      </c>
      <c r="Q88" s="194">
        <f>'36. Generic chemical products'!Q35</f>
        <v>0</v>
      </c>
      <c r="R88" s="194">
        <f>'36. Generic chemical products'!R35</f>
        <v>0</v>
      </c>
      <c r="S88" s="194">
        <f>'36. Generic chemical products'!S35</f>
        <v>0</v>
      </c>
      <c r="T88" s="194" t="str">
        <f>'36. Generic chemical products'!T35</f>
        <v>7783-20-2</v>
      </c>
      <c r="U88" s="194">
        <f>'36. Generic chemical products'!U35</f>
        <v>0</v>
      </c>
      <c r="V88" s="194">
        <f>'36. Generic chemical products'!V35</f>
        <v>0</v>
      </c>
      <c r="W88" s="194">
        <f>'36. Generic chemical products'!W35</f>
        <v>0</v>
      </c>
      <c r="X88" s="194">
        <f>'36. Generic chemical products'!X35</f>
        <v>0</v>
      </c>
      <c r="Y88" s="194">
        <f>'36. Generic chemical products'!Y35</f>
        <v>4.9000000000000004</v>
      </c>
      <c r="Z88" s="194">
        <f>'36. Generic chemical products'!Z35</f>
        <v>100</v>
      </c>
      <c r="AA88" s="194" t="str">
        <f>'36. Generic chemical products'!AA35</f>
        <v>COSMEDE</v>
      </c>
      <c r="AB88" s="327">
        <f>$C$29*I88</f>
        <v>0</v>
      </c>
      <c r="AC88" s="328">
        <f>$C$44*O88</f>
        <v>1E-3</v>
      </c>
      <c r="AD88" s="329">
        <f t="shared" si="11"/>
        <v>0</v>
      </c>
      <c r="AE88" s="329">
        <f t="shared" si="2"/>
        <v>0</v>
      </c>
      <c r="AF88" s="330">
        <f t="shared" si="3"/>
        <v>0.1</v>
      </c>
      <c r="AG88" s="330">
        <f t="shared" si="4"/>
        <v>0</v>
      </c>
      <c r="AH88" s="330">
        <f t="shared" si="5"/>
        <v>0</v>
      </c>
      <c r="AI88" s="330">
        <f t="shared" si="6"/>
        <v>0</v>
      </c>
      <c r="AJ88" s="330">
        <f t="shared" si="7"/>
        <v>0</v>
      </c>
      <c r="AK88" s="330">
        <f t="shared" si="8"/>
        <v>0</v>
      </c>
      <c r="AL88" s="330">
        <f t="shared" si="9"/>
        <v>0.1</v>
      </c>
      <c r="AM88" s="331">
        <f t="shared" si="12"/>
        <v>0</v>
      </c>
      <c r="AN88" s="332">
        <f t="shared" si="12"/>
        <v>0</v>
      </c>
      <c r="AO88" s="333">
        <f t="shared" si="12"/>
        <v>0.1</v>
      </c>
    </row>
    <row r="89" spans="1:41" s="195" customFormat="1" ht="15" customHeight="1" x14ac:dyDescent="0.2">
      <c r="A89" s="196" t="str">
        <f>'36. Generic chemical products'!A36</f>
        <v>Antireduction agent (H2O2), average</v>
      </c>
      <c r="B89" s="196" t="str">
        <f>'36. Generic chemical products'!B36</f>
        <v>Hydrogen peroxide</v>
      </c>
      <c r="C89" s="196">
        <f>'36. Generic chemical products'!C36</f>
        <v>1</v>
      </c>
      <c r="D89" s="196" t="str">
        <f>'36. Generic chemical products'!D36</f>
        <v>kg</v>
      </c>
      <c r="E89" s="196">
        <f>'36. Generic chemical products'!E36</f>
        <v>1</v>
      </c>
      <c r="F89" s="196"/>
      <c r="G89" s="196" t="str">
        <f>'36. Generic chemical products'!G36</f>
        <v>Hydrogen peroxide</v>
      </c>
      <c r="H89" s="196" t="str">
        <f>'36. Generic chemical products'!H36</f>
        <v>high. pop.</v>
      </c>
      <c r="I89" s="196">
        <f>'36. Generic chemical products'!I36</f>
        <v>1E-3</v>
      </c>
      <c r="J89" s="196" t="str">
        <f>'36. Generic chemical products'!J36</f>
        <v>kg</v>
      </c>
      <c r="K89" s="196">
        <f>'36. Generic chemical products'!K36</f>
        <v>0</v>
      </c>
      <c r="L89" s="196"/>
      <c r="M89" s="196" t="str">
        <f>'36. Generic chemical products'!M36</f>
        <v>Hydrogen peroxide</v>
      </c>
      <c r="N89" s="196" t="str">
        <f>'36. Generic chemical products'!N36</f>
        <v>river</v>
      </c>
      <c r="O89" s="196">
        <f>'36. Generic chemical products'!O36</f>
        <v>1.0000000000000002E-2</v>
      </c>
      <c r="P89" s="196" t="str">
        <f>'36. Generic chemical products'!P36</f>
        <v>kg</v>
      </c>
      <c r="Q89" s="196" t="str">
        <f>'36. Generic chemical products'!Q36</f>
        <v>90% of reactive chemicals are degraded during operations.</v>
      </c>
      <c r="R89" s="196">
        <f>'36. Generic chemical products'!R36</f>
        <v>0</v>
      </c>
      <c r="S89" s="196">
        <f>'36. Generic chemical products'!S36</f>
        <v>0</v>
      </c>
      <c r="T89" s="196" t="str">
        <f>'36. Generic chemical products'!T36</f>
        <v>7722-84-1</v>
      </c>
      <c r="U89" s="196">
        <f>'36. Generic chemical products'!U36</f>
        <v>0</v>
      </c>
      <c r="V89" s="196">
        <f>'36. Generic chemical products'!V36</f>
        <v>0</v>
      </c>
      <c r="W89" s="196">
        <f>'36. Generic chemical products'!W36</f>
        <v>0</v>
      </c>
      <c r="X89" s="196">
        <f>'36. Generic chemical products'!X36</f>
        <v>0</v>
      </c>
      <c r="Y89" s="196">
        <f>'36. Generic chemical products'!Y36</f>
        <v>222</v>
      </c>
      <c r="Z89" s="196">
        <f>'36. Generic chemical products'!Z36</f>
        <v>53200</v>
      </c>
      <c r="AA89" s="196" t="str">
        <f>'36. Generic chemical products'!AA36</f>
        <v>COSMEDE</v>
      </c>
      <c r="AB89" s="327">
        <f>$C$30*I89</f>
        <v>1.5E-5</v>
      </c>
      <c r="AC89" s="328">
        <f>$C$45*O89</f>
        <v>1.5000000000000001E-4</v>
      </c>
      <c r="AD89" s="329">
        <f t="shared" si="11"/>
        <v>0</v>
      </c>
      <c r="AE89" s="329">
        <f t="shared" si="2"/>
        <v>0</v>
      </c>
      <c r="AF89" s="330">
        <f t="shared" si="3"/>
        <v>7.9833300000000005</v>
      </c>
      <c r="AG89" s="330">
        <f t="shared" si="4"/>
        <v>0</v>
      </c>
      <c r="AH89" s="330">
        <f t="shared" si="5"/>
        <v>0</v>
      </c>
      <c r="AI89" s="330">
        <f t="shared" si="6"/>
        <v>3.3300000000000001E-3</v>
      </c>
      <c r="AJ89" s="330">
        <f t="shared" si="7"/>
        <v>0</v>
      </c>
      <c r="AK89" s="330">
        <f t="shared" si="8"/>
        <v>0</v>
      </c>
      <c r="AL89" s="330">
        <f t="shared" si="9"/>
        <v>7.98</v>
      </c>
      <c r="AM89" s="331">
        <f t="shared" si="12"/>
        <v>0</v>
      </c>
      <c r="AN89" s="332">
        <f t="shared" si="12"/>
        <v>0</v>
      </c>
      <c r="AO89" s="333">
        <f t="shared" si="12"/>
        <v>7.9833300000000005</v>
      </c>
    </row>
    <row r="90" spans="1:41" s="51" customFormat="1" ht="15" customHeight="1" x14ac:dyDescent="0.2">
      <c r="A90" s="70" t="str">
        <f>'36. Generic chemical products'!A37</f>
        <v>Black disperse dyestuff PES, average (Terasil black W-NS)</v>
      </c>
      <c r="B90" s="70" t="str">
        <f>'36. Generic chemical products'!B37</f>
        <v>Sodium 2-[methyloleoylamino]ethane-1-sulphonate</v>
      </c>
      <c r="C90" s="70">
        <f>'36. Generic chemical products'!C37</f>
        <v>0.05</v>
      </c>
      <c r="D90" s="70" t="str">
        <f>'36. Generic chemical products'!D37</f>
        <v>kg</v>
      </c>
      <c r="E90" s="70" t="str">
        <f>'36. Generic chemical products'!E37</f>
        <v>MSDS</v>
      </c>
      <c r="F90" s="70"/>
      <c r="G90" s="70" t="str">
        <f>'36. Generic chemical products'!G37</f>
        <v>Sodium 2-[methyloleoylamino]ethane-1-sulphonate</v>
      </c>
      <c r="H90" s="70" t="str">
        <f>'36. Generic chemical products'!H37</f>
        <v>high. pop.</v>
      </c>
      <c r="I90" s="70">
        <f>'36. Generic chemical products'!I37</f>
        <v>5.0000000000000002E-5</v>
      </c>
      <c r="J90" s="70" t="str">
        <f>'36. Generic chemical products'!J37</f>
        <v>kg</v>
      </c>
      <c r="K90" s="70">
        <f>'36. Generic chemical products'!K37</f>
        <v>0</v>
      </c>
      <c r="L90" s="70"/>
      <c r="M90" s="70" t="str">
        <f>'36. Generic chemical products'!M37</f>
        <v>Sodium 2-[methyloleoylamino]ethane-1-sulphonate</v>
      </c>
      <c r="N90" s="70" t="str">
        <f>'36. Generic chemical products'!N37</f>
        <v>river</v>
      </c>
      <c r="O90" s="70">
        <f>'36. Generic chemical products'!O37</f>
        <v>2.5000000000000006E-4</v>
      </c>
      <c r="P90" s="70" t="str">
        <f>'36. Generic chemical products'!P37</f>
        <v>kg</v>
      </c>
      <c r="Q90" s="70" t="str">
        <f>'36. Generic chemical products'!Q37</f>
        <v>95% on fabric</v>
      </c>
      <c r="R90" s="70">
        <f>'36. Generic chemical products'!R37</f>
        <v>0</v>
      </c>
      <c r="S90" s="70">
        <f>'36. Generic chemical products'!S37</f>
        <v>0</v>
      </c>
      <c r="T90" s="70" t="str">
        <f>'36. Generic chemical products'!T37</f>
        <v>137-20-2</v>
      </c>
      <c r="U90" s="70">
        <f>'36. Generic chemical products'!U37</f>
        <v>0</v>
      </c>
      <c r="V90" s="70">
        <f>'36. Generic chemical products'!V37</f>
        <v>9.5237882440380552E-7</v>
      </c>
      <c r="W90" s="70">
        <f>'36. Generic chemical products'!W37</f>
        <v>0</v>
      </c>
      <c r="X90" s="70">
        <f>'36. Generic chemical products'!X37</f>
        <v>4.0376928672343864E-7</v>
      </c>
      <c r="Y90" s="70">
        <f>'36. Generic chemical products'!Y37</f>
        <v>42728.411313321136</v>
      </c>
      <c r="Z90" s="70">
        <f>'36. Generic chemical products'!Z37</f>
        <v>340826.10041745222</v>
      </c>
      <c r="AA90" s="70" t="str">
        <f>'36. Generic chemical products'!AA37</f>
        <v>Roos 2017</v>
      </c>
      <c r="AB90" s="300">
        <f>$C$31*I90</f>
        <v>2.5000000000000002E-6</v>
      </c>
      <c r="AC90" s="301">
        <f>$C$46*O90</f>
        <v>1.2500000000000004E-5</v>
      </c>
      <c r="AD90" s="302">
        <f t="shared" si="11"/>
        <v>0</v>
      </c>
      <c r="AE90" s="302">
        <f t="shared" si="2"/>
        <v>7.428063145052499E-12</v>
      </c>
      <c r="AF90" s="303">
        <f t="shared" si="3"/>
        <v>4.3671472835014571</v>
      </c>
      <c r="AG90" s="303">
        <f t="shared" si="4"/>
        <v>0</v>
      </c>
      <c r="AH90" s="303">
        <f t="shared" si="5"/>
        <v>2.380947061009514E-12</v>
      </c>
      <c r="AI90" s="303">
        <f t="shared" si="6"/>
        <v>0.10682102828330285</v>
      </c>
      <c r="AJ90" s="303">
        <f t="shared" si="7"/>
        <v>0</v>
      </c>
      <c r="AK90" s="303">
        <f t="shared" si="8"/>
        <v>5.0471160840429846E-12</v>
      </c>
      <c r="AL90" s="303">
        <f t="shared" si="9"/>
        <v>4.2603262552181542</v>
      </c>
      <c r="AM90" s="304">
        <f t="shared" si="12"/>
        <v>0</v>
      </c>
      <c r="AN90" s="305">
        <f t="shared" si="12"/>
        <v>7.428063145052499E-12</v>
      </c>
      <c r="AO90" s="306">
        <f t="shared" si="12"/>
        <v>4.3671472835014571</v>
      </c>
    </row>
    <row r="91" spans="1:41" s="51" customFormat="1" ht="15" customHeight="1" x14ac:dyDescent="0.2">
      <c r="A91" s="70" t="str">
        <f>'36. Generic chemical products'!A38</f>
        <v>Black disperse dyestuff PES, average (Terasil black W-NS)</v>
      </c>
      <c r="B91" s="70" t="str">
        <f>'36. Generic chemical products'!B38</f>
        <v>metyl-N-[(3-acetylamino)-4-(2-cyano-4-
nitrofenylazo)fenyl]-N-[(1-metoxi)acetyl]glycinat</v>
      </c>
      <c r="C91" s="70">
        <f>'36. Generic chemical products'!C38</f>
        <v>0.05</v>
      </c>
      <c r="D91" s="70" t="str">
        <f>'36. Generic chemical products'!D38</f>
        <v>kg</v>
      </c>
      <c r="E91" s="70" t="str">
        <f>'36. Generic chemical products'!E38</f>
        <v>MSDS</v>
      </c>
      <c r="F91" s="70"/>
      <c r="G91" s="70" t="str">
        <f>'36. Generic chemical products'!G38</f>
        <v>metyl-N-[(3-acetylamino)-4-(2-cyano-4-
nitrofenylazo)fenyl]-N-[(1-metoxi)acetyl]glycinat</v>
      </c>
      <c r="H91" s="70" t="str">
        <f>'36. Generic chemical products'!H38</f>
        <v>high. pop.</v>
      </c>
      <c r="I91" s="70">
        <f>'36. Generic chemical products'!I38</f>
        <v>5.0000000000000002E-5</v>
      </c>
      <c r="J91" s="70" t="str">
        <f>'36. Generic chemical products'!J38</f>
        <v>kg</v>
      </c>
      <c r="K91" s="70">
        <f>'36. Generic chemical products'!K38</f>
        <v>0</v>
      </c>
      <c r="L91" s="70"/>
      <c r="M91" s="70" t="str">
        <f>'36. Generic chemical products'!M38</f>
        <v>metyl-N-[(3-acetylamino)-4-(2-cyano-4-
nitrofenylazo)fenyl]-N-[(1-metoxi)acetyl]glycinat</v>
      </c>
      <c r="N91" s="70" t="str">
        <f>'36. Generic chemical products'!N38</f>
        <v>river</v>
      </c>
      <c r="O91" s="70">
        <f>'36. Generic chemical products'!O38</f>
        <v>2.5000000000000006E-4</v>
      </c>
      <c r="P91" s="70" t="str">
        <f>'36. Generic chemical products'!P38</f>
        <v>kg</v>
      </c>
      <c r="Q91" s="70" t="str">
        <f>'36. Generic chemical products'!Q38</f>
        <v>95% on fabric</v>
      </c>
      <c r="R91" s="70">
        <f>'36. Generic chemical products'!R38</f>
        <v>0</v>
      </c>
      <c r="S91" s="70">
        <f>'36. Generic chemical products'!S38</f>
        <v>0</v>
      </c>
      <c r="T91" s="70" t="str">
        <f>'36. Generic chemical products'!T38</f>
        <v>149850-30-6</v>
      </c>
      <c r="U91" s="70">
        <f>'36. Generic chemical products'!U38</f>
        <v>3.2402001402515103E-6</v>
      </c>
      <c r="V91" s="70">
        <f>'36. Generic chemical products'!V38</f>
        <v>3.1758450329400821E-6</v>
      </c>
      <c r="W91" s="70">
        <f>'36. Generic chemical products'!W38</f>
        <v>3.1278405194725915E-6</v>
      </c>
      <c r="X91" s="70">
        <f>'36. Generic chemical products'!X38</f>
        <v>3.06571703833847E-6</v>
      </c>
      <c r="Y91" s="70">
        <f>'36. Generic chemical products'!Y38</f>
        <v>2135.3073415858121</v>
      </c>
      <c r="Z91" s="70">
        <f>'36. Generic chemical products'!Z38</f>
        <v>12814.417967387339</v>
      </c>
      <c r="AA91" s="70" t="str">
        <f>'36. Generic chemical products'!AA38</f>
        <v>Roos 2017</v>
      </c>
      <c r="AB91" s="300">
        <f>$C$31*I91</f>
        <v>2.5000000000000002E-6</v>
      </c>
      <c r="AC91" s="301">
        <f>$C$46*O91</f>
        <v>1.2500000000000004E-5</v>
      </c>
      <c r="AD91" s="302">
        <f t="shared" si="11"/>
        <v>4.7198506844036181E-11</v>
      </c>
      <c r="AE91" s="302">
        <f t="shared" si="2"/>
        <v>4.626107556158109E-11</v>
      </c>
      <c r="AF91" s="303">
        <f t="shared" si="3"/>
        <v>0.16551849294630633</v>
      </c>
      <c r="AG91" s="303">
        <f t="shared" si="4"/>
        <v>8.1005003506287763E-12</v>
      </c>
      <c r="AH91" s="303">
        <f t="shared" si="5"/>
        <v>7.9396125823502064E-12</v>
      </c>
      <c r="AI91" s="303">
        <f t="shared" si="6"/>
        <v>5.3382683539645306E-3</v>
      </c>
      <c r="AJ91" s="303">
        <f t="shared" si="7"/>
        <v>3.9098006493407405E-11</v>
      </c>
      <c r="AK91" s="303">
        <f t="shared" si="8"/>
        <v>3.8321462979230885E-11</v>
      </c>
      <c r="AL91" s="303">
        <f t="shared" si="9"/>
        <v>0.1601802245923418</v>
      </c>
      <c r="AM91" s="304">
        <f t="shared" si="12"/>
        <v>4.7198506844036181E-11</v>
      </c>
      <c r="AN91" s="305">
        <f t="shared" si="12"/>
        <v>4.626107556158109E-11</v>
      </c>
      <c r="AO91" s="306">
        <f t="shared" si="12"/>
        <v>0.16551849294630633</v>
      </c>
    </row>
    <row r="92" spans="1:41" s="51" customFormat="1" ht="15" customHeight="1" x14ac:dyDescent="0.2">
      <c r="A92" s="70" t="str">
        <f>'36. Generic chemical products'!A39</f>
        <v>Black disperse dyestuff PES, average (Terasil black W-NS)</v>
      </c>
      <c r="B92" s="70" t="str">
        <f>'36. Generic chemical products'!B39</f>
        <v>Alanine, N-[5-(acetylamino)-4-[(2-chloro-6-cyano-4-
nitrophenyl) azo]-2-methoxyphenyl]-N-(2-methoxy-2-
oxoethyl)-, methyl ester</v>
      </c>
      <c r="C92" s="70">
        <f>'36. Generic chemical products'!C39</f>
        <v>0.25</v>
      </c>
      <c r="D92" s="70" t="str">
        <f>'36. Generic chemical products'!D39</f>
        <v>kg</v>
      </c>
      <c r="E92" s="70" t="str">
        <f>'36. Generic chemical products'!E39</f>
        <v>MSDS</v>
      </c>
      <c r="F92" s="70"/>
      <c r="G92" s="70" t="str">
        <f>'36. Generic chemical products'!G39</f>
        <v>Alanine, N-[5-(acetylamino)-4-[(2-chloro-6-cyano-4-
nitrophenyl) azo]-2-methoxyphenyl]-N-(2-methoxy-2-
oxoethyl)-, methyl ester</v>
      </c>
      <c r="H92" s="70" t="str">
        <f>'36. Generic chemical products'!H39</f>
        <v>high. pop.</v>
      </c>
      <c r="I92" s="70">
        <f>'36. Generic chemical products'!I39</f>
        <v>2.5000000000000001E-4</v>
      </c>
      <c r="J92" s="70" t="str">
        <f>'36. Generic chemical products'!J39</f>
        <v>kg</v>
      </c>
      <c r="K92" s="70">
        <f>'36. Generic chemical products'!K39</f>
        <v>0</v>
      </c>
      <c r="L92" s="70"/>
      <c r="M92" s="70" t="str">
        <f>'36. Generic chemical products'!M39</f>
        <v>Alanine, N-[5-(acetylamino)-4-[(2-chloro-6-cyano-4-
nitrophenyl) azo]-2-methoxyphenyl]-N-(2-methoxy-2-
oxoethyl)-, methyl ester</v>
      </c>
      <c r="N92" s="70" t="str">
        <f>'36. Generic chemical products'!N39</f>
        <v>river</v>
      </c>
      <c r="O92" s="70">
        <f>'36. Generic chemical products'!O39</f>
        <v>1.2500000000000002E-3</v>
      </c>
      <c r="P92" s="70" t="str">
        <f>'36. Generic chemical products'!P39</f>
        <v>kg</v>
      </c>
      <c r="Q92" s="70" t="str">
        <f>'36. Generic chemical products'!Q39</f>
        <v>95% on fabric</v>
      </c>
      <c r="R92" s="70">
        <f>'36. Generic chemical products'!R39</f>
        <v>0</v>
      </c>
      <c r="S92" s="70">
        <f>'36. Generic chemical products'!S39</f>
        <v>0</v>
      </c>
      <c r="T92" s="70" t="str">
        <f>'36. Generic chemical products'!T39</f>
        <v>204277-61-2</v>
      </c>
      <c r="U92" s="70">
        <f>'36. Generic chemical products'!U39</f>
        <v>0</v>
      </c>
      <c r="V92" s="70">
        <f>'36. Generic chemical products'!V39</f>
        <v>8.7003832462917092E-7</v>
      </c>
      <c r="W92" s="70">
        <f>'36. Generic chemical products'!W39</f>
        <v>0</v>
      </c>
      <c r="X92" s="70">
        <f>'36. Generic chemical products'!X39</f>
        <v>2.7457260536474955E-6</v>
      </c>
      <c r="Y92" s="70">
        <f>'36. Generic chemical products'!Y39</f>
        <v>52.321095912391769</v>
      </c>
      <c r="Z92" s="70">
        <f>'36. Generic chemical products'!Z39</f>
        <v>874.99372991643975</v>
      </c>
      <c r="AA92" s="70" t="str">
        <f>'36. Generic chemical products'!AA39</f>
        <v>Roos 2017</v>
      </c>
      <c r="AB92" s="300">
        <f>$C$31*I92</f>
        <v>1.2500000000000001E-5</v>
      </c>
      <c r="AC92" s="301">
        <f>$C$46*O92</f>
        <v>6.2500000000000015E-5</v>
      </c>
      <c r="AD92" s="302">
        <f t="shared" si="11"/>
        <v>0</v>
      </c>
      <c r="AE92" s="302">
        <f t="shared" si="2"/>
        <v>1.8248335741083315E-10</v>
      </c>
      <c r="AF92" s="303">
        <f t="shared" si="3"/>
        <v>5.5341121818682393E-2</v>
      </c>
      <c r="AG92" s="303">
        <f t="shared" si="4"/>
        <v>0</v>
      </c>
      <c r="AH92" s="303">
        <f t="shared" si="5"/>
        <v>1.0875479057864638E-11</v>
      </c>
      <c r="AI92" s="303">
        <f t="shared" si="6"/>
        <v>6.5401369890489712E-4</v>
      </c>
      <c r="AJ92" s="303">
        <f t="shared" si="7"/>
        <v>0</v>
      </c>
      <c r="AK92" s="303">
        <f t="shared" si="8"/>
        <v>1.7160787835296851E-10</v>
      </c>
      <c r="AL92" s="303">
        <f t="shared" si="9"/>
        <v>5.4687108119777499E-2</v>
      </c>
      <c r="AM92" s="304">
        <f t="shared" si="12"/>
        <v>0</v>
      </c>
      <c r="AN92" s="305">
        <f t="shared" si="12"/>
        <v>1.8248335741083315E-10</v>
      </c>
      <c r="AO92" s="306">
        <f t="shared" si="12"/>
        <v>5.5341121818682393E-2</v>
      </c>
    </row>
    <row r="93" spans="1:41" s="139" customFormat="1" ht="15" customHeight="1" x14ac:dyDescent="0.2">
      <c r="A93" s="136" t="str">
        <f>'36. Generic chemical products'!A40</f>
        <v>Black disperse dyestuff PES, average (Terasil black W-NS)</v>
      </c>
      <c r="B93" s="136" t="str">
        <f>'36. Generic chemical products'!B40</f>
        <v>Disperse violet 28</v>
      </c>
      <c r="C93" s="136">
        <f>'36. Generic chemical products'!C40</f>
        <v>0.05</v>
      </c>
      <c r="D93" s="136" t="str">
        <f>'36. Generic chemical products'!D40</f>
        <v>kg</v>
      </c>
      <c r="E93" s="136" t="str">
        <f>'36. Generic chemical products'!E40</f>
        <v>MSDS, replaces 188070-47-5</v>
      </c>
      <c r="F93" s="136"/>
      <c r="G93" s="136" t="str">
        <f>'36. Generic chemical products'!G40</f>
        <v>Disperse violet 28</v>
      </c>
      <c r="H93" s="136" t="str">
        <f>'36. Generic chemical products'!H40</f>
        <v>high. pop.</v>
      </c>
      <c r="I93" s="136">
        <f>'36. Generic chemical products'!I40</f>
        <v>5.0000000000000002E-5</v>
      </c>
      <c r="J93" s="136" t="str">
        <f>'36. Generic chemical products'!J40</f>
        <v>kg</v>
      </c>
      <c r="K93" s="136">
        <f>'36. Generic chemical products'!K40</f>
        <v>0</v>
      </c>
      <c r="L93" s="136"/>
      <c r="M93" s="136" t="str">
        <f>'36. Generic chemical products'!M40</f>
        <v>Disperse violet 28</v>
      </c>
      <c r="N93" s="136" t="str">
        <f>'36. Generic chemical products'!N40</f>
        <v>river</v>
      </c>
      <c r="O93" s="136">
        <f>'36. Generic chemical products'!O40</f>
        <v>2.5000000000000006E-4</v>
      </c>
      <c r="P93" s="136" t="str">
        <f>'36. Generic chemical products'!P40</f>
        <v>kg</v>
      </c>
      <c r="Q93" s="136" t="str">
        <f>'36. Generic chemical products'!Q40</f>
        <v>95% on fabric</v>
      </c>
      <c r="R93" s="136">
        <f>'36. Generic chemical products'!R40</f>
        <v>0</v>
      </c>
      <c r="S93" s="136">
        <f>'36. Generic chemical products'!S40</f>
        <v>0</v>
      </c>
      <c r="T93" s="136" t="str">
        <f>'36. Generic chemical products'!T40</f>
        <v>81-42-5</v>
      </c>
      <c r="U93" s="136">
        <f>'36. Generic chemical products'!U40</f>
        <v>2.2701039332195017E-6</v>
      </c>
      <c r="V93" s="136">
        <f>'36. Generic chemical products'!V40</f>
        <v>1.0897838795924354E-6</v>
      </c>
      <c r="W93" s="136">
        <f>'36. Generic chemical products'!W40</f>
        <v>1.8624372526347541E-5</v>
      </c>
      <c r="X93" s="136">
        <f>'36. Generic chemical products'!X40</f>
        <v>8.9407981060818138E-6</v>
      </c>
      <c r="Y93" s="136">
        <f>'36. Generic chemical products'!Y40</f>
        <v>907.36586611441669</v>
      </c>
      <c r="Z93" s="136">
        <f>'36. Generic chemical products'!Z40</f>
        <v>26769.356812364109</v>
      </c>
      <c r="AA93" s="136" t="str">
        <f>'36. Generic chemical products'!AA40</f>
        <v>Roos 2017</v>
      </c>
      <c r="AB93" s="307">
        <f>$C$31*I93</f>
        <v>2.5000000000000002E-6</v>
      </c>
      <c r="AC93" s="308">
        <f>$C$46*O93</f>
        <v>1.2500000000000004E-5</v>
      </c>
      <c r="AD93" s="309">
        <f t="shared" si="11"/>
        <v>2.3847991641239308E-10</v>
      </c>
      <c r="AE93" s="309">
        <f t="shared" si="2"/>
        <v>1.144844360250038E-10</v>
      </c>
      <c r="AF93" s="310">
        <f t="shared" si="3"/>
        <v>0.33688537481983749</v>
      </c>
      <c r="AG93" s="310">
        <f t="shared" si="4"/>
        <v>5.6752598330487546E-12</v>
      </c>
      <c r="AH93" s="310">
        <f t="shared" si="5"/>
        <v>2.7244596989810885E-12</v>
      </c>
      <c r="AI93" s="310">
        <f t="shared" si="6"/>
        <v>2.2684146652860418E-3</v>
      </c>
      <c r="AJ93" s="310">
        <f t="shared" si="7"/>
        <v>2.3280465657934434E-10</v>
      </c>
      <c r="AK93" s="310">
        <f t="shared" si="8"/>
        <v>1.1175997632602271E-10</v>
      </c>
      <c r="AL93" s="310">
        <f t="shared" si="9"/>
        <v>0.33461696015455145</v>
      </c>
      <c r="AM93" s="311">
        <f t="shared" si="12"/>
        <v>2.3847991641239308E-10</v>
      </c>
      <c r="AN93" s="312">
        <f t="shared" si="12"/>
        <v>1.144844360250038E-10</v>
      </c>
      <c r="AO93" s="313">
        <f t="shared" si="12"/>
        <v>0.33688537481983749</v>
      </c>
    </row>
    <row r="94" spans="1:41" s="195" customFormat="1" ht="15" customHeight="1" x14ac:dyDescent="0.2">
      <c r="A94" s="196" t="str">
        <f>'36. Generic chemical products'!A16</f>
        <v>Base (alkali) (NaOH), average</v>
      </c>
      <c r="B94" s="196" t="str">
        <f>'36. Generic chemical products'!B16</f>
        <v>Sodium hydroxide</v>
      </c>
      <c r="C94" s="196">
        <f>'36. Generic chemical products'!C16</f>
        <v>1</v>
      </c>
      <c r="D94" s="196" t="str">
        <f>'36. Generic chemical products'!D16</f>
        <v>kg</v>
      </c>
      <c r="E94" s="196">
        <f>'36. Generic chemical products'!E16</f>
        <v>1</v>
      </c>
      <c r="F94" s="196"/>
      <c r="G94" s="196" t="str">
        <f>'36. Generic chemical products'!G16</f>
        <v>-</v>
      </c>
      <c r="H94" s="196">
        <f>'36. Generic chemical products'!H16</f>
        <v>0</v>
      </c>
      <c r="I94" s="196">
        <f>'36. Generic chemical products'!I16</f>
        <v>0</v>
      </c>
      <c r="J94" s="196">
        <f>'36. Generic chemical products'!J16</f>
        <v>0</v>
      </c>
      <c r="K94" s="196" t="str">
        <f>'36. Generic chemical products'!K16</f>
        <v>Worst case - mist carries substance</v>
      </c>
      <c r="L94" s="196"/>
      <c r="M94" s="196" t="str">
        <f>'36. Generic chemical products'!M16</f>
        <v>Sodium hydroxide</v>
      </c>
      <c r="N94" s="196" t="str">
        <f>'36. Generic chemical products'!N16</f>
        <v>river</v>
      </c>
      <c r="O94" s="196">
        <f>'36. Generic chemical products'!O16</f>
        <v>0.1</v>
      </c>
      <c r="P94" s="196" t="str">
        <f>'36. Generic chemical products'!P16</f>
        <v>kg</v>
      </c>
      <c r="Q94" s="196">
        <f>'36. Generic chemical products'!Q16</f>
        <v>0</v>
      </c>
      <c r="R94" s="196">
        <f>'36. Generic chemical products'!R16</f>
        <v>0</v>
      </c>
      <c r="S94" s="196">
        <f>'36. Generic chemical products'!S16</f>
        <v>0</v>
      </c>
      <c r="T94" s="196" t="str">
        <f>'36. Generic chemical products'!T16</f>
        <v>1310-73-2</v>
      </c>
      <c r="U94" s="196">
        <f>'36. Generic chemical products'!U16</f>
        <v>0</v>
      </c>
      <c r="V94" s="196">
        <f>'36. Generic chemical products'!V16</f>
        <v>0</v>
      </c>
      <c r="W94" s="196">
        <f>'36. Generic chemical products'!W16</f>
        <v>0</v>
      </c>
      <c r="X94" s="196">
        <f>'36. Generic chemical products'!X16</f>
        <v>0</v>
      </c>
      <c r="Y94" s="196">
        <f>'36. Generic chemical products'!Y16</f>
        <v>164.24</v>
      </c>
      <c r="Z94" s="196">
        <f>'36. Generic chemical products'!Z16</f>
        <v>400.09</v>
      </c>
      <c r="AA94" s="196" t="str">
        <f>'36. Generic chemical products'!AA16</f>
        <v>COSMEDE</v>
      </c>
      <c r="AB94" s="327">
        <f>$C$32*I94</f>
        <v>0</v>
      </c>
      <c r="AC94" s="328">
        <f>$C$47*O94</f>
        <v>5.0000000000000001E-4</v>
      </c>
      <c r="AD94" s="329">
        <f t="shared" si="11"/>
        <v>0</v>
      </c>
      <c r="AE94" s="329">
        <f t="shared" si="2"/>
        <v>0</v>
      </c>
      <c r="AF94" s="330">
        <f t="shared" si="3"/>
        <v>0.200045</v>
      </c>
      <c r="AG94" s="330">
        <f t="shared" si="4"/>
        <v>0</v>
      </c>
      <c r="AH94" s="330">
        <f t="shared" si="5"/>
        <v>0</v>
      </c>
      <c r="AI94" s="330">
        <f t="shared" si="6"/>
        <v>0</v>
      </c>
      <c r="AJ94" s="330">
        <f t="shared" si="7"/>
        <v>0</v>
      </c>
      <c r="AK94" s="330">
        <f t="shared" si="8"/>
        <v>0</v>
      </c>
      <c r="AL94" s="330">
        <f t="shared" si="9"/>
        <v>0.200045</v>
      </c>
      <c r="AM94" s="331">
        <f t="shared" si="12"/>
        <v>0</v>
      </c>
      <c r="AN94" s="332">
        <f t="shared" si="12"/>
        <v>0</v>
      </c>
      <c r="AO94" s="333">
        <f t="shared" si="12"/>
        <v>0.200045</v>
      </c>
    </row>
    <row r="95" spans="1:41" s="51" customFormat="1" ht="15" customHeight="1" x14ac:dyDescent="0.2">
      <c r="A95" s="70" t="str">
        <f>'36. Generic chemical products'!A41</f>
        <v>Reducing agent, average</v>
      </c>
      <c r="B95" s="70" t="str">
        <f>'36. Generic chemical products'!B41</f>
        <v>Sodium dithionite</v>
      </c>
      <c r="C95" s="70">
        <f>'36. Generic chemical products'!C41</f>
        <v>0.9</v>
      </c>
      <c r="D95" s="70" t="str">
        <f>'36. Generic chemical products'!D41</f>
        <v>kg</v>
      </c>
      <c r="E95" s="70" t="str">
        <f>'36. Generic chemical products'!E41</f>
        <v>MSDS</v>
      </c>
      <c r="F95" s="70"/>
      <c r="G95" s="70" t="str">
        <f>'36. Generic chemical products'!G41</f>
        <v>-</v>
      </c>
      <c r="H95" s="70">
        <f>'36. Generic chemical products'!H41</f>
        <v>0</v>
      </c>
      <c r="I95" s="70">
        <f>'36. Generic chemical products'!I41</f>
        <v>0</v>
      </c>
      <c r="J95" s="70">
        <f>'36. Generic chemical products'!J41</f>
        <v>0</v>
      </c>
      <c r="K95" s="70">
        <f>'36. Generic chemical products'!K41</f>
        <v>0</v>
      </c>
      <c r="L95" s="70"/>
      <c r="M95" s="70" t="str">
        <f>'36. Generic chemical products'!M41</f>
        <v>Sodium dithionite</v>
      </c>
      <c r="N95" s="70" t="str">
        <f>'36. Generic chemical products'!N41</f>
        <v>river</v>
      </c>
      <c r="O95" s="70">
        <f>'36. Generic chemical products'!O41</f>
        <v>9.0000000000000011E-2</v>
      </c>
      <c r="P95" s="70" t="str">
        <f>'36. Generic chemical products'!P41</f>
        <v>kg</v>
      </c>
      <c r="Q95" s="70">
        <f>'36. Generic chemical products'!Q41</f>
        <v>0</v>
      </c>
      <c r="R95" s="70">
        <f>'36. Generic chemical products'!R41</f>
        <v>0</v>
      </c>
      <c r="S95" s="70">
        <f>'36. Generic chemical products'!S41</f>
        <v>0</v>
      </c>
      <c r="T95" s="70" t="str">
        <f>'36. Generic chemical products'!T41</f>
        <v>7775-14-6</v>
      </c>
      <c r="U95" s="70">
        <f>'36. Generic chemical products'!U41</f>
        <v>0</v>
      </c>
      <c r="V95" s="70">
        <f>'36. Generic chemical products'!V41</f>
        <v>0</v>
      </c>
      <c r="W95" s="70">
        <f>'36. Generic chemical products'!W41</f>
        <v>0</v>
      </c>
      <c r="X95" s="70">
        <f>'36. Generic chemical products'!X41</f>
        <v>0</v>
      </c>
      <c r="Y95" s="70">
        <f>'36. Generic chemical products'!Y41</f>
        <v>52.575000000000003</v>
      </c>
      <c r="Z95" s="70">
        <f>'36. Generic chemical products'!Z41</f>
        <v>125.31</v>
      </c>
      <c r="AA95" s="70" t="str">
        <f>'36. Generic chemical products'!AA41</f>
        <v>COSMEDE</v>
      </c>
      <c r="AB95" s="300">
        <f>$C$33*I95</f>
        <v>0</v>
      </c>
      <c r="AC95" s="301">
        <f>$C$48*O95</f>
        <v>4.5000000000000004E-4</v>
      </c>
      <c r="AD95" s="302">
        <f t="shared" si="11"/>
        <v>0</v>
      </c>
      <c r="AE95" s="302">
        <f t="shared" si="2"/>
        <v>0</v>
      </c>
      <c r="AF95" s="303">
        <f t="shared" si="3"/>
        <v>5.6389500000000009E-2</v>
      </c>
      <c r="AG95" s="303">
        <f t="shared" si="4"/>
        <v>0</v>
      </c>
      <c r="AH95" s="303">
        <f t="shared" si="5"/>
        <v>0</v>
      </c>
      <c r="AI95" s="303">
        <f t="shared" si="6"/>
        <v>0</v>
      </c>
      <c r="AJ95" s="303">
        <f t="shared" si="7"/>
        <v>0</v>
      </c>
      <c r="AK95" s="303">
        <f t="shared" si="8"/>
        <v>0</v>
      </c>
      <c r="AL95" s="303">
        <f t="shared" si="9"/>
        <v>5.6389500000000009E-2</v>
      </c>
      <c r="AM95" s="304">
        <f t="shared" si="12"/>
        <v>0</v>
      </c>
      <c r="AN95" s="305">
        <f t="shared" si="12"/>
        <v>0</v>
      </c>
      <c r="AO95" s="306">
        <f t="shared" si="12"/>
        <v>5.6389500000000009E-2</v>
      </c>
    </row>
    <row r="96" spans="1:41" s="51" customFormat="1" ht="15" customHeight="1" x14ac:dyDescent="0.2">
      <c r="A96" s="70" t="str">
        <f>'36. Generic chemical products'!A42</f>
        <v>Reducing agent, average</v>
      </c>
      <c r="B96" s="70" t="str">
        <f>'36. Generic chemical products'!B42</f>
        <v>Sodium disulfate</v>
      </c>
      <c r="C96" s="70">
        <f>'36. Generic chemical products'!C42</f>
        <v>0.08</v>
      </c>
      <c r="D96" s="70" t="str">
        <f>'36. Generic chemical products'!D42</f>
        <v>kg</v>
      </c>
      <c r="E96" s="70" t="str">
        <f>'36. Generic chemical products'!E42</f>
        <v>MSDS</v>
      </c>
      <c r="F96" s="70"/>
      <c r="G96" s="70" t="str">
        <f>'36. Generic chemical products'!G42</f>
        <v>-</v>
      </c>
      <c r="H96" s="70">
        <f>'36. Generic chemical products'!H42</f>
        <v>0</v>
      </c>
      <c r="I96" s="70">
        <f>'36. Generic chemical products'!I42</f>
        <v>0</v>
      </c>
      <c r="J96" s="70">
        <f>'36. Generic chemical products'!J42</f>
        <v>0</v>
      </c>
      <c r="K96" s="70">
        <f>'36. Generic chemical products'!K42</f>
        <v>0</v>
      </c>
      <c r="L96" s="70"/>
      <c r="M96" s="70" t="str">
        <f>'36. Generic chemical products'!M42</f>
        <v>Sodium disulfate</v>
      </c>
      <c r="N96" s="70" t="str">
        <f>'36. Generic chemical products'!N42</f>
        <v>river</v>
      </c>
      <c r="O96" s="70">
        <f>'36. Generic chemical products'!O42</f>
        <v>8.0000000000000002E-3</v>
      </c>
      <c r="P96" s="70" t="str">
        <f>'36. Generic chemical products'!P42</f>
        <v>kg</v>
      </c>
      <c r="Q96" s="70">
        <f>'36. Generic chemical products'!Q42</f>
        <v>0</v>
      </c>
      <c r="R96" s="70">
        <f>'36. Generic chemical products'!R42</f>
        <v>0</v>
      </c>
      <c r="S96" s="70">
        <f>'36. Generic chemical products'!S42</f>
        <v>0</v>
      </c>
      <c r="T96" s="70" t="str">
        <f>'36. Generic chemical products'!T42</f>
        <v>7681-57-4</v>
      </c>
      <c r="U96" s="70">
        <f>'36. Generic chemical products'!U42</f>
        <v>0</v>
      </c>
      <c r="V96" s="70">
        <f>'36. Generic chemical products'!V42</f>
        <v>0</v>
      </c>
      <c r="W96" s="70">
        <f>'36. Generic chemical products'!W42</f>
        <v>0</v>
      </c>
      <c r="X96" s="70">
        <f>'36. Generic chemical products'!X42</f>
        <v>0</v>
      </c>
      <c r="Y96" s="70">
        <f>'36. Generic chemical products'!Y42</f>
        <v>6.0401999999999996</v>
      </c>
      <c r="Z96" s="70">
        <f>'36. Generic chemical products'!Z42</f>
        <v>126.48</v>
      </c>
      <c r="AA96" s="70" t="str">
        <f>'36. Generic chemical products'!AA42</f>
        <v>COSMEDE</v>
      </c>
      <c r="AB96" s="300">
        <f>$C$33*I96</f>
        <v>0</v>
      </c>
      <c r="AC96" s="301">
        <f>$C$48*O96</f>
        <v>4.0000000000000003E-5</v>
      </c>
      <c r="AD96" s="302">
        <f t="shared" si="11"/>
        <v>0</v>
      </c>
      <c r="AE96" s="302">
        <f t="shared" si="2"/>
        <v>0</v>
      </c>
      <c r="AF96" s="303">
        <f t="shared" si="3"/>
        <v>5.0592000000000007E-3</v>
      </c>
      <c r="AG96" s="303">
        <f t="shared" si="4"/>
        <v>0</v>
      </c>
      <c r="AH96" s="303">
        <f t="shared" si="5"/>
        <v>0</v>
      </c>
      <c r="AI96" s="303">
        <f t="shared" si="6"/>
        <v>0</v>
      </c>
      <c r="AJ96" s="303">
        <f t="shared" si="7"/>
        <v>0</v>
      </c>
      <c r="AK96" s="303">
        <f t="shared" si="8"/>
        <v>0</v>
      </c>
      <c r="AL96" s="303">
        <f t="shared" si="9"/>
        <v>5.0592000000000007E-3</v>
      </c>
      <c r="AM96" s="304">
        <f t="shared" si="12"/>
        <v>0</v>
      </c>
      <c r="AN96" s="305">
        <f t="shared" si="12"/>
        <v>0</v>
      </c>
      <c r="AO96" s="306">
        <f t="shared" si="12"/>
        <v>5.0592000000000007E-3</v>
      </c>
    </row>
    <row r="97" spans="1:41" s="51" customFormat="1" ht="15" customHeight="1" x14ac:dyDescent="0.2">
      <c r="A97" s="70" t="str">
        <f>'36. Generic chemical products'!A43</f>
        <v>Reducing agent, average</v>
      </c>
      <c r="B97" s="70" t="str">
        <f>'36. Generic chemical products'!B43</f>
        <v>Sodium carbonate (Na2CO3)</v>
      </c>
      <c r="C97" s="70">
        <f>'36. Generic chemical products'!C43</f>
        <v>0.02</v>
      </c>
      <c r="D97" s="70" t="str">
        <f>'36. Generic chemical products'!D43</f>
        <v>kg</v>
      </c>
      <c r="E97" s="70" t="str">
        <f>'36. Generic chemical products'!E43</f>
        <v>MSDS</v>
      </c>
      <c r="F97" s="70"/>
      <c r="G97" s="70" t="str">
        <f>'36. Generic chemical products'!G43</f>
        <v>-</v>
      </c>
      <c r="H97" s="70">
        <f>'36. Generic chemical products'!H43</f>
        <v>0</v>
      </c>
      <c r="I97" s="70">
        <f>'36. Generic chemical products'!I43</f>
        <v>0</v>
      </c>
      <c r="J97" s="70">
        <f>'36. Generic chemical products'!J43</f>
        <v>0</v>
      </c>
      <c r="K97" s="70" t="str">
        <f>'36. Generic chemical products'!K43</f>
        <v>Worst case - mist carries substance</v>
      </c>
      <c r="L97" s="70"/>
      <c r="M97" s="70" t="str">
        <f>'36. Generic chemical products'!M43</f>
        <v>Sodium carbonate (Na2CO3)</v>
      </c>
      <c r="N97" s="70" t="str">
        <f>'36. Generic chemical products'!N43</f>
        <v>river</v>
      </c>
      <c r="O97" s="70">
        <f>'36. Generic chemical products'!O43</f>
        <v>2E-3</v>
      </c>
      <c r="P97" s="70" t="str">
        <f>'36. Generic chemical products'!P43</f>
        <v>kg</v>
      </c>
      <c r="Q97" s="70">
        <f>'36. Generic chemical products'!Q43</f>
        <v>0</v>
      </c>
      <c r="R97" s="70">
        <f>'36. Generic chemical products'!R43</f>
        <v>0</v>
      </c>
      <c r="S97" s="70">
        <f>'36. Generic chemical products'!S43</f>
        <v>0</v>
      </c>
      <c r="T97" s="70" t="str">
        <f>'36. Generic chemical products'!T43</f>
        <v>497-19-8</v>
      </c>
      <c r="U97" s="70">
        <f>'36. Generic chemical products'!U43</f>
        <v>0</v>
      </c>
      <c r="V97" s="70">
        <f>'36. Generic chemical products'!V43</f>
        <v>0</v>
      </c>
      <c r="W97" s="70">
        <f>'36. Generic chemical products'!W43</f>
        <v>0</v>
      </c>
      <c r="X97" s="70">
        <f>'36. Generic chemical products'!X43</f>
        <v>0</v>
      </c>
      <c r="Y97" s="70">
        <f>'36. Generic chemical products'!Y43</f>
        <v>31</v>
      </c>
      <c r="Z97" s="70">
        <f>'36. Generic chemical products'!Z43</f>
        <v>73.7</v>
      </c>
      <c r="AA97" s="70" t="str">
        <f>'36. Generic chemical products'!AA43</f>
        <v>COSMEDE</v>
      </c>
      <c r="AB97" s="300">
        <f>$C$33*I97</f>
        <v>0</v>
      </c>
      <c r="AC97" s="301">
        <f>$C$48*O97</f>
        <v>1.0000000000000001E-5</v>
      </c>
      <c r="AD97" s="302">
        <f t="shared" si="11"/>
        <v>0</v>
      </c>
      <c r="AE97" s="302">
        <f t="shared" si="2"/>
        <v>0</v>
      </c>
      <c r="AF97" s="303">
        <f t="shared" si="3"/>
        <v>7.3700000000000013E-4</v>
      </c>
      <c r="AG97" s="303">
        <f t="shared" si="4"/>
        <v>0</v>
      </c>
      <c r="AH97" s="303">
        <f t="shared" si="5"/>
        <v>0</v>
      </c>
      <c r="AI97" s="303">
        <f t="shared" si="6"/>
        <v>0</v>
      </c>
      <c r="AJ97" s="303">
        <f t="shared" si="7"/>
        <v>0</v>
      </c>
      <c r="AK97" s="303">
        <f t="shared" si="8"/>
        <v>0</v>
      </c>
      <c r="AL97" s="303">
        <f t="shared" si="9"/>
        <v>7.3700000000000013E-4</v>
      </c>
      <c r="AM97" s="304">
        <f t="shared" si="12"/>
        <v>0</v>
      </c>
      <c r="AN97" s="305">
        <f t="shared" si="12"/>
        <v>0</v>
      </c>
      <c r="AO97" s="306">
        <f t="shared" si="12"/>
        <v>7.3700000000000013E-4</v>
      </c>
    </row>
    <row r="98" spans="1:41" s="139" customFormat="1" ht="15" customHeight="1" x14ac:dyDescent="0.2">
      <c r="A98" s="136" t="str">
        <f>'36. Generic chemical products'!A44</f>
        <v>Reducing agent, average</v>
      </c>
      <c r="B98" s="136" t="str">
        <f>'36. Generic chemical products'!B44</f>
        <v xml:space="preserve"> </v>
      </c>
      <c r="C98" s="136">
        <f>'36. Generic chemical products'!C44</f>
        <v>0</v>
      </c>
      <c r="D98" s="136">
        <f>'36. Generic chemical products'!D44</f>
        <v>0</v>
      </c>
      <c r="E98" s="136" t="str">
        <f>'36. Generic chemical products'!E44</f>
        <v>MSDS</v>
      </c>
      <c r="F98" s="136"/>
      <c r="G98" s="136" t="str">
        <f>'36. Generic chemical products'!G44</f>
        <v>-</v>
      </c>
      <c r="H98" s="136">
        <f>'36. Generic chemical products'!H44</f>
        <v>0</v>
      </c>
      <c r="I98" s="136">
        <f>'36. Generic chemical products'!I44</f>
        <v>0</v>
      </c>
      <c r="J98" s="136">
        <f>'36. Generic chemical products'!J44</f>
        <v>0</v>
      </c>
      <c r="K98" s="136" t="str">
        <f>'36. Generic chemical products'!K44</f>
        <v>Worst case - mist carries substance</v>
      </c>
      <c r="L98" s="136"/>
      <c r="M98" s="136" t="str">
        <f>'36. Generic chemical products'!M44</f>
        <v>Thiosulfate</v>
      </c>
      <c r="N98" s="136" t="str">
        <f>'36. Generic chemical products'!N44</f>
        <v>river</v>
      </c>
      <c r="O98" s="136">
        <f>'36. Generic chemical products'!O44</f>
        <v>9.0000000000000019E-5</v>
      </c>
      <c r="P98" s="136" t="str">
        <f>'36. Generic chemical products'!P44</f>
        <v>kg</v>
      </c>
      <c r="Q98" s="136" t="str">
        <f>'36. Generic chemical products'!Q44</f>
        <v>0.1 % of the content is degraded to common breakdown products.</v>
      </c>
      <c r="R98" s="136">
        <f>'36. Generic chemical products'!R44</f>
        <v>0</v>
      </c>
      <c r="S98" s="136">
        <f>'36. Generic chemical products'!S44</f>
        <v>0</v>
      </c>
      <c r="T98" s="136" t="str">
        <f>'36. Generic chemical products'!T44</f>
        <v>7772-98-7/10102-17-7</v>
      </c>
      <c r="U98" s="136">
        <f>'36. Generic chemical products'!U44</f>
        <v>0</v>
      </c>
      <c r="V98" s="136">
        <f>'36. Generic chemical products'!V44</f>
        <v>0</v>
      </c>
      <c r="W98" s="136">
        <f>'36. Generic chemical products'!W44</f>
        <v>0</v>
      </c>
      <c r="X98" s="136">
        <f>'36. Generic chemical products'!X44</f>
        <v>0</v>
      </c>
      <c r="Y98" s="136">
        <f>'36. Generic chemical products'!Y44</f>
        <v>13</v>
      </c>
      <c r="Z98" s="136">
        <f>'36. Generic chemical products'!Z44</f>
        <v>31.7</v>
      </c>
      <c r="AA98" s="136" t="str">
        <f>'36. Generic chemical products'!AA44</f>
        <v>COSMEDE</v>
      </c>
      <c r="AB98" s="307">
        <f>$C$33*I98</f>
        <v>0</v>
      </c>
      <c r="AC98" s="308">
        <f>$C$48*O98</f>
        <v>4.5000000000000009E-7</v>
      </c>
      <c r="AD98" s="309">
        <f t="shared" si="11"/>
        <v>0</v>
      </c>
      <c r="AE98" s="309">
        <f t="shared" si="2"/>
        <v>0</v>
      </c>
      <c r="AF98" s="310">
        <f t="shared" si="3"/>
        <v>1.4265000000000003E-5</v>
      </c>
      <c r="AG98" s="310">
        <f t="shared" si="4"/>
        <v>0</v>
      </c>
      <c r="AH98" s="310">
        <f t="shared" si="5"/>
        <v>0</v>
      </c>
      <c r="AI98" s="310">
        <f t="shared" si="6"/>
        <v>0</v>
      </c>
      <c r="AJ98" s="310">
        <f t="shared" si="7"/>
        <v>0</v>
      </c>
      <c r="AK98" s="310">
        <f t="shared" si="8"/>
        <v>0</v>
      </c>
      <c r="AL98" s="310">
        <f t="shared" si="9"/>
        <v>1.4265000000000003E-5</v>
      </c>
      <c r="AM98" s="311">
        <f t="shared" si="12"/>
        <v>0</v>
      </c>
      <c r="AN98" s="312">
        <f t="shared" si="12"/>
        <v>0</v>
      </c>
      <c r="AO98" s="313">
        <f t="shared" si="12"/>
        <v>1.4265000000000003E-5</v>
      </c>
    </row>
    <row r="99" spans="1:41" s="195" customFormat="1" ht="15" customHeight="1" x14ac:dyDescent="0.2">
      <c r="A99" s="196" t="str">
        <f>'36. Generic chemical products'!A45</f>
        <v>Soda (CaCO3), average</v>
      </c>
      <c r="B99" s="196" t="str">
        <f>'36. Generic chemical products'!B45</f>
        <v>Calcium carbonate</v>
      </c>
      <c r="C99" s="196">
        <f>'36. Generic chemical products'!C45</f>
        <v>1</v>
      </c>
      <c r="D99" s="196" t="str">
        <f>'36. Generic chemical products'!D45</f>
        <v>kg</v>
      </c>
      <c r="E99" s="196">
        <f>'36. Generic chemical products'!E45</f>
        <v>1</v>
      </c>
      <c r="F99" s="196"/>
      <c r="G99" s="196" t="str">
        <f>'36. Generic chemical products'!G45</f>
        <v>-</v>
      </c>
      <c r="H99" s="196">
        <f>'36. Generic chemical products'!H45</f>
        <v>0</v>
      </c>
      <c r="I99" s="196">
        <f>'36. Generic chemical products'!I45</f>
        <v>0</v>
      </c>
      <c r="J99" s="196">
        <f>'36. Generic chemical products'!J45</f>
        <v>0</v>
      </c>
      <c r="K99" s="196">
        <f>'36. Generic chemical products'!K45</f>
        <v>0</v>
      </c>
      <c r="L99" s="196"/>
      <c r="M99" s="196" t="str">
        <f>'36. Generic chemical products'!M45</f>
        <v>Calcium carbonate</v>
      </c>
      <c r="N99" s="196" t="str">
        <f>'36. Generic chemical products'!N45</f>
        <v>river</v>
      </c>
      <c r="O99" s="196">
        <f>'36. Generic chemical products'!O45</f>
        <v>0.1</v>
      </c>
      <c r="P99" s="196" t="str">
        <f>'36. Generic chemical products'!P45</f>
        <v>kg</v>
      </c>
      <c r="Q99" s="196">
        <f>'36. Generic chemical products'!Q45</f>
        <v>0</v>
      </c>
      <c r="R99" s="196">
        <f>'36. Generic chemical products'!R45</f>
        <v>0</v>
      </c>
      <c r="S99" s="196">
        <f>'36. Generic chemical products'!S45</f>
        <v>0</v>
      </c>
      <c r="T99" s="196" t="str">
        <f>'36. Generic chemical products'!T45</f>
        <v>471-34-1</v>
      </c>
      <c r="U99" s="196">
        <f>'36. Generic chemical products'!U45</f>
        <v>0</v>
      </c>
      <c r="V99" s="196">
        <f>'36. Generic chemical products'!V45</f>
        <v>0</v>
      </c>
      <c r="W99" s="196">
        <f>'36. Generic chemical products'!W45</f>
        <v>0</v>
      </c>
      <c r="X99" s="196">
        <f>'36. Generic chemical products'!X45</f>
        <v>0</v>
      </c>
      <c r="Y99" s="196">
        <f>'36. Generic chemical products'!Y45</f>
        <v>22</v>
      </c>
      <c r="Z99" s="196">
        <f>'36. Generic chemical products'!Z45</f>
        <v>51.7</v>
      </c>
      <c r="AA99" s="196" t="str">
        <f>'36. Generic chemical products'!AA45</f>
        <v>COSMEDE</v>
      </c>
      <c r="AB99" s="327">
        <f>$C$34*I99</f>
        <v>0</v>
      </c>
      <c r="AC99" s="328">
        <f>$C$49*O99</f>
        <v>2E-3</v>
      </c>
      <c r="AD99" s="329">
        <f t="shared" si="11"/>
        <v>0</v>
      </c>
      <c r="AE99" s="329">
        <f t="shared" si="2"/>
        <v>0</v>
      </c>
      <c r="AF99" s="330">
        <f t="shared" si="3"/>
        <v>0.10340000000000001</v>
      </c>
      <c r="AG99" s="330">
        <f t="shared" si="4"/>
        <v>0</v>
      </c>
      <c r="AH99" s="330">
        <f t="shared" si="5"/>
        <v>0</v>
      </c>
      <c r="AI99" s="330">
        <f t="shared" si="6"/>
        <v>0</v>
      </c>
      <c r="AJ99" s="330">
        <f t="shared" si="7"/>
        <v>0</v>
      </c>
      <c r="AK99" s="330">
        <f t="shared" si="8"/>
        <v>0</v>
      </c>
      <c r="AL99" s="330">
        <f t="shared" si="9"/>
        <v>0.10340000000000001</v>
      </c>
      <c r="AM99" s="331">
        <f t="shared" si="12"/>
        <v>0</v>
      </c>
      <c r="AN99" s="332">
        <f t="shared" si="12"/>
        <v>0</v>
      </c>
      <c r="AO99" s="333">
        <f t="shared" si="12"/>
        <v>0.10340000000000001</v>
      </c>
    </row>
    <row r="100" spans="1:41" s="51" customFormat="1" ht="15" customHeight="1" x14ac:dyDescent="0.2">
      <c r="A100" s="54" t="str">
        <f>'36. Generic chemical products'!A5</f>
        <v>Detergent, average (Ultravon EL)</v>
      </c>
      <c r="B100" s="54" t="str">
        <f>'36. Generic chemical products'!B5</f>
        <v>Polyacrylic acid, sodium salt</v>
      </c>
      <c r="C100" s="54">
        <f>'36. Generic chemical products'!C5</f>
        <v>0.1</v>
      </c>
      <c r="D100" s="54" t="str">
        <f>'36. Generic chemical products'!D5</f>
        <v>kg</v>
      </c>
      <c r="E100" s="54" t="str">
        <f>'36. Generic chemical products'!E5</f>
        <v>MSDS</v>
      </c>
      <c r="F100" s="54"/>
      <c r="G100" s="54" t="str">
        <f>'36. Generic chemical products'!G5</f>
        <v>-</v>
      </c>
      <c r="H100" s="54">
        <f>'36. Generic chemical products'!H5</f>
        <v>0</v>
      </c>
      <c r="I100" s="54">
        <f>'36. Generic chemical products'!I5</f>
        <v>0</v>
      </c>
      <c r="J100" s="54">
        <f>'36. Generic chemical products'!J5</f>
        <v>0</v>
      </c>
      <c r="K100" s="54">
        <f>'36. Generic chemical products'!K5</f>
        <v>0</v>
      </c>
      <c r="L100" s="54"/>
      <c r="M100" s="54" t="str">
        <f>'36. Generic chemical products'!M5</f>
        <v>Polyacrylic acid, sodium salt</v>
      </c>
      <c r="N100" s="54" t="str">
        <f>'36. Generic chemical products'!N5</f>
        <v>river</v>
      </c>
      <c r="O100" s="54">
        <f>'36. Generic chemical products'!O5</f>
        <v>9.9000000000000008E-3</v>
      </c>
      <c r="P100" s="54" t="str">
        <f>'36. Generic chemical products'!P5</f>
        <v>kg</v>
      </c>
      <c r="Q100" s="54" t="str">
        <f>'36. Generic chemical products'!Q5</f>
        <v>1% of polymer content remains as monomers from the production process.</v>
      </c>
      <c r="R100" s="54">
        <f>'36. Generic chemical products'!R5</f>
        <v>0</v>
      </c>
      <c r="S100" s="54">
        <f>'36. Generic chemical products'!S5</f>
        <v>0</v>
      </c>
      <c r="T100" s="54" t="str">
        <f>'36. Generic chemical products'!T5</f>
        <v>9003-04-7</v>
      </c>
      <c r="U100" s="54">
        <f>'36. Generic chemical products'!U5</f>
        <v>0</v>
      </c>
      <c r="V100" s="54">
        <f>'36. Generic chemical products'!V5</f>
        <v>0</v>
      </c>
      <c r="W100" s="54">
        <f>'36. Generic chemical products'!W5</f>
        <v>0</v>
      </c>
      <c r="X100" s="54">
        <f>'36. Generic chemical products'!X5</f>
        <v>0</v>
      </c>
      <c r="Y100" s="54">
        <f>'36. Generic chemical products'!Y5</f>
        <v>7.06</v>
      </c>
      <c r="Z100" s="54">
        <f>'36. Generic chemical products'!Z5</f>
        <v>78.599999999999994</v>
      </c>
      <c r="AA100" s="54" t="str">
        <f>'36. Generic chemical products'!AA5</f>
        <v>COSMEDE</v>
      </c>
      <c r="AB100" s="300">
        <f t="shared" ref="AB100:AB105" si="13">$C$35*I100</f>
        <v>0</v>
      </c>
      <c r="AC100" s="301">
        <f t="shared" ref="AC100:AC105" si="14">$C$50*O100</f>
        <v>1.9800000000000002E-4</v>
      </c>
      <c r="AD100" s="302">
        <f t="shared" si="11"/>
        <v>0</v>
      </c>
      <c r="AE100" s="302">
        <f t="shared" si="2"/>
        <v>0</v>
      </c>
      <c r="AF100" s="303">
        <f t="shared" si="3"/>
        <v>1.55628E-2</v>
      </c>
      <c r="AG100" s="303">
        <f t="shared" si="4"/>
        <v>0</v>
      </c>
      <c r="AH100" s="303">
        <f t="shared" si="5"/>
        <v>0</v>
      </c>
      <c r="AI100" s="303">
        <f t="shared" si="6"/>
        <v>0</v>
      </c>
      <c r="AJ100" s="303">
        <f t="shared" si="7"/>
        <v>0</v>
      </c>
      <c r="AK100" s="303">
        <f t="shared" si="8"/>
        <v>0</v>
      </c>
      <c r="AL100" s="303">
        <f t="shared" si="9"/>
        <v>1.55628E-2</v>
      </c>
      <c r="AM100" s="304">
        <f t="shared" si="12"/>
        <v>0</v>
      </c>
      <c r="AN100" s="305">
        <f t="shared" si="12"/>
        <v>0</v>
      </c>
      <c r="AO100" s="306">
        <f t="shared" si="12"/>
        <v>1.55628E-2</v>
      </c>
    </row>
    <row r="101" spans="1:41" s="51" customFormat="1" ht="15" customHeight="1" x14ac:dyDescent="0.2">
      <c r="A101" s="54" t="str">
        <f>'36. Generic chemical products'!A6</f>
        <v>Detergent, average (Ultravon EL)</v>
      </c>
      <c r="B101" s="54" t="str">
        <f>'36. Generic chemical products'!B6</f>
        <v>Oxirane, methyl-, polymer with oxirane, decyl ether</v>
      </c>
      <c r="C101" s="54">
        <f>'36. Generic chemical products'!C6</f>
        <v>0.25</v>
      </c>
      <c r="D101" s="54" t="str">
        <f>'36. Generic chemical products'!D6</f>
        <v>kg</v>
      </c>
      <c r="E101" s="54" t="str">
        <f>'36. Generic chemical products'!E6</f>
        <v>MSDS</v>
      </c>
      <c r="F101" s="54"/>
      <c r="G101" s="54" t="str">
        <f>'36. Generic chemical products'!G6</f>
        <v>-</v>
      </c>
      <c r="H101" s="54">
        <f>'36. Generic chemical products'!H6</f>
        <v>0</v>
      </c>
      <c r="I101" s="54">
        <f>'36. Generic chemical products'!I6</f>
        <v>0</v>
      </c>
      <c r="J101" s="54">
        <f>'36. Generic chemical products'!J6</f>
        <v>0</v>
      </c>
      <c r="K101" s="54">
        <f>'36. Generic chemical products'!K6</f>
        <v>0</v>
      </c>
      <c r="L101" s="54"/>
      <c r="M101" s="54" t="str">
        <f>'36. Generic chemical products'!M6</f>
        <v>Oxirane, methyl-, polymer with oxirane, decyl ether</v>
      </c>
      <c r="N101" s="54" t="str">
        <f>'36. Generic chemical products'!N6</f>
        <v>river</v>
      </c>
      <c r="O101" s="54">
        <f>'36. Generic chemical products'!O6</f>
        <v>2.5000000000000001E-2</v>
      </c>
      <c r="P101" s="54" t="str">
        <f>'36. Generic chemical products'!P6</f>
        <v>kg</v>
      </c>
      <c r="Q101" s="54">
        <f>'36. Generic chemical products'!Q6</f>
        <v>0</v>
      </c>
      <c r="R101" s="54">
        <f>'36. Generic chemical products'!R6</f>
        <v>0</v>
      </c>
      <c r="S101" s="54">
        <f>'36. Generic chemical products'!S6</f>
        <v>0</v>
      </c>
      <c r="T101" s="54" t="str">
        <f>'36. Generic chemical products'!T6</f>
        <v>37251-67-5</v>
      </c>
      <c r="U101" s="54">
        <f>'36. Generic chemical products'!U6</f>
        <v>0</v>
      </c>
      <c r="V101" s="54">
        <f>'36. Generic chemical products'!V6</f>
        <v>1.2009414857886904E-7</v>
      </c>
      <c r="W101" s="54">
        <f>'36. Generic chemical products'!W6</f>
        <v>0</v>
      </c>
      <c r="X101" s="54">
        <f>'36. Generic chemical products'!X6</f>
        <v>3.2843909509658706E-7</v>
      </c>
      <c r="Y101" s="54">
        <f>'36. Generic chemical products'!Y6</f>
        <v>14.526941022240393</v>
      </c>
      <c r="Z101" s="54">
        <f>'36. Generic chemical products'!Z6</f>
        <v>111.251141519207</v>
      </c>
      <c r="AA101" s="54" t="str">
        <f>'36. Generic chemical products'!AA6</f>
        <v>Roos 2017</v>
      </c>
      <c r="AB101" s="300">
        <f t="shared" si="13"/>
        <v>0</v>
      </c>
      <c r="AC101" s="301">
        <f t="shared" si="14"/>
        <v>5.0000000000000001E-4</v>
      </c>
      <c r="AD101" s="302">
        <f t="shared" si="11"/>
        <v>0</v>
      </c>
      <c r="AE101" s="302">
        <f t="shared" si="2"/>
        <v>1.6421954754829352E-10</v>
      </c>
      <c r="AF101" s="303">
        <f t="shared" si="3"/>
        <v>5.5625570759603497E-2</v>
      </c>
      <c r="AG101" s="303">
        <f t="shared" si="4"/>
        <v>0</v>
      </c>
      <c r="AH101" s="303">
        <f t="shared" si="5"/>
        <v>0</v>
      </c>
      <c r="AI101" s="303">
        <f t="shared" si="6"/>
        <v>0</v>
      </c>
      <c r="AJ101" s="303">
        <f t="shared" si="7"/>
        <v>0</v>
      </c>
      <c r="AK101" s="303">
        <f t="shared" si="8"/>
        <v>1.6421954754829352E-10</v>
      </c>
      <c r="AL101" s="303">
        <f t="shared" si="9"/>
        <v>5.5625570759603497E-2</v>
      </c>
      <c r="AM101" s="304">
        <f t="shared" si="12"/>
        <v>0</v>
      </c>
      <c r="AN101" s="305">
        <f t="shared" si="12"/>
        <v>1.6421954754829352E-10</v>
      </c>
      <c r="AO101" s="306">
        <f t="shared" si="12"/>
        <v>5.5625570759603497E-2</v>
      </c>
    </row>
    <row r="102" spans="1:41" s="51" customFormat="1" ht="15" customHeight="1" x14ac:dyDescent="0.2">
      <c r="A102" s="54" t="str">
        <f>'36. Generic chemical products'!A7</f>
        <v>Detergent, average (Ultravon EL)</v>
      </c>
      <c r="B102" s="54" t="str">
        <f>'36. Generic chemical products'!B7</f>
        <v>Ethoxylated fatty alcohol (&gt;6 EO)</v>
      </c>
      <c r="C102" s="54">
        <f>'36. Generic chemical products'!C7</f>
        <v>0.1</v>
      </c>
      <c r="D102" s="54" t="str">
        <f>'36. Generic chemical products'!D7</f>
        <v>kg</v>
      </c>
      <c r="E102" s="54" t="str">
        <f>'36. Generic chemical products'!E7</f>
        <v>MSDS</v>
      </c>
      <c r="F102" s="54"/>
      <c r="G102" s="54" t="str">
        <f>'36. Generic chemical products'!G7</f>
        <v>-</v>
      </c>
      <c r="H102" s="54">
        <f>'36. Generic chemical products'!H7</f>
        <v>0</v>
      </c>
      <c r="I102" s="54">
        <f>'36. Generic chemical products'!I7</f>
        <v>0</v>
      </c>
      <c r="J102" s="54">
        <f>'36. Generic chemical products'!J7</f>
        <v>0</v>
      </c>
      <c r="K102" s="54">
        <f>'36. Generic chemical products'!K7</f>
        <v>0</v>
      </c>
      <c r="L102" s="54"/>
      <c r="M102" s="54" t="str">
        <f>'36. Generic chemical products'!M7</f>
        <v>Alcohols, c12-14, ethoxylated</v>
      </c>
      <c r="N102" s="54" t="str">
        <f>'36. Generic chemical products'!N7</f>
        <v>river</v>
      </c>
      <c r="O102" s="54">
        <f>'36. Generic chemical products'!O7</f>
        <v>1.0000000000000002E-2</v>
      </c>
      <c r="P102" s="54" t="str">
        <f>'36. Generic chemical products'!P7</f>
        <v>kg</v>
      </c>
      <c r="Q102" s="54">
        <f>'36. Generic chemical products'!Q7</f>
        <v>0</v>
      </c>
      <c r="R102" s="54">
        <f>'36. Generic chemical products'!R7</f>
        <v>0</v>
      </c>
      <c r="S102" s="54">
        <f>'36. Generic chemical products'!S7</f>
        <v>0</v>
      </c>
      <c r="T102" s="54" t="str">
        <f>'36. Generic chemical products'!T7</f>
        <v>69011-36-5</v>
      </c>
      <c r="U102" s="54">
        <f>'36. Generic chemical products'!U7</f>
        <v>0</v>
      </c>
      <c r="V102" s="54">
        <f>'36. Generic chemical products'!V7</f>
        <v>0</v>
      </c>
      <c r="W102" s="54">
        <f>'36. Generic chemical products'!W7</f>
        <v>0</v>
      </c>
      <c r="X102" s="54">
        <f>'36. Generic chemical products'!X7</f>
        <v>0</v>
      </c>
      <c r="Y102" s="54">
        <f>'36. Generic chemical products'!Y7</f>
        <v>47</v>
      </c>
      <c r="Z102" s="54">
        <f>'36. Generic chemical products'!Z7</f>
        <v>913</v>
      </c>
      <c r="AA102" s="54" t="str">
        <f>'36. Generic chemical products'!AA7</f>
        <v>COSMEDE</v>
      </c>
      <c r="AB102" s="300">
        <f t="shared" si="13"/>
        <v>0</v>
      </c>
      <c r="AC102" s="301">
        <f t="shared" si="14"/>
        <v>2.0000000000000004E-4</v>
      </c>
      <c r="AD102" s="302">
        <f t="shared" si="11"/>
        <v>0</v>
      </c>
      <c r="AE102" s="302">
        <f t="shared" si="2"/>
        <v>0</v>
      </c>
      <c r="AF102" s="303">
        <f t="shared" si="3"/>
        <v>0.18260000000000004</v>
      </c>
      <c r="AG102" s="303">
        <f t="shared" si="4"/>
        <v>0</v>
      </c>
      <c r="AH102" s="303">
        <f t="shared" si="5"/>
        <v>0</v>
      </c>
      <c r="AI102" s="303">
        <f t="shared" si="6"/>
        <v>0</v>
      </c>
      <c r="AJ102" s="303">
        <f t="shared" si="7"/>
        <v>0</v>
      </c>
      <c r="AK102" s="303">
        <f t="shared" si="8"/>
        <v>0</v>
      </c>
      <c r="AL102" s="303">
        <f t="shared" si="9"/>
        <v>0.18260000000000004</v>
      </c>
      <c r="AM102" s="304">
        <f t="shared" si="12"/>
        <v>0</v>
      </c>
      <c r="AN102" s="305">
        <f t="shared" si="12"/>
        <v>0</v>
      </c>
      <c r="AO102" s="306">
        <f t="shared" si="12"/>
        <v>0.18260000000000004</v>
      </c>
    </row>
    <row r="103" spans="1:41" s="51" customFormat="1" ht="15" customHeight="1" x14ac:dyDescent="0.2">
      <c r="A103" s="54" t="str">
        <f>'36. Generic chemical products'!A8</f>
        <v>Detergent, average (Ultravon EL)</v>
      </c>
      <c r="B103" s="54" t="str">
        <f>'36. Generic chemical products'!B8</f>
        <v>Sodium mono(2-ethylhexyl)estersulfate</v>
      </c>
      <c r="C103" s="54">
        <f>'36. Generic chemical products'!C8</f>
        <v>0.05</v>
      </c>
      <c r="D103" s="54" t="str">
        <f>'36. Generic chemical products'!D8</f>
        <v>kg</v>
      </c>
      <c r="E103" s="54" t="str">
        <f>'36. Generic chemical products'!E8</f>
        <v>MSDS</v>
      </c>
      <c r="F103" s="54"/>
      <c r="G103" s="54" t="str">
        <f>'36. Generic chemical products'!G8</f>
        <v>-</v>
      </c>
      <c r="H103" s="54">
        <f>'36. Generic chemical products'!H8</f>
        <v>0</v>
      </c>
      <c r="I103" s="54">
        <f>'36. Generic chemical products'!I8</f>
        <v>0</v>
      </c>
      <c r="J103" s="54">
        <f>'36. Generic chemical products'!J8</f>
        <v>0</v>
      </c>
      <c r="K103" s="54">
        <f>'36. Generic chemical products'!K8</f>
        <v>0</v>
      </c>
      <c r="L103" s="54"/>
      <c r="M103" s="54" t="str">
        <f>'36. Generic chemical products'!M8</f>
        <v>Sodium mono(2-ethylhexyl)estersulfate</v>
      </c>
      <c r="N103" s="54" t="str">
        <f>'36. Generic chemical products'!N8</f>
        <v>river</v>
      </c>
      <c r="O103" s="54">
        <f>'36. Generic chemical products'!O8</f>
        <v>5.000000000000001E-3</v>
      </c>
      <c r="P103" s="54" t="str">
        <f>'36. Generic chemical products'!P8</f>
        <v>kg</v>
      </c>
      <c r="Q103" s="54">
        <f>'36. Generic chemical products'!Q8</f>
        <v>0</v>
      </c>
      <c r="R103" s="54">
        <f>'36. Generic chemical products'!R8</f>
        <v>0</v>
      </c>
      <c r="S103" s="54">
        <f>'36. Generic chemical products'!S8</f>
        <v>0</v>
      </c>
      <c r="T103" s="54" t="str">
        <f>'36. Generic chemical products'!T8</f>
        <v>126-92-1</v>
      </c>
      <c r="U103" s="54">
        <f>'36. Generic chemical products'!U8</f>
        <v>0</v>
      </c>
      <c r="V103" s="54">
        <f>'36. Generic chemical products'!V8</f>
        <v>0</v>
      </c>
      <c r="W103" s="54">
        <f>'36. Generic chemical products'!W8</f>
        <v>0</v>
      </c>
      <c r="X103" s="54">
        <f>'36. Generic chemical products'!X8</f>
        <v>0</v>
      </c>
      <c r="Y103" s="54">
        <f>'36. Generic chemical products'!Y8</f>
        <v>109.72</v>
      </c>
      <c r="Z103" s="54">
        <f>'36. Generic chemical products'!Z8</f>
        <v>110</v>
      </c>
      <c r="AA103" s="54" t="str">
        <f>'36. Generic chemical products'!AA8</f>
        <v>COSMEDE</v>
      </c>
      <c r="AB103" s="300">
        <f t="shared" si="13"/>
        <v>0</v>
      </c>
      <c r="AC103" s="301">
        <f t="shared" si="14"/>
        <v>1.0000000000000002E-4</v>
      </c>
      <c r="AD103" s="302">
        <f t="shared" si="11"/>
        <v>0</v>
      </c>
      <c r="AE103" s="302">
        <f t="shared" si="2"/>
        <v>0</v>
      </c>
      <c r="AF103" s="303">
        <f t="shared" si="3"/>
        <v>1.1000000000000003E-2</v>
      </c>
      <c r="AG103" s="303">
        <f t="shared" si="4"/>
        <v>0</v>
      </c>
      <c r="AH103" s="303">
        <f t="shared" si="5"/>
        <v>0</v>
      </c>
      <c r="AI103" s="303">
        <f t="shared" si="6"/>
        <v>0</v>
      </c>
      <c r="AJ103" s="303">
        <f t="shared" si="7"/>
        <v>0</v>
      </c>
      <c r="AK103" s="303">
        <f t="shared" si="8"/>
        <v>0</v>
      </c>
      <c r="AL103" s="303">
        <f t="shared" si="9"/>
        <v>1.1000000000000003E-2</v>
      </c>
      <c r="AM103" s="304">
        <f t="shared" si="12"/>
        <v>0</v>
      </c>
      <c r="AN103" s="305">
        <f t="shared" si="12"/>
        <v>0</v>
      </c>
      <c r="AO103" s="306">
        <f t="shared" si="12"/>
        <v>1.1000000000000003E-2</v>
      </c>
    </row>
    <row r="104" spans="1:41" s="51" customFormat="1" ht="15" customHeight="1" x14ac:dyDescent="0.2">
      <c r="A104" s="54" t="str">
        <f>'36. Generic chemical products'!A9</f>
        <v>Detergent, average (Ultravon EL)</v>
      </c>
      <c r="B104" s="54" t="str">
        <f>'36. Generic chemical products'!B9</f>
        <v>Ethylene oxide</v>
      </c>
      <c r="C104" s="54">
        <f>'36. Generic chemical products'!C9</f>
        <v>0</v>
      </c>
      <c r="D104" s="54">
        <f>'36. Generic chemical products'!D9</f>
        <v>0</v>
      </c>
      <c r="E104" s="54" t="str">
        <f>'36. Generic chemical products'!E9</f>
        <v>&lt;= 0.1% in alcohol ethoxylates</v>
      </c>
      <c r="F104" s="54"/>
      <c r="G104" s="54" t="str">
        <f>'36. Generic chemical products'!G9</f>
        <v>Ethylene oxide</v>
      </c>
      <c r="H104" s="54" t="str">
        <f>'36. Generic chemical products'!H9</f>
        <v>high. pop.</v>
      </c>
      <c r="I104" s="54">
        <f>'36. Generic chemical products'!I9</f>
        <v>1.0000000000000001E-7</v>
      </c>
      <c r="J104" s="54" t="str">
        <f>'36. Generic chemical products'!J9</f>
        <v>kg</v>
      </c>
      <c r="K104" s="54">
        <f>'36. Generic chemical products'!K9</f>
        <v>0</v>
      </c>
      <c r="L104" s="54"/>
      <c r="M104" s="54" t="str">
        <f>'36. Generic chemical products'!M9</f>
        <v>Ethylene oxide</v>
      </c>
      <c r="N104" s="54" t="str">
        <f>'36. Generic chemical products'!N9</f>
        <v>river</v>
      </c>
      <c r="O104" s="54">
        <f>'36. Generic chemical products'!O9</f>
        <v>1.0000000000000001E-5</v>
      </c>
      <c r="P104" s="54" t="str">
        <f>'36. Generic chemical products'!P9</f>
        <v>kg</v>
      </c>
      <c r="Q104" s="54" t="str">
        <f>'36. Generic chemical products'!Q9</f>
        <v>&lt;= 0.001 in alcohol ethoxylates</v>
      </c>
      <c r="R104" s="54">
        <f>'36. Generic chemical products'!R9</f>
        <v>0</v>
      </c>
      <c r="S104" s="54">
        <f>'36. Generic chemical products'!S9</f>
        <v>0</v>
      </c>
      <c r="T104" s="54" t="str">
        <f>'36. Generic chemical products'!T9</f>
        <v>75-21-8</v>
      </c>
      <c r="U104" s="54">
        <f>'36. Generic chemical products'!U9</f>
        <v>1.0252176328593382E-6</v>
      </c>
      <c r="V104" s="54">
        <f>'36. Generic chemical products'!V9</f>
        <v>0</v>
      </c>
      <c r="W104" s="54">
        <f>'36. Generic chemical products'!W9</f>
        <v>8.6533271568247147E-7</v>
      </c>
      <c r="X104" s="54">
        <f>'36. Generic chemical products'!X9</f>
        <v>0</v>
      </c>
      <c r="Y104" s="54">
        <f>'36. Generic chemical products'!Y9</f>
        <v>0.65406517859613422</v>
      </c>
      <c r="Z104" s="54">
        <f>'36. Generic chemical products'!Z9</f>
        <v>11.248588270889815</v>
      </c>
      <c r="AA104" s="54" t="str">
        <f>'36. Generic chemical products'!AA9</f>
        <v>USEtox</v>
      </c>
      <c r="AB104" s="300">
        <f t="shared" si="13"/>
        <v>2.0000000000000001E-9</v>
      </c>
      <c r="AC104" s="301">
        <f t="shared" si="14"/>
        <v>2.0000000000000002E-7</v>
      </c>
      <c r="AD104" s="302">
        <f t="shared" si="11"/>
        <v>1.7511697840221298E-13</v>
      </c>
      <c r="AE104" s="302">
        <f t="shared" si="2"/>
        <v>0</v>
      </c>
      <c r="AF104" s="303">
        <f t="shared" si="3"/>
        <v>2.2510257845351559E-6</v>
      </c>
      <c r="AG104" s="303">
        <f t="shared" si="4"/>
        <v>2.0504352657186766E-15</v>
      </c>
      <c r="AH104" s="303">
        <f t="shared" si="5"/>
        <v>0</v>
      </c>
      <c r="AI104" s="303">
        <f t="shared" si="6"/>
        <v>1.3081303571922684E-9</v>
      </c>
      <c r="AJ104" s="303">
        <f t="shared" si="7"/>
        <v>1.730665431364943E-13</v>
      </c>
      <c r="AK104" s="303">
        <f t="shared" si="8"/>
        <v>0</v>
      </c>
      <c r="AL104" s="303">
        <f t="shared" si="9"/>
        <v>2.2497176541779634E-6</v>
      </c>
      <c r="AM104" s="304">
        <f t="shared" si="12"/>
        <v>1.7511697840221298E-13</v>
      </c>
      <c r="AN104" s="305">
        <f t="shared" si="12"/>
        <v>0</v>
      </c>
      <c r="AO104" s="306">
        <f t="shared" si="12"/>
        <v>2.2510257845351559E-6</v>
      </c>
    </row>
    <row r="105" spans="1:41" s="139" customFormat="1" ht="15" customHeight="1" x14ac:dyDescent="0.2">
      <c r="A105" s="141" t="str">
        <f>'36. Generic chemical products'!A10</f>
        <v>Detergent, average (Ultravon EL)</v>
      </c>
      <c r="B105" s="141" t="str">
        <f>'36. Generic chemical products'!B10</f>
        <v xml:space="preserve"> </v>
      </c>
      <c r="C105" s="141">
        <f>'36. Generic chemical products'!C10</f>
        <v>0</v>
      </c>
      <c r="D105" s="141">
        <f>'36. Generic chemical products'!D10</f>
        <v>0</v>
      </c>
      <c r="E105" s="141" t="str">
        <f>'36. Generic chemical products'!E10</f>
        <v>Common breakdown product of of acrylics, 0.001 % assumed</v>
      </c>
      <c r="F105" s="141"/>
      <c r="G105" s="141" t="str">
        <f>'36. Generic chemical products'!G10</f>
        <v>Formaldehyde</v>
      </c>
      <c r="H105" s="141" t="str">
        <f>'36. Generic chemical products'!H10</f>
        <v>high. pop.</v>
      </c>
      <c r="I105" s="141">
        <f>'36. Generic chemical products'!I10</f>
        <v>1.0000000000000001E-7</v>
      </c>
      <c r="J105" s="141" t="str">
        <f>'36. Generic chemical products'!J10</f>
        <v>kg</v>
      </c>
      <c r="K105" s="141">
        <f>'36. Generic chemical products'!K10</f>
        <v>0</v>
      </c>
      <c r="L105" s="141"/>
      <c r="M105" s="141" t="str">
        <f>'36. Generic chemical products'!M10</f>
        <v>Formaldehyde</v>
      </c>
      <c r="N105" s="141" t="str">
        <f>'36. Generic chemical products'!N10</f>
        <v>river</v>
      </c>
      <c r="O105" s="141">
        <f>'36. Generic chemical products'!O10</f>
        <v>1.0000000000000002E-6</v>
      </c>
      <c r="P105" s="141" t="str">
        <f>'36. Generic chemical products'!P10</f>
        <v>kg</v>
      </c>
      <c r="Q105" s="141" t="str">
        <f>'36. Generic chemical products'!Q10</f>
        <v xml:space="preserve">0.1 % of the content is degraded to common breakdown products. 90% of reactive chemicals are degraded during operations. </v>
      </c>
      <c r="R105" s="141">
        <f>'36. Generic chemical products'!R10</f>
        <v>0</v>
      </c>
      <c r="S105" s="141">
        <f>'36. Generic chemical products'!S10</f>
        <v>0</v>
      </c>
      <c r="T105" s="141" t="str">
        <f>'36. Generic chemical products'!T10</f>
        <v>50-00-0</v>
      </c>
      <c r="U105" s="141">
        <f>'36. Generic chemical products'!U10</f>
        <v>2.5208446330720887E-5</v>
      </c>
      <c r="V105" s="141">
        <f>'36. Generic chemical products'!V10</f>
        <v>2.6504960021309262E-7</v>
      </c>
      <c r="W105" s="141">
        <f>'36. Generic chemical products'!W10</f>
        <v>1.4222228897488039E-7</v>
      </c>
      <c r="X105" s="141">
        <f>'36. Generic chemical products'!X10</f>
        <v>3.170874313501273E-7</v>
      </c>
      <c r="Y105" s="141">
        <f>'36. Generic chemical products'!Y10</f>
        <v>17.989178582912412</v>
      </c>
      <c r="Z105" s="141">
        <f>'36. Generic chemical products'!Z10</f>
        <v>290.05086067463066</v>
      </c>
      <c r="AA105" s="141" t="str">
        <f>'36. Generic chemical products'!AA10</f>
        <v>USEtox</v>
      </c>
      <c r="AB105" s="307">
        <f t="shared" si="13"/>
        <v>2.0000000000000001E-9</v>
      </c>
      <c r="AC105" s="308">
        <f t="shared" si="14"/>
        <v>2.0000000000000004E-8</v>
      </c>
      <c r="AD105" s="309">
        <f t="shared" si="11"/>
        <v>5.3261338440939386E-14</v>
      </c>
      <c r="AE105" s="309">
        <f t="shared" si="2"/>
        <v>6.8718478274287326E-15</v>
      </c>
      <c r="AF105" s="310">
        <f t="shared" si="3"/>
        <v>5.8369955706584394E-6</v>
      </c>
      <c r="AG105" s="310">
        <f t="shared" si="4"/>
        <v>5.0416892661441775E-14</v>
      </c>
      <c r="AH105" s="310">
        <f t="shared" si="5"/>
        <v>5.3009920042618528E-16</v>
      </c>
      <c r="AI105" s="310">
        <f t="shared" si="6"/>
        <v>3.5978357165824829E-8</v>
      </c>
      <c r="AJ105" s="310">
        <f t="shared" si="7"/>
        <v>2.8444457794976083E-15</v>
      </c>
      <c r="AK105" s="310">
        <f t="shared" si="8"/>
        <v>6.3417486270025475E-15</v>
      </c>
      <c r="AL105" s="310">
        <f t="shared" si="9"/>
        <v>5.8010172134926146E-6</v>
      </c>
      <c r="AM105" s="311">
        <f t="shared" si="12"/>
        <v>5.3261338440939386E-14</v>
      </c>
      <c r="AN105" s="312">
        <f t="shared" si="12"/>
        <v>6.8718478274287326E-15</v>
      </c>
      <c r="AO105" s="313">
        <f t="shared" si="12"/>
        <v>5.8369955706584394E-6</v>
      </c>
    </row>
    <row r="106" spans="1:41" s="51" customFormat="1" ht="15" customHeight="1" x14ac:dyDescent="0.2">
      <c r="A106" s="68" t="str">
        <f>'36. Generic chemical products'!A20</f>
        <v>Softener, average (Sapamine SFC)</v>
      </c>
      <c r="B106" s="68" t="str">
        <f>'36. Generic chemical products'!B20</f>
        <v>Octadecanoic acid</v>
      </c>
      <c r="C106" s="68">
        <f>'36. Generic chemical products'!C20</f>
        <v>0.2</v>
      </c>
      <c r="D106" s="68" t="str">
        <f>'36. Generic chemical products'!D20</f>
        <v>kg</v>
      </c>
      <c r="E106" s="68" t="str">
        <f>'36. Generic chemical products'!E20</f>
        <v>MSDS</v>
      </c>
      <c r="F106" s="68"/>
      <c r="G106" s="68" t="str">
        <f>'36. Generic chemical products'!G20</f>
        <v>-</v>
      </c>
      <c r="H106" s="68">
        <f>'36. Generic chemical products'!H20</f>
        <v>0</v>
      </c>
      <c r="I106" s="68">
        <f>'36. Generic chemical products'!I20</f>
        <v>0</v>
      </c>
      <c r="J106" s="68">
        <f>'36. Generic chemical products'!J20</f>
        <v>0</v>
      </c>
      <c r="K106" s="68">
        <f>'36. Generic chemical products'!K20</f>
        <v>0</v>
      </c>
      <c r="L106" s="68"/>
      <c r="M106" s="68" t="str">
        <f>'36. Generic chemical products'!M20</f>
        <v>Octadecanoic acid</v>
      </c>
      <c r="N106" s="68" t="str">
        <f>'36. Generic chemical products'!N20</f>
        <v>river</v>
      </c>
      <c r="O106" s="68">
        <f>'36. Generic chemical products'!O20</f>
        <v>1.0000000000000002E-3</v>
      </c>
      <c r="P106" s="68" t="str">
        <f>'36. Generic chemical products'!P20</f>
        <v>kg</v>
      </c>
      <c r="Q106" s="68" t="str">
        <f>'36. Generic chemical products'!Q20</f>
        <v>95% on fabric</v>
      </c>
      <c r="R106" s="68">
        <f>'36. Generic chemical products'!R20</f>
        <v>0</v>
      </c>
      <c r="S106" s="68">
        <f>'36. Generic chemical products'!S20</f>
        <v>0</v>
      </c>
      <c r="T106" s="68" t="str">
        <f>'36. Generic chemical products'!T20</f>
        <v>57-11-4</v>
      </c>
      <c r="U106" s="68">
        <f>'36. Generic chemical products'!U20</f>
        <v>0</v>
      </c>
      <c r="V106" s="68">
        <f>'36. Generic chemical products'!V20</f>
        <v>0</v>
      </c>
      <c r="W106" s="68">
        <f>'36. Generic chemical products'!W20</f>
        <v>0</v>
      </c>
      <c r="X106" s="68">
        <f>'36. Generic chemical products'!X20</f>
        <v>0</v>
      </c>
      <c r="Y106" s="68">
        <f>'36. Generic chemical products'!Y20</f>
        <v>9.2999999999999999E-2</v>
      </c>
      <c r="Z106" s="68">
        <f>'36. Generic chemical products'!Z20</f>
        <v>33.799999999999997</v>
      </c>
      <c r="AA106" s="68" t="str">
        <f>'36. Generic chemical products'!AA20</f>
        <v>COSMEDE</v>
      </c>
      <c r="AB106" s="300">
        <f>$C$36*I106</f>
        <v>0</v>
      </c>
      <c r="AC106" s="301">
        <f>$C$51*O106</f>
        <v>2.0000000000000006E-4</v>
      </c>
      <c r="AD106" s="302">
        <f t="shared" si="11"/>
        <v>0</v>
      </c>
      <c r="AE106" s="302">
        <f t="shared" si="2"/>
        <v>0</v>
      </c>
      <c r="AF106" s="303">
        <f t="shared" si="3"/>
        <v>6.7600000000000013E-3</v>
      </c>
      <c r="AG106" s="303">
        <f t="shared" si="4"/>
        <v>0</v>
      </c>
      <c r="AH106" s="303">
        <f t="shared" si="5"/>
        <v>0</v>
      </c>
      <c r="AI106" s="303">
        <f t="shared" si="6"/>
        <v>0</v>
      </c>
      <c r="AJ106" s="303">
        <f t="shared" si="7"/>
        <v>0</v>
      </c>
      <c r="AK106" s="303">
        <f t="shared" si="8"/>
        <v>0</v>
      </c>
      <c r="AL106" s="303">
        <f t="shared" si="9"/>
        <v>6.7600000000000013E-3</v>
      </c>
      <c r="AM106" s="304">
        <f t="shared" si="12"/>
        <v>0</v>
      </c>
      <c r="AN106" s="305">
        <f t="shared" si="12"/>
        <v>0</v>
      </c>
      <c r="AO106" s="306">
        <f t="shared" si="12"/>
        <v>6.7600000000000013E-3</v>
      </c>
    </row>
    <row r="107" spans="1:41" s="139" customFormat="1" ht="15" customHeight="1" x14ac:dyDescent="0.2">
      <c r="A107" s="193" t="str">
        <f>'36. Generic chemical products'!A21</f>
        <v>Softener, average (Sapamine SFC)</v>
      </c>
      <c r="B107" s="193" t="str">
        <f>'36. Generic chemical products'!B21</f>
        <v>Diethanolamine</v>
      </c>
      <c r="C107" s="193">
        <f>'36. Generic chemical products'!C21</f>
        <v>0.03</v>
      </c>
      <c r="D107" s="193" t="str">
        <f>'36. Generic chemical products'!D21</f>
        <v>kg</v>
      </c>
      <c r="E107" s="193" t="str">
        <f>'36. Generic chemical products'!E21</f>
        <v>MSDS</v>
      </c>
      <c r="F107" s="193"/>
      <c r="G107" s="193" t="str">
        <f>'36. Generic chemical products'!G21</f>
        <v>-</v>
      </c>
      <c r="H107" s="193">
        <f>'36. Generic chemical products'!H21</f>
        <v>0</v>
      </c>
      <c r="I107" s="193">
        <f>'36. Generic chemical products'!I21</f>
        <v>0</v>
      </c>
      <c r="J107" s="193">
        <f>'36. Generic chemical products'!J21</f>
        <v>0</v>
      </c>
      <c r="K107" s="193">
        <f>'36. Generic chemical products'!K21</f>
        <v>0</v>
      </c>
      <c r="L107" s="193"/>
      <c r="M107" s="193" t="str">
        <f>'36. Generic chemical products'!M21</f>
        <v>Diethanolamine</v>
      </c>
      <c r="N107" s="193" t="str">
        <f>'36. Generic chemical products'!N21</f>
        <v>river</v>
      </c>
      <c r="O107" s="193">
        <f>'36. Generic chemical products'!O21</f>
        <v>1.5000000000000001E-4</v>
      </c>
      <c r="P107" s="193" t="str">
        <f>'36. Generic chemical products'!P21</f>
        <v>kg</v>
      </c>
      <c r="Q107" s="193" t="str">
        <f>'36. Generic chemical products'!Q21</f>
        <v>95% on fabric</v>
      </c>
      <c r="R107" s="193">
        <f>'36. Generic chemical products'!R21</f>
        <v>0</v>
      </c>
      <c r="S107" s="193">
        <f>'36. Generic chemical products'!S21</f>
        <v>0</v>
      </c>
      <c r="T107" s="193" t="str">
        <f>'36. Generic chemical products'!T21</f>
        <v>111-42-2</v>
      </c>
      <c r="U107" s="193">
        <f>'36. Generic chemical products'!U21</f>
        <v>0</v>
      </c>
      <c r="V107" s="193">
        <f>'36. Generic chemical products'!V21</f>
        <v>0</v>
      </c>
      <c r="W107" s="193">
        <f>'36. Generic chemical products'!W21</f>
        <v>0</v>
      </c>
      <c r="X107" s="193">
        <f>'36. Generic chemical products'!X21</f>
        <v>0</v>
      </c>
      <c r="Y107" s="193">
        <f>'36. Generic chemical products'!Y21</f>
        <v>0.92690099117499369</v>
      </c>
      <c r="Z107" s="193">
        <f>'36. Generic chemical products'!Z21</f>
        <v>47.139947928233759</v>
      </c>
      <c r="AA107" s="193" t="str">
        <f>'36. Generic chemical products'!AA21</f>
        <v>USEtox</v>
      </c>
      <c r="AB107" s="307">
        <f>$C$36*I107</f>
        <v>0</v>
      </c>
      <c r="AC107" s="308">
        <f>$C$51*O107</f>
        <v>3.0000000000000004E-5</v>
      </c>
      <c r="AD107" s="309">
        <f t="shared" si="11"/>
        <v>0</v>
      </c>
      <c r="AE107" s="309">
        <f t="shared" si="2"/>
        <v>0</v>
      </c>
      <c r="AF107" s="310">
        <f t="shared" si="3"/>
        <v>1.414198437847013E-3</v>
      </c>
      <c r="AG107" s="310">
        <f t="shared" si="4"/>
        <v>0</v>
      </c>
      <c r="AH107" s="310">
        <f t="shared" si="5"/>
        <v>0</v>
      </c>
      <c r="AI107" s="310">
        <f t="shared" si="6"/>
        <v>0</v>
      </c>
      <c r="AJ107" s="310">
        <f t="shared" si="7"/>
        <v>0</v>
      </c>
      <c r="AK107" s="310">
        <f t="shared" si="8"/>
        <v>0</v>
      </c>
      <c r="AL107" s="310">
        <f t="shared" si="9"/>
        <v>1.414198437847013E-3</v>
      </c>
      <c r="AM107" s="311">
        <f t="shared" si="12"/>
        <v>0</v>
      </c>
      <c r="AN107" s="312">
        <f t="shared" si="12"/>
        <v>0</v>
      </c>
      <c r="AO107" s="313">
        <f t="shared" si="12"/>
        <v>1.414198437847013E-3</v>
      </c>
    </row>
    <row r="108" spans="1:41" s="51" customFormat="1" ht="15" customHeight="1" x14ac:dyDescent="0.2">
      <c r="A108" s="244"/>
      <c r="B108" s="54"/>
      <c r="C108" s="74"/>
      <c r="E108" s="64"/>
      <c r="H108" s="69"/>
      <c r="M108" s="69"/>
      <c r="P108" s="54"/>
      <c r="Q108" s="115"/>
      <c r="R108" s="115"/>
      <c r="S108" s="115"/>
      <c r="T108" s="115"/>
      <c r="U108" s="115"/>
      <c r="V108" s="115"/>
      <c r="W108" s="115"/>
      <c r="X108" s="283"/>
      <c r="Y108" s="314"/>
      <c r="Z108" s="315"/>
      <c r="AA108" s="315"/>
      <c r="AB108" s="283"/>
      <c r="AC108" s="283"/>
      <c r="AD108" s="177">
        <f>SUM(AD68:AD107)</f>
        <v>2.902665309571184E-10</v>
      </c>
      <c r="AE108" s="177">
        <f>SUM(AE68:AE107)</f>
        <v>7.0691102403165116E-9</v>
      </c>
      <c r="AF108" s="177">
        <f>SUM(AF68:AF107)</f>
        <v>475.75455904442305</v>
      </c>
      <c r="AG108" s="177">
        <f t="shared" ref="AG108:AJ108" si="15">SUM(AG68:AG107)</f>
        <v>1.408703441737898E-11</v>
      </c>
      <c r="AH108" s="177">
        <f>SUM(AH68:AH107)</f>
        <v>2.407676200530829E-11</v>
      </c>
      <c r="AI108" s="177">
        <f>SUM(AI68:AI107)</f>
        <v>0.11932614303530173</v>
      </c>
      <c r="AJ108" s="177">
        <f t="shared" si="15"/>
        <v>2.7617949653973942E-10</v>
      </c>
      <c r="AK108" s="177">
        <f>SUM(AK68:AK107)</f>
        <v>7.0450334783112039E-9</v>
      </c>
      <c r="AL108" s="177">
        <f>SUM(AL68:AL107)</f>
        <v>475.63523290138778</v>
      </c>
      <c r="AO108" s="313">
        <f>AI108+AL108</f>
        <v>475.7545590444231</v>
      </c>
    </row>
    <row r="111" spans="1:41" s="293" customFormat="1" x14ac:dyDescent="0.2">
      <c r="A111" s="17" t="s">
        <v>1039</v>
      </c>
      <c r="U111" s="197" t="s">
        <v>550</v>
      </c>
      <c r="V111" s="198" t="s">
        <v>551</v>
      </c>
      <c r="W111" s="198" t="s">
        <v>550</v>
      </c>
      <c r="X111" s="198" t="s">
        <v>551</v>
      </c>
      <c r="Y111" s="199" t="s">
        <v>552</v>
      </c>
      <c r="Z111" s="294"/>
      <c r="AA111" s="295"/>
      <c r="AB111" s="17" t="s">
        <v>105</v>
      </c>
      <c r="AC111" s="17"/>
      <c r="AD111" s="148" t="s">
        <v>549</v>
      </c>
      <c r="AE111" s="149"/>
      <c r="AF111" s="149"/>
      <c r="AG111" s="149" t="s">
        <v>548</v>
      </c>
      <c r="AH111" s="149"/>
      <c r="AI111" s="149"/>
      <c r="AJ111" s="149" t="s">
        <v>547</v>
      </c>
      <c r="AK111" s="149"/>
      <c r="AL111" s="149"/>
      <c r="AM111" s="296" t="s">
        <v>553</v>
      </c>
      <c r="AN111" s="294"/>
      <c r="AO111" s="295"/>
    </row>
    <row r="112" spans="1:41" s="139" customFormat="1" ht="15" customHeight="1" x14ac:dyDescent="0.2">
      <c r="A112" s="57" t="s">
        <v>58</v>
      </c>
      <c r="B112" s="55" t="s">
        <v>289</v>
      </c>
      <c r="C112" s="56" t="s">
        <v>100</v>
      </c>
      <c r="D112" s="56" t="s">
        <v>11</v>
      </c>
      <c r="E112" s="63" t="s">
        <v>291</v>
      </c>
      <c r="F112" s="63"/>
      <c r="G112" s="66" t="s">
        <v>292</v>
      </c>
      <c r="H112" s="66" t="s">
        <v>8</v>
      </c>
      <c r="I112" s="66" t="s">
        <v>217</v>
      </c>
      <c r="J112" s="66" t="s">
        <v>11</v>
      </c>
      <c r="K112" s="66" t="s">
        <v>291</v>
      </c>
      <c r="L112" s="63"/>
      <c r="M112" s="67" t="s">
        <v>293</v>
      </c>
      <c r="N112" s="67" t="s">
        <v>8</v>
      </c>
      <c r="O112" s="67" t="s">
        <v>217</v>
      </c>
      <c r="P112" s="67" t="s">
        <v>11</v>
      </c>
      <c r="Q112" s="67" t="s">
        <v>291</v>
      </c>
      <c r="R112" s="67"/>
      <c r="S112" s="63"/>
      <c r="T112" s="297" t="s">
        <v>275</v>
      </c>
      <c r="U112" s="126" t="s">
        <v>530</v>
      </c>
      <c r="V112" s="114" t="s">
        <v>531</v>
      </c>
      <c r="W112" s="114" t="s">
        <v>532</v>
      </c>
      <c r="X112" s="114" t="s">
        <v>533</v>
      </c>
      <c r="Y112" s="114" t="s">
        <v>534</v>
      </c>
      <c r="Z112" s="114" t="s">
        <v>535</v>
      </c>
      <c r="AA112" s="131" t="s">
        <v>536</v>
      </c>
      <c r="AB112" s="22" t="s">
        <v>545</v>
      </c>
      <c r="AC112" s="23" t="s">
        <v>546</v>
      </c>
      <c r="AD112" s="148" t="s">
        <v>31</v>
      </c>
      <c r="AE112" s="149" t="s">
        <v>32</v>
      </c>
      <c r="AF112" s="150" t="s">
        <v>33</v>
      </c>
      <c r="AG112" s="148" t="s">
        <v>31</v>
      </c>
      <c r="AH112" s="149" t="s">
        <v>32</v>
      </c>
      <c r="AI112" s="150" t="s">
        <v>33</v>
      </c>
      <c r="AJ112" s="148" t="s">
        <v>31</v>
      </c>
      <c r="AK112" s="149" t="s">
        <v>32</v>
      </c>
      <c r="AL112" s="149" t="s">
        <v>33</v>
      </c>
      <c r="AM112" s="298"/>
      <c r="AN112" s="136"/>
      <c r="AO112" s="299"/>
    </row>
    <row r="113" spans="1:41" s="51" customFormat="1" ht="15" customHeight="1" x14ac:dyDescent="0.2">
      <c r="A113" s="68" t="str">
        <f>'36. Generic chemical products'!A5</f>
        <v>Detergent, average (Ultravon EL)</v>
      </c>
      <c r="B113" s="68" t="str">
        <f>'36. Generic chemical products'!B5</f>
        <v>Polyacrylic acid, sodium salt</v>
      </c>
      <c r="C113" s="68">
        <f>'36. Generic chemical products'!C5</f>
        <v>0.1</v>
      </c>
      <c r="D113" s="68" t="str">
        <f>'36. Generic chemical products'!D5</f>
        <v>kg</v>
      </c>
      <c r="E113" s="68" t="str">
        <f>'36. Generic chemical products'!E5</f>
        <v>MSDS</v>
      </c>
      <c r="F113" s="68">
        <f>'36. Generic chemical products'!F5</f>
        <v>0</v>
      </c>
      <c r="G113" s="68" t="str">
        <f>'36. Generic chemical products'!G5</f>
        <v>-</v>
      </c>
      <c r="H113" s="68">
        <f>'36. Generic chemical products'!H5</f>
        <v>0</v>
      </c>
      <c r="I113" s="68">
        <f>'36. Generic chemical products'!I5</f>
        <v>0</v>
      </c>
      <c r="J113" s="68">
        <f>'36. Generic chemical products'!J5</f>
        <v>0</v>
      </c>
      <c r="K113" s="68">
        <f>'36. Generic chemical products'!K5</f>
        <v>0</v>
      </c>
      <c r="L113" s="68">
        <f>'36. Generic chemical products'!L5</f>
        <v>0</v>
      </c>
      <c r="M113" s="68" t="str">
        <f>'36. Generic chemical products'!M5</f>
        <v>Polyacrylic acid, sodium salt</v>
      </c>
      <c r="N113" s="68" t="str">
        <f>'36. Generic chemical products'!N5</f>
        <v>river</v>
      </c>
      <c r="O113" s="68">
        <f>'36. Generic chemical products'!O5</f>
        <v>9.9000000000000008E-3</v>
      </c>
      <c r="P113" s="68" t="str">
        <f>'36. Generic chemical products'!P5</f>
        <v>kg</v>
      </c>
      <c r="Q113" s="68" t="str">
        <f>'36. Generic chemical products'!Q5</f>
        <v>1% of polymer content remains as monomers from the production process.</v>
      </c>
      <c r="R113" s="68">
        <f>'36. Generic chemical products'!R5</f>
        <v>0</v>
      </c>
      <c r="S113" s="68">
        <f>'36. Generic chemical products'!S5</f>
        <v>0</v>
      </c>
      <c r="T113" s="68" t="str">
        <f>'36. Generic chemical products'!T5</f>
        <v>9003-04-7</v>
      </c>
      <c r="U113" s="68">
        <f>'36. Generic chemical products'!U5</f>
        <v>0</v>
      </c>
      <c r="V113" s="68">
        <f>'36. Generic chemical products'!V5</f>
        <v>0</v>
      </c>
      <c r="W113" s="68">
        <f>'36. Generic chemical products'!W5</f>
        <v>0</v>
      </c>
      <c r="X113" s="68">
        <f>'36. Generic chemical products'!X5</f>
        <v>0</v>
      </c>
      <c r="Y113" s="68">
        <f>'36. Generic chemical products'!Y5</f>
        <v>7.06</v>
      </c>
      <c r="Z113" s="68">
        <f>'36. Generic chemical products'!Z5</f>
        <v>78.599999999999994</v>
      </c>
      <c r="AA113" s="68" t="str">
        <f>'36. Generic chemical products'!AA5</f>
        <v>COSMEDE</v>
      </c>
      <c r="AB113" s="300">
        <f>$C$22*I113</f>
        <v>0</v>
      </c>
      <c r="AC113" s="301">
        <f t="shared" ref="AC113:AC118" si="16">$C$37*O113</f>
        <v>7.4250000000000021E-4</v>
      </c>
      <c r="AD113" s="302">
        <f>AB113*U113+AC113*W113</f>
        <v>0</v>
      </c>
      <c r="AE113" s="302">
        <f t="shared" ref="AE113:AE150" si="17">AB113*V113+AC113*X113</f>
        <v>0</v>
      </c>
      <c r="AF113" s="303">
        <f t="shared" ref="AF113:AF150" si="18">AB113*Y113+AC113*Z113</f>
        <v>5.836050000000001E-2</v>
      </c>
      <c r="AG113" s="303">
        <f t="shared" ref="AG113:AG150" si="19">AB113*U113</f>
        <v>0</v>
      </c>
      <c r="AH113" s="303">
        <f t="shared" ref="AH113:AH150" si="20">AB113*V113</f>
        <v>0</v>
      </c>
      <c r="AI113" s="303">
        <f t="shared" ref="AI113:AI150" si="21">AB113*Y113</f>
        <v>0</v>
      </c>
      <c r="AJ113" s="303">
        <f t="shared" ref="AJ113:AJ150" si="22">AC113*W113</f>
        <v>0</v>
      </c>
      <c r="AK113" s="303">
        <f t="shared" ref="AK113:AK150" si="23">AC113*X113</f>
        <v>0</v>
      </c>
      <c r="AL113" s="303">
        <f t="shared" ref="AL113:AL150" si="24">AC113*Z113</f>
        <v>5.836050000000001E-2</v>
      </c>
      <c r="AM113" s="304">
        <f t="shared" ref="AM113:AM150" si="25">AG113+AJ113</f>
        <v>0</v>
      </c>
      <c r="AN113" s="305">
        <f t="shared" ref="AN113:AN150" si="26">AH113+AK113</f>
        <v>0</v>
      </c>
      <c r="AO113" s="306">
        <f t="shared" ref="AO113:AO150" si="27">AI113+AL113</f>
        <v>5.836050000000001E-2</v>
      </c>
    </row>
    <row r="114" spans="1:41" s="51" customFormat="1" ht="15" customHeight="1" x14ac:dyDescent="0.2">
      <c r="A114" s="68" t="str">
        <f>'36. Generic chemical products'!A6</f>
        <v>Detergent, average (Ultravon EL)</v>
      </c>
      <c r="B114" s="68" t="str">
        <f>'36. Generic chemical products'!B6</f>
        <v>Oxirane, methyl-, polymer with oxirane, decyl ether</v>
      </c>
      <c r="C114" s="68">
        <f>'36. Generic chemical products'!C6</f>
        <v>0.25</v>
      </c>
      <c r="D114" s="68" t="str">
        <f>'36. Generic chemical products'!D6</f>
        <v>kg</v>
      </c>
      <c r="E114" s="68" t="str">
        <f>'36. Generic chemical products'!E6</f>
        <v>MSDS</v>
      </c>
      <c r="F114" s="68">
        <f>'36. Generic chemical products'!F6</f>
        <v>0</v>
      </c>
      <c r="G114" s="68" t="str">
        <f>'36. Generic chemical products'!G6</f>
        <v>-</v>
      </c>
      <c r="H114" s="68">
        <f>'36. Generic chemical products'!H6</f>
        <v>0</v>
      </c>
      <c r="I114" s="68">
        <f>'36. Generic chemical products'!I6</f>
        <v>0</v>
      </c>
      <c r="J114" s="68">
        <f>'36. Generic chemical products'!J6</f>
        <v>0</v>
      </c>
      <c r="K114" s="68">
        <f>'36. Generic chemical products'!K6</f>
        <v>0</v>
      </c>
      <c r="L114" s="68">
        <f>'36. Generic chemical products'!L6</f>
        <v>0</v>
      </c>
      <c r="M114" s="68" t="str">
        <f>'36. Generic chemical products'!M6</f>
        <v>Oxirane, methyl-, polymer with oxirane, decyl ether</v>
      </c>
      <c r="N114" s="68" t="str">
        <f>'36. Generic chemical products'!N6</f>
        <v>river</v>
      </c>
      <c r="O114" s="68">
        <f>'36. Generic chemical products'!O6</f>
        <v>2.5000000000000001E-2</v>
      </c>
      <c r="P114" s="68" t="str">
        <f>'36. Generic chemical products'!P6</f>
        <v>kg</v>
      </c>
      <c r="Q114" s="68">
        <f>'36. Generic chemical products'!Q6</f>
        <v>0</v>
      </c>
      <c r="R114" s="68">
        <f>'36. Generic chemical products'!R6</f>
        <v>0</v>
      </c>
      <c r="S114" s="68">
        <f>'36. Generic chemical products'!S6</f>
        <v>0</v>
      </c>
      <c r="T114" s="68" t="str">
        <f>'36. Generic chemical products'!T6</f>
        <v>37251-67-5</v>
      </c>
      <c r="U114" s="68">
        <f>'36. Generic chemical products'!U6</f>
        <v>0</v>
      </c>
      <c r="V114" s="68">
        <f>'36. Generic chemical products'!V6</f>
        <v>1.2009414857886904E-7</v>
      </c>
      <c r="W114" s="68">
        <f>'36. Generic chemical products'!W6</f>
        <v>0</v>
      </c>
      <c r="X114" s="68">
        <f>'36. Generic chemical products'!X6</f>
        <v>3.2843909509658706E-7</v>
      </c>
      <c r="Y114" s="68">
        <f>'36. Generic chemical products'!Y6</f>
        <v>14.526941022240393</v>
      </c>
      <c r="Z114" s="68">
        <f>'36. Generic chemical products'!Z6</f>
        <v>111.251141519207</v>
      </c>
      <c r="AA114" s="68" t="str">
        <f>'36. Generic chemical products'!AA6</f>
        <v>Roos 2017</v>
      </c>
      <c r="AB114" s="300">
        <f t="shared" ref="AB114:AB118" si="28">$C$22*I114</f>
        <v>0</v>
      </c>
      <c r="AC114" s="301">
        <f t="shared" si="16"/>
        <v>1.8750000000000004E-3</v>
      </c>
      <c r="AD114" s="302">
        <f t="shared" ref="AD114:AD150" si="29">AB114*U114+AC114*W114</f>
        <v>0</v>
      </c>
      <c r="AE114" s="302">
        <f t="shared" si="17"/>
        <v>6.1582330330610087E-10</v>
      </c>
      <c r="AF114" s="303">
        <f t="shared" si="18"/>
        <v>0.20859589034851317</v>
      </c>
      <c r="AG114" s="303">
        <f t="shared" si="19"/>
        <v>0</v>
      </c>
      <c r="AH114" s="303">
        <f t="shared" si="20"/>
        <v>0</v>
      </c>
      <c r="AI114" s="303">
        <f t="shared" si="21"/>
        <v>0</v>
      </c>
      <c r="AJ114" s="303">
        <f t="shared" si="22"/>
        <v>0</v>
      </c>
      <c r="AK114" s="303">
        <f t="shared" si="23"/>
        <v>6.1582330330610087E-10</v>
      </c>
      <c r="AL114" s="303">
        <f t="shared" si="24"/>
        <v>0.20859589034851317</v>
      </c>
      <c r="AM114" s="304">
        <f t="shared" si="25"/>
        <v>0</v>
      </c>
      <c r="AN114" s="305">
        <f t="shared" si="26"/>
        <v>6.1582330330610087E-10</v>
      </c>
      <c r="AO114" s="306">
        <f t="shared" si="27"/>
        <v>0.20859589034851317</v>
      </c>
    </row>
    <row r="115" spans="1:41" s="51" customFormat="1" ht="15" customHeight="1" x14ac:dyDescent="0.2">
      <c r="A115" s="68" t="str">
        <f>'36. Generic chemical products'!A7</f>
        <v>Detergent, average (Ultravon EL)</v>
      </c>
      <c r="B115" s="68" t="str">
        <f>'36. Generic chemical products'!B7</f>
        <v>Ethoxylated fatty alcohol (&gt;6 EO)</v>
      </c>
      <c r="C115" s="68">
        <f>'36. Generic chemical products'!C7</f>
        <v>0.1</v>
      </c>
      <c r="D115" s="68" t="str">
        <f>'36. Generic chemical products'!D7</f>
        <v>kg</v>
      </c>
      <c r="E115" s="68" t="str">
        <f>'36. Generic chemical products'!E7</f>
        <v>MSDS</v>
      </c>
      <c r="F115" s="68">
        <f>'36. Generic chemical products'!F7</f>
        <v>0</v>
      </c>
      <c r="G115" s="68" t="str">
        <f>'36. Generic chemical products'!G7</f>
        <v>-</v>
      </c>
      <c r="H115" s="68">
        <f>'36. Generic chemical products'!H7</f>
        <v>0</v>
      </c>
      <c r="I115" s="68">
        <f>'36. Generic chemical products'!I7</f>
        <v>0</v>
      </c>
      <c r="J115" s="68">
        <f>'36. Generic chemical products'!J7</f>
        <v>0</v>
      </c>
      <c r="K115" s="68">
        <f>'36. Generic chemical products'!K7</f>
        <v>0</v>
      </c>
      <c r="L115" s="68">
        <f>'36. Generic chemical products'!L7</f>
        <v>0</v>
      </c>
      <c r="M115" s="68" t="str">
        <f>'36. Generic chemical products'!M7</f>
        <v>Alcohols, c12-14, ethoxylated</v>
      </c>
      <c r="N115" s="68" t="str">
        <f>'36. Generic chemical products'!N7</f>
        <v>river</v>
      </c>
      <c r="O115" s="68">
        <f>'36. Generic chemical products'!O7</f>
        <v>1.0000000000000002E-2</v>
      </c>
      <c r="P115" s="68" t="str">
        <f>'36. Generic chemical products'!P7</f>
        <v>kg</v>
      </c>
      <c r="Q115" s="68">
        <f>'36. Generic chemical products'!Q7</f>
        <v>0</v>
      </c>
      <c r="R115" s="68">
        <f>'36. Generic chemical products'!R7</f>
        <v>0</v>
      </c>
      <c r="S115" s="68">
        <f>'36. Generic chemical products'!S7</f>
        <v>0</v>
      </c>
      <c r="T115" s="68" t="str">
        <f>'36. Generic chemical products'!T7</f>
        <v>69011-36-5</v>
      </c>
      <c r="U115" s="68">
        <f>'36. Generic chemical products'!U7</f>
        <v>0</v>
      </c>
      <c r="V115" s="68">
        <f>'36. Generic chemical products'!V7</f>
        <v>0</v>
      </c>
      <c r="W115" s="68">
        <f>'36. Generic chemical products'!W7</f>
        <v>0</v>
      </c>
      <c r="X115" s="68">
        <f>'36. Generic chemical products'!X7</f>
        <v>0</v>
      </c>
      <c r="Y115" s="68">
        <f>'36. Generic chemical products'!Y7</f>
        <v>47</v>
      </c>
      <c r="Z115" s="68">
        <f>'36. Generic chemical products'!Z7</f>
        <v>913</v>
      </c>
      <c r="AA115" s="68" t="str">
        <f>'36. Generic chemical products'!AA7</f>
        <v>COSMEDE</v>
      </c>
      <c r="AB115" s="300">
        <f t="shared" si="28"/>
        <v>0</v>
      </c>
      <c r="AC115" s="301">
        <f t="shared" si="16"/>
        <v>7.5000000000000023E-4</v>
      </c>
      <c r="AD115" s="302">
        <f t="shared" si="29"/>
        <v>0</v>
      </c>
      <c r="AE115" s="302">
        <f t="shared" si="17"/>
        <v>0</v>
      </c>
      <c r="AF115" s="303">
        <f t="shared" si="18"/>
        <v>0.68475000000000019</v>
      </c>
      <c r="AG115" s="303">
        <f t="shared" si="19"/>
        <v>0</v>
      </c>
      <c r="AH115" s="303">
        <f t="shared" si="20"/>
        <v>0</v>
      </c>
      <c r="AI115" s="303">
        <f t="shared" si="21"/>
        <v>0</v>
      </c>
      <c r="AJ115" s="303">
        <f t="shared" si="22"/>
        <v>0</v>
      </c>
      <c r="AK115" s="303">
        <f t="shared" si="23"/>
        <v>0</v>
      </c>
      <c r="AL115" s="303">
        <f t="shared" si="24"/>
        <v>0.68475000000000019</v>
      </c>
      <c r="AM115" s="304">
        <f t="shared" si="25"/>
        <v>0</v>
      </c>
      <c r="AN115" s="305">
        <f t="shared" si="26"/>
        <v>0</v>
      </c>
      <c r="AO115" s="306">
        <f t="shared" si="27"/>
        <v>0.68475000000000019</v>
      </c>
    </row>
    <row r="116" spans="1:41" s="51" customFormat="1" ht="15" customHeight="1" x14ac:dyDescent="0.2">
      <c r="A116" s="68" t="str">
        <f>'36. Generic chemical products'!A8</f>
        <v>Detergent, average (Ultravon EL)</v>
      </c>
      <c r="B116" s="68" t="str">
        <f>'36. Generic chemical products'!B8</f>
        <v>Sodium mono(2-ethylhexyl)estersulfate</v>
      </c>
      <c r="C116" s="68">
        <f>'36. Generic chemical products'!C8</f>
        <v>0.05</v>
      </c>
      <c r="D116" s="68" t="str">
        <f>'36. Generic chemical products'!D8</f>
        <v>kg</v>
      </c>
      <c r="E116" s="68" t="str">
        <f>'36. Generic chemical products'!E8</f>
        <v>MSDS</v>
      </c>
      <c r="F116" s="68">
        <f>'36. Generic chemical products'!F8</f>
        <v>0</v>
      </c>
      <c r="G116" s="68" t="str">
        <f>'36. Generic chemical products'!G8</f>
        <v>-</v>
      </c>
      <c r="H116" s="68">
        <f>'36. Generic chemical products'!H8</f>
        <v>0</v>
      </c>
      <c r="I116" s="68">
        <f>'36. Generic chemical products'!I8</f>
        <v>0</v>
      </c>
      <c r="J116" s="68">
        <f>'36. Generic chemical products'!J8</f>
        <v>0</v>
      </c>
      <c r="K116" s="68">
        <f>'36. Generic chemical products'!K8</f>
        <v>0</v>
      </c>
      <c r="L116" s="68">
        <f>'36. Generic chemical products'!L8</f>
        <v>0</v>
      </c>
      <c r="M116" s="68" t="str">
        <f>'36. Generic chemical products'!M8</f>
        <v>Sodium mono(2-ethylhexyl)estersulfate</v>
      </c>
      <c r="N116" s="68" t="str">
        <f>'36. Generic chemical products'!N8</f>
        <v>river</v>
      </c>
      <c r="O116" s="68">
        <f>'36. Generic chemical products'!O8</f>
        <v>5.000000000000001E-3</v>
      </c>
      <c r="P116" s="68" t="str">
        <f>'36. Generic chemical products'!P8</f>
        <v>kg</v>
      </c>
      <c r="Q116" s="68">
        <f>'36. Generic chemical products'!Q8</f>
        <v>0</v>
      </c>
      <c r="R116" s="68">
        <f>'36. Generic chemical products'!R8</f>
        <v>0</v>
      </c>
      <c r="S116" s="68">
        <f>'36. Generic chemical products'!S8</f>
        <v>0</v>
      </c>
      <c r="T116" s="68" t="str">
        <f>'36. Generic chemical products'!T8</f>
        <v>126-92-1</v>
      </c>
      <c r="U116" s="68">
        <f>'36. Generic chemical products'!U8</f>
        <v>0</v>
      </c>
      <c r="V116" s="68">
        <f>'36. Generic chemical products'!V8</f>
        <v>0</v>
      </c>
      <c r="W116" s="68">
        <f>'36. Generic chemical products'!W8</f>
        <v>0</v>
      </c>
      <c r="X116" s="68">
        <f>'36. Generic chemical products'!X8</f>
        <v>0</v>
      </c>
      <c r="Y116" s="68">
        <f>'36. Generic chemical products'!Y8</f>
        <v>109.72</v>
      </c>
      <c r="Z116" s="68">
        <f>'36. Generic chemical products'!Z8</f>
        <v>110</v>
      </c>
      <c r="AA116" s="68" t="str">
        <f>'36. Generic chemical products'!AA8</f>
        <v>COSMEDE</v>
      </c>
      <c r="AB116" s="300">
        <f t="shared" si="28"/>
        <v>0</v>
      </c>
      <c r="AC116" s="301">
        <f t="shared" si="16"/>
        <v>3.7500000000000012E-4</v>
      </c>
      <c r="AD116" s="302">
        <f t="shared" si="29"/>
        <v>0</v>
      </c>
      <c r="AE116" s="302">
        <f t="shared" si="17"/>
        <v>0</v>
      </c>
      <c r="AF116" s="303">
        <f t="shared" si="18"/>
        <v>4.1250000000000016E-2</v>
      </c>
      <c r="AG116" s="303">
        <f t="shared" si="19"/>
        <v>0</v>
      </c>
      <c r="AH116" s="303">
        <f t="shared" si="20"/>
        <v>0</v>
      </c>
      <c r="AI116" s="303">
        <f t="shared" si="21"/>
        <v>0</v>
      </c>
      <c r="AJ116" s="303">
        <f t="shared" si="22"/>
        <v>0</v>
      </c>
      <c r="AK116" s="303">
        <f t="shared" si="23"/>
        <v>0</v>
      </c>
      <c r="AL116" s="303">
        <f t="shared" si="24"/>
        <v>4.1250000000000016E-2</v>
      </c>
      <c r="AM116" s="304">
        <f t="shared" si="25"/>
        <v>0</v>
      </c>
      <c r="AN116" s="305">
        <f t="shared" si="26"/>
        <v>0</v>
      </c>
      <c r="AO116" s="306">
        <f t="shared" si="27"/>
        <v>4.1250000000000016E-2</v>
      </c>
    </row>
    <row r="117" spans="1:41" s="51" customFormat="1" ht="15" customHeight="1" x14ac:dyDescent="0.2">
      <c r="A117" s="68" t="str">
        <f>'36. Generic chemical products'!A9</f>
        <v>Detergent, average (Ultravon EL)</v>
      </c>
      <c r="B117" s="68" t="str">
        <f>'36. Generic chemical products'!B9</f>
        <v>Ethylene oxide</v>
      </c>
      <c r="C117" s="68">
        <f>'36. Generic chemical products'!C9</f>
        <v>0</v>
      </c>
      <c r="D117" s="68">
        <f>'36. Generic chemical products'!D9</f>
        <v>0</v>
      </c>
      <c r="E117" s="68" t="str">
        <f>'36. Generic chemical products'!E9</f>
        <v>&lt;= 0.1% in alcohol ethoxylates</v>
      </c>
      <c r="F117" s="68">
        <f>'36. Generic chemical products'!F9</f>
        <v>0</v>
      </c>
      <c r="G117" s="68" t="str">
        <f>'36. Generic chemical products'!G9</f>
        <v>Ethylene oxide</v>
      </c>
      <c r="H117" s="68" t="str">
        <f>'36. Generic chemical products'!H9</f>
        <v>high. pop.</v>
      </c>
      <c r="I117" s="68">
        <f>'36. Generic chemical products'!I9</f>
        <v>1.0000000000000001E-7</v>
      </c>
      <c r="J117" s="68" t="str">
        <f>'36. Generic chemical products'!J9</f>
        <v>kg</v>
      </c>
      <c r="K117" s="68">
        <f>'36. Generic chemical products'!K9</f>
        <v>0</v>
      </c>
      <c r="L117" s="68">
        <f>'36. Generic chemical products'!L9</f>
        <v>0</v>
      </c>
      <c r="M117" s="68" t="str">
        <f>'36. Generic chemical products'!M9</f>
        <v>Ethylene oxide</v>
      </c>
      <c r="N117" s="68" t="str">
        <f>'36. Generic chemical products'!N9</f>
        <v>river</v>
      </c>
      <c r="O117" s="68">
        <f>'36. Generic chemical products'!O9</f>
        <v>1.0000000000000001E-5</v>
      </c>
      <c r="P117" s="68" t="str">
        <f>'36. Generic chemical products'!P9</f>
        <v>kg</v>
      </c>
      <c r="Q117" s="68" t="str">
        <f>'36. Generic chemical products'!Q9</f>
        <v>&lt;= 0.001 in alcohol ethoxylates</v>
      </c>
      <c r="R117" s="68">
        <f>'36. Generic chemical products'!R9</f>
        <v>0</v>
      </c>
      <c r="S117" s="68">
        <f>'36. Generic chemical products'!S9</f>
        <v>0</v>
      </c>
      <c r="T117" s="68" t="str">
        <f>'36. Generic chemical products'!T9</f>
        <v>75-21-8</v>
      </c>
      <c r="U117" s="68">
        <f>'36. Generic chemical products'!U9</f>
        <v>1.0252176328593382E-6</v>
      </c>
      <c r="V117" s="68">
        <f>'36. Generic chemical products'!V9</f>
        <v>0</v>
      </c>
      <c r="W117" s="68">
        <f>'36. Generic chemical products'!W9</f>
        <v>8.6533271568247147E-7</v>
      </c>
      <c r="X117" s="68">
        <f>'36. Generic chemical products'!X9</f>
        <v>0</v>
      </c>
      <c r="Y117" s="68">
        <f>'36. Generic chemical products'!Y9</f>
        <v>0.65406517859613422</v>
      </c>
      <c r="Z117" s="68">
        <f>'36. Generic chemical products'!Z9</f>
        <v>11.248588270889815</v>
      </c>
      <c r="AA117" s="68" t="str">
        <f>'36. Generic chemical products'!AA9</f>
        <v>USEtox</v>
      </c>
      <c r="AB117" s="300">
        <f t="shared" si="28"/>
        <v>7.500000000000001E-9</v>
      </c>
      <c r="AC117" s="301">
        <f t="shared" si="16"/>
        <v>7.5000000000000012E-7</v>
      </c>
      <c r="AD117" s="302">
        <f t="shared" si="29"/>
        <v>6.566886690082987E-13</v>
      </c>
      <c r="AE117" s="302">
        <f t="shared" si="17"/>
        <v>0</v>
      </c>
      <c r="AF117" s="303">
        <f t="shared" si="18"/>
        <v>8.4413466920068334E-6</v>
      </c>
      <c r="AG117" s="303">
        <f t="shared" si="19"/>
        <v>7.6891322464450377E-15</v>
      </c>
      <c r="AH117" s="303">
        <f t="shared" si="20"/>
        <v>0</v>
      </c>
      <c r="AI117" s="303">
        <f t="shared" si="21"/>
        <v>4.9054888394710076E-9</v>
      </c>
      <c r="AJ117" s="303">
        <f t="shared" si="22"/>
        <v>6.4899953676185368E-13</v>
      </c>
      <c r="AK117" s="303">
        <f t="shared" si="23"/>
        <v>0</v>
      </c>
      <c r="AL117" s="303">
        <f t="shared" si="24"/>
        <v>8.4364412031673626E-6</v>
      </c>
      <c r="AM117" s="304">
        <f t="shared" si="25"/>
        <v>6.566886690082987E-13</v>
      </c>
      <c r="AN117" s="305">
        <f t="shared" si="26"/>
        <v>0</v>
      </c>
      <c r="AO117" s="306">
        <f t="shared" si="27"/>
        <v>8.4413466920068334E-6</v>
      </c>
    </row>
    <row r="118" spans="1:41" s="139" customFormat="1" ht="15" customHeight="1" x14ac:dyDescent="0.2">
      <c r="A118" s="193" t="str">
        <f>'36. Generic chemical products'!A10</f>
        <v>Detergent, average (Ultravon EL)</v>
      </c>
      <c r="B118" s="193" t="str">
        <f>'36. Generic chemical products'!B10</f>
        <v xml:space="preserve"> </v>
      </c>
      <c r="C118" s="193">
        <f>'36. Generic chemical products'!C10</f>
        <v>0</v>
      </c>
      <c r="D118" s="193">
        <f>'36. Generic chemical products'!D10</f>
        <v>0</v>
      </c>
      <c r="E118" s="193" t="str">
        <f>'36. Generic chemical products'!E10</f>
        <v>Common breakdown product of of acrylics, 0.001 % assumed</v>
      </c>
      <c r="F118" s="193">
        <f>'36. Generic chemical products'!F10</f>
        <v>0</v>
      </c>
      <c r="G118" s="193" t="str">
        <f>'36. Generic chemical products'!G10</f>
        <v>Formaldehyde</v>
      </c>
      <c r="H118" s="193" t="str">
        <f>'36. Generic chemical products'!H10</f>
        <v>high. pop.</v>
      </c>
      <c r="I118" s="193">
        <f>'36. Generic chemical products'!I10</f>
        <v>1.0000000000000001E-7</v>
      </c>
      <c r="J118" s="193" t="str">
        <f>'36. Generic chemical products'!J10</f>
        <v>kg</v>
      </c>
      <c r="K118" s="193">
        <f>'36. Generic chemical products'!K10</f>
        <v>0</v>
      </c>
      <c r="L118" s="193">
        <f>'36. Generic chemical products'!L10</f>
        <v>0</v>
      </c>
      <c r="M118" s="193" t="str">
        <f>'36. Generic chemical products'!M10</f>
        <v>Formaldehyde</v>
      </c>
      <c r="N118" s="193" t="str">
        <f>'36. Generic chemical products'!N10</f>
        <v>river</v>
      </c>
      <c r="O118" s="193">
        <f>'36. Generic chemical products'!O10</f>
        <v>1.0000000000000002E-6</v>
      </c>
      <c r="P118" s="193" t="str">
        <f>'36. Generic chemical products'!P10</f>
        <v>kg</v>
      </c>
      <c r="Q118" s="193" t="str">
        <f>'36. Generic chemical products'!Q10</f>
        <v xml:space="preserve">0.1 % of the content is degraded to common breakdown products. 90% of reactive chemicals are degraded during operations. </v>
      </c>
      <c r="R118" s="193">
        <f>'36. Generic chemical products'!R10</f>
        <v>0</v>
      </c>
      <c r="S118" s="193">
        <f>'36. Generic chemical products'!S10</f>
        <v>0</v>
      </c>
      <c r="T118" s="193" t="str">
        <f>'36. Generic chemical products'!T10</f>
        <v>50-00-0</v>
      </c>
      <c r="U118" s="193">
        <f>'36. Generic chemical products'!U10</f>
        <v>2.5208446330720887E-5</v>
      </c>
      <c r="V118" s="193">
        <f>'36. Generic chemical products'!V10</f>
        <v>2.6504960021309262E-7</v>
      </c>
      <c r="W118" s="193">
        <f>'36. Generic chemical products'!W10</f>
        <v>1.4222228897488039E-7</v>
      </c>
      <c r="X118" s="193">
        <f>'36. Generic chemical products'!X10</f>
        <v>3.170874313501273E-7</v>
      </c>
      <c r="Y118" s="193">
        <f>'36. Generic chemical products'!Y10</f>
        <v>17.989178582912412</v>
      </c>
      <c r="Z118" s="193">
        <f>'36. Generic chemical products'!Z10</f>
        <v>290.05086067463066</v>
      </c>
      <c r="AA118" s="193" t="str">
        <f>'36. Generic chemical products'!AA10</f>
        <v>USEtox</v>
      </c>
      <c r="AB118" s="307">
        <f t="shared" si="28"/>
        <v>7.500000000000001E-9</v>
      </c>
      <c r="AC118" s="308">
        <f t="shared" si="16"/>
        <v>7.5000000000000023E-8</v>
      </c>
      <c r="AD118" s="309">
        <f t="shared" si="29"/>
        <v>1.9973001915352273E-13</v>
      </c>
      <c r="AE118" s="309">
        <f t="shared" si="17"/>
        <v>2.576942935285775E-14</v>
      </c>
      <c r="AF118" s="310">
        <f t="shared" si="18"/>
        <v>2.1888733389969147E-5</v>
      </c>
      <c r="AG118" s="310">
        <f t="shared" si="19"/>
        <v>1.8906334748040669E-13</v>
      </c>
      <c r="AH118" s="310">
        <f t="shared" si="20"/>
        <v>1.9878720015981949E-15</v>
      </c>
      <c r="AI118" s="310">
        <f t="shared" si="21"/>
        <v>1.3491883937184311E-7</v>
      </c>
      <c r="AJ118" s="310">
        <f t="shared" si="22"/>
        <v>1.0666671673116034E-14</v>
      </c>
      <c r="AK118" s="310">
        <f t="shared" si="23"/>
        <v>2.3781557351259555E-14</v>
      </c>
      <c r="AL118" s="310">
        <f t="shared" si="24"/>
        <v>2.1753814550597304E-5</v>
      </c>
      <c r="AM118" s="311">
        <f t="shared" si="25"/>
        <v>1.9973001915352273E-13</v>
      </c>
      <c r="AN118" s="312">
        <f t="shared" si="26"/>
        <v>2.576942935285775E-14</v>
      </c>
      <c r="AO118" s="313">
        <f t="shared" si="27"/>
        <v>2.1888733389969147E-5</v>
      </c>
    </row>
    <row r="119" spans="1:41" s="195" customFormat="1" ht="15" customHeight="1" x14ac:dyDescent="0.2">
      <c r="A119" s="400" t="str">
        <f>'36. Generic chemical products'!A22</f>
        <v>Sequestering agent/complex binder, average (Invatex)</v>
      </c>
      <c r="B119" s="400" t="str">
        <f>'36. Generic chemical products'!B22</f>
        <v>Phosphonic acid, disodium salt</v>
      </c>
      <c r="C119" s="400">
        <f>'36. Generic chemical products'!C22</f>
        <v>0.3</v>
      </c>
      <c r="D119" s="400" t="str">
        <f>'36. Generic chemical products'!D22</f>
        <v>kg</v>
      </c>
      <c r="E119" s="400" t="str">
        <f>'36. Generic chemical products'!E22</f>
        <v>MSDS</v>
      </c>
      <c r="F119" s="400">
        <f>'36. Generic chemical products'!F22</f>
        <v>0</v>
      </c>
      <c r="G119" s="400" t="str">
        <f>'36. Generic chemical products'!G22</f>
        <v>Phosphonic acid</v>
      </c>
      <c r="H119" s="400" t="str">
        <f>'36. Generic chemical products'!H22</f>
        <v>high. pop.</v>
      </c>
      <c r="I119" s="400">
        <f>'36. Generic chemical products'!I22</f>
        <v>2.9999999999999997E-4</v>
      </c>
      <c r="J119" s="400">
        <f>'36. Generic chemical products'!J22</f>
        <v>0</v>
      </c>
      <c r="K119" s="400">
        <f>'36. Generic chemical products'!K22</f>
        <v>0</v>
      </c>
      <c r="L119" s="400">
        <f>'36. Generic chemical products'!L22</f>
        <v>0</v>
      </c>
      <c r="M119" s="400" t="str">
        <f>'36. Generic chemical products'!M22</f>
        <v>Phosphonic acid</v>
      </c>
      <c r="N119" s="400" t="str">
        <f>'36. Generic chemical products'!N22</f>
        <v>river</v>
      </c>
      <c r="O119" s="400">
        <f>'36. Generic chemical products'!O22</f>
        <v>0.03</v>
      </c>
      <c r="P119" s="400" t="str">
        <f>'36. Generic chemical products'!P22</f>
        <v>kg</v>
      </c>
      <c r="Q119" s="400">
        <f>'36. Generic chemical products'!Q22</f>
        <v>0</v>
      </c>
      <c r="R119" s="400">
        <f>'36. Generic chemical products'!R22</f>
        <v>0</v>
      </c>
      <c r="S119" s="400">
        <f>'36. Generic chemical products'!S22</f>
        <v>0</v>
      </c>
      <c r="T119" s="400" t="str">
        <f>'36. Generic chemical products'!T22</f>
        <v>13708-85-5</v>
      </c>
      <c r="U119" s="400">
        <f>'36. Generic chemical products'!U22</f>
        <v>0</v>
      </c>
      <c r="V119" s="400">
        <f>'36. Generic chemical products'!V22</f>
        <v>2.5624272316803493E-8</v>
      </c>
      <c r="W119" s="400">
        <f>'36. Generic chemical products'!W22</f>
        <v>0</v>
      </c>
      <c r="X119" s="400">
        <f>'36. Generic chemical products'!X22</f>
        <v>6.1179997974786175E-9</v>
      </c>
      <c r="Y119" s="400">
        <f>'36. Generic chemical products'!Y22</f>
        <v>95.727827940780713</v>
      </c>
      <c r="Z119" s="400">
        <f>'36. Generic chemical products'!Z22</f>
        <v>451.93033608164546</v>
      </c>
      <c r="AA119" s="400" t="str">
        <f>'36. Generic chemical products'!AA22</f>
        <v>Roos 2017</v>
      </c>
      <c r="AB119" s="327">
        <f>$C$23*I119</f>
        <v>5.9999999999999993E-6</v>
      </c>
      <c r="AC119" s="328">
        <f>$C$38*O119</f>
        <v>5.9999999999999995E-4</v>
      </c>
      <c r="AD119" s="329">
        <f t="shared" si="29"/>
        <v>0</v>
      </c>
      <c r="AE119" s="329">
        <f t="shared" si="17"/>
        <v>3.8245455123879915E-12</v>
      </c>
      <c r="AF119" s="330">
        <f t="shared" si="18"/>
        <v>0.27173256861663192</v>
      </c>
      <c r="AG119" s="330">
        <f t="shared" si="19"/>
        <v>0</v>
      </c>
      <c r="AH119" s="330">
        <f t="shared" si="20"/>
        <v>1.5374563390082094E-13</v>
      </c>
      <c r="AI119" s="330">
        <f t="shared" si="21"/>
        <v>5.743669676446842E-4</v>
      </c>
      <c r="AJ119" s="330">
        <f t="shared" si="22"/>
        <v>0</v>
      </c>
      <c r="AK119" s="330">
        <f t="shared" si="23"/>
        <v>3.6707998784871705E-12</v>
      </c>
      <c r="AL119" s="330">
        <f t="shared" si="24"/>
        <v>0.27115820164898724</v>
      </c>
      <c r="AM119" s="331">
        <f t="shared" si="25"/>
        <v>0</v>
      </c>
      <c r="AN119" s="332">
        <f t="shared" si="26"/>
        <v>3.8245455123879915E-12</v>
      </c>
      <c r="AO119" s="333">
        <f t="shared" si="27"/>
        <v>0.27173256861663192</v>
      </c>
    </row>
    <row r="120" spans="1:41" s="51" customFormat="1" ht="15" customHeight="1" x14ac:dyDescent="0.2">
      <c r="A120" s="68" t="str">
        <f>'36. Generic chemical products'!A27</f>
        <v>Antifoaming agent, average (3M Defoamer)</v>
      </c>
      <c r="B120" s="68" t="str">
        <f>'36. Generic chemical products'!B27</f>
        <v>Dimethyl siloxane, reaction product with silica</v>
      </c>
      <c r="C120" s="68">
        <f>'36. Generic chemical products'!C27</f>
        <v>0.05</v>
      </c>
      <c r="D120" s="68" t="str">
        <f>'36. Generic chemical products'!D27</f>
        <v>kg</v>
      </c>
      <c r="E120" s="68" t="str">
        <f>'36. Generic chemical products'!E27</f>
        <v>MSDS</v>
      </c>
      <c r="F120" s="68">
        <f>'36. Generic chemical products'!F27</f>
        <v>0</v>
      </c>
      <c r="G120" s="68" t="str">
        <f>'36. Generic chemical products'!G27</f>
        <v>-</v>
      </c>
      <c r="H120" s="68">
        <f>'36. Generic chemical products'!H27</f>
        <v>0</v>
      </c>
      <c r="I120" s="68">
        <f>'36. Generic chemical products'!I27</f>
        <v>0</v>
      </c>
      <c r="J120" s="68">
        <f>'36. Generic chemical products'!J27</f>
        <v>0</v>
      </c>
      <c r="K120" s="68">
        <f>'36. Generic chemical products'!K27</f>
        <v>0</v>
      </c>
      <c r="L120" s="68">
        <f>'36. Generic chemical products'!L27</f>
        <v>0</v>
      </c>
      <c r="M120" s="68" t="str">
        <f>'36. Generic chemical products'!M27</f>
        <v>Dimethyl siloxane, reaction product with silica</v>
      </c>
      <c r="N120" s="68" t="str">
        <f>'36. Generic chemical products'!N27</f>
        <v>river</v>
      </c>
      <c r="O120" s="68">
        <f>'36. Generic chemical products'!O27</f>
        <v>5.000000000000001E-3</v>
      </c>
      <c r="P120" s="68" t="str">
        <f>'36. Generic chemical products'!P27</f>
        <v>kg</v>
      </c>
      <c r="Q120" s="68">
        <f>'36. Generic chemical products'!Q27</f>
        <v>0</v>
      </c>
      <c r="R120" s="68">
        <f>'36. Generic chemical products'!R27</f>
        <v>0</v>
      </c>
      <c r="S120" s="68">
        <f>'36. Generic chemical products'!S27</f>
        <v>0</v>
      </c>
      <c r="T120" s="68" t="str">
        <f>'36. Generic chemical products'!T27</f>
        <v>67762-90-7</v>
      </c>
      <c r="U120" s="68">
        <f>'36. Generic chemical products'!U27</f>
        <v>0</v>
      </c>
      <c r="V120" s="68">
        <f>'36. Generic chemical products'!V27</f>
        <v>3.4962401965755862E-5</v>
      </c>
      <c r="W120" s="68">
        <f>'36. Generic chemical products'!W27</f>
        <v>0</v>
      </c>
      <c r="X120" s="68">
        <f>'36. Generic chemical products'!X27</f>
        <v>1.4442852689626513E-7</v>
      </c>
      <c r="Y120" s="68">
        <f>'36. Generic chemical products'!Y27</f>
        <v>1.7253896630384493</v>
      </c>
      <c r="Z120" s="68">
        <f>'36. Generic chemical products'!Z27</f>
        <v>5.4794308572283885</v>
      </c>
      <c r="AA120" s="68" t="str">
        <f>'36. Generic chemical products'!AA27</f>
        <v>Roos 2017</v>
      </c>
      <c r="AB120" s="300">
        <f>$C$24*I120</f>
        <v>0</v>
      </c>
      <c r="AC120" s="301">
        <f>$C$39*O120</f>
        <v>7.5000000000000002E-6</v>
      </c>
      <c r="AD120" s="302">
        <f t="shared" si="29"/>
        <v>0</v>
      </c>
      <c r="AE120" s="302">
        <f t="shared" si="17"/>
        <v>1.0832139517219885E-12</v>
      </c>
      <c r="AF120" s="303">
        <f t="shared" si="18"/>
        <v>4.1095731429212918E-5</v>
      </c>
      <c r="AG120" s="303">
        <f t="shared" si="19"/>
        <v>0</v>
      </c>
      <c r="AH120" s="303">
        <f t="shared" si="20"/>
        <v>0</v>
      </c>
      <c r="AI120" s="303">
        <f t="shared" si="21"/>
        <v>0</v>
      </c>
      <c r="AJ120" s="303">
        <f t="shared" si="22"/>
        <v>0</v>
      </c>
      <c r="AK120" s="303">
        <f t="shared" si="23"/>
        <v>1.0832139517219885E-12</v>
      </c>
      <c r="AL120" s="303">
        <f t="shared" si="24"/>
        <v>4.1095731429212918E-5</v>
      </c>
      <c r="AM120" s="304">
        <f t="shared" si="25"/>
        <v>0</v>
      </c>
      <c r="AN120" s="305">
        <f t="shared" si="26"/>
        <v>1.0832139517219885E-12</v>
      </c>
      <c r="AO120" s="306">
        <f t="shared" si="27"/>
        <v>4.1095731429212918E-5</v>
      </c>
    </row>
    <row r="121" spans="1:41" s="51" customFormat="1" ht="15" customHeight="1" x14ac:dyDescent="0.2">
      <c r="A121" s="68" t="str">
        <f>'36. Generic chemical products'!A28</f>
        <v>Antifoaming agent, average (3M Defoamer)</v>
      </c>
      <c r="B121" s="68" t="str">
        <f>'36. Generic chemical products'!B28</f>
        <v>Sodium hydroxide</v>
      </c>
      <c r="C121" s="68">
        <f>'36. Generic chemical products'!C28</f>
        <v>0.02</v>
      </c>
      <c r="D121" s="68" t="str">
        <f>'36. Generic chemical products'!D28</f>
        <v>kg</v>
      </c>
      <c r="E121" s="68" t="str">
        <f>'36. Generic chemical products'!E28</f>
        <v>MSDS</v>
      </c>
      <c r="F121" s="68">
        <f>'36. Generic chemical products'!F28</f>
        <v>0</v>
      </c>
      <c r="G121" s="68" t="str">
        <f>'36. Generic chemical products'!G28</f>
        <v>-</v>
      </c>
      <c r="H121" s="68">
        <f>'36. Generic chemical products'!H28</f>
        <v>0</v>
      </c>
      <c r="I121" s="68">
        <f>'36. Generic chemical products'!I28</f>
        <v>0</v>
      </c>
      <c r="J121" s="68">
        <f>'36. Generic chemical products'!J28</f>
        <v>0</v>
      </c>
      <c r="K121" s="68">
        <f>'36. Generic chemical products'!K28</f>
        <v>0</v>
      </c>
      <c r="L121" s="68">
        <f>'36. Generic chemical products'!L28</f>
        <v>0</v>
      </c>
      <c r="M121" s="68" t="str">
        <f>'36. Generic chemical products'!M28</f>
        <v>Sodium hydroxide</v>
      </c>
      <c r="N121" s="68" t="str">
        <f>'36. Generic chemical products'!N28</f>
        <v>river</v>
      </c>
      <c r="O121" s="68">
        <f>'36. Generic chemical products'!O28</f>
        <v>2E-3</v>
      </c>
      <c r="P121" s="68" t="str">
        <f>'36. Generic chemical products'!P28</f>
        <v>kg</v>
      </c>
      <c r="Q121" s="68">
        <f>'36. Generic chemical products'!Q28</f>
        <v>0</v>
      </c>
      <c r="R121" s="68">
        <f>'36. Generic chemical products'!R28</f>
        <v>0</v>
      </c>
      <c r="S121" s="68">
        <f>'36. Generic chemical products'!S28</f>
        <v>0</v>
      </c>
      <c r="T121" s="68" t="str">
        <f>'36. Generic chemical products'!T28</f>
        <v>1310-73-2</v>
      </c>
      <c r="U121" s="68">
        <f>'36. Generic chemical products'!U28</f>
        <v>0</v>
      </c>
      <c r="V121" s="68">
        <f>'36. Generic chemical products'!V28</f>
        <v>0</v>
      </c>
      <c r="W121" s="68">
        <f>'36. Generic chemical products'!W28</f>
        <v>0</v>
      </c>
      <c r="X121" s="68">
        <f>'36. Generic chemical products'!X28</f>
        <v>0</v>
      </c>
      <c r="Y121" s="68">
        <f>'36. Generic chemical products'!Y28</f>
        <v>164.24</v>
      </c>
      <c r="Z121" s="68">
        <f>'36. Generic chemical products'!Z28</f>
        <v>400.09</v>
      </c>
      <c r="AA121" s="68" t="str">
        <f>'36. Generic chemical products'!AA28</f>
        <v>COSMEDE</v>
      </c>
      <c r="AB121" s="300">
        <f>$C$24*I121</f>
        <v>0</v>
      </c>
      <c r="AC121" s="301">
        <f>$C$39*O121</f>
        <v>2.9999999999999997E-6</v>
      </c>
      <c r="AD121" s="302">
        <f t="shared" si="29"/>
        <v>0</v>
      </c>
      <c r="AE121" s="302">
        <f t="shared" si="17"/>
        <v>0</v>
      </c>
      <c r="AF121" s="303">
        <f t="shared" si="18"/>
        <v>1.2002699999999998E-3</v>
      </c>
      <c r="AG121" s="303">
        <f t="shared" si="19"/>
        <v>0</v>
      </c>
      <c r="AH121" s="303">
        <f t="shared" si="20"/>
        <v>0</v>
      </c>
      <c r="AI121" s="303">
        <f t="shared" si="21"/>
        <v>0</v>
      </c>
      <c r="AJ121" s="303">
        <f t="shared" si="22"/>
        <v>0</v>
      </c>
      <c r="AK121" s="303">
        <f t="shared" si="23"/>
        <v>0</v>
      </c>
      <c r="AL121" s="303">
        <f t="shared" si="24"/>
        <v>1.2002699999999998E-3</v>
      </c>
      <c r="AM121" s="304">
        <f t="shared" si="25"/>
        <v>0</v>
      </c>
      <c r="AN121" s="305">
        <f t="shared" si="26"/>
        <v>0</v>
      </c>
      <c r="AO121" s="306">
        <f t="shared" si="27"/>
        <v>1.2002699999999998E-3</v>
      </c>
    </row>
    <row r="122" spans="1:41" s="51" customFormat="1" ht="15" customHeight="1" x14ac:dyDescent="0.2">
      <c r="A122" s="68" t="str">
        <f>'36. Generic chemical products'!A29</f>
        <v>Antifoaming agent, average (3M Defoamer)</v>
      </c>
      <c r="B122" s="68" t="str">
        <f>'36. Generic chemical products'!B29</f>
        <v>Sodium lauryl sulphate</v>
      </c>
      <c r="C122" s="68">
        <f>'36. Generic chemical products'!C29</f>
        <v>1E-3</v>
      </c>
      <c r="D122" s="68" t="str">
        <f>'36. Generic chemical products'!D29</f>
        <v>kg</v>
      </c>
      <c r="E122" s="68" t="str">
        <f>'36. Generic chemical products'!E29</f>
        <v>MSDS</v>
      </c>
      <c r="F122" s="68">
        <f>'36. Generic chemical products'!F29</f>
        <v>0</v>
      </c>
      <c r="G122" s="68" t="str">
        <f>'36. Generic chemical products'!G29</f>
        <v>-</v>
      </c>
      <c r="H122" s="68">
        <f>'36. Generic chemical products'!H29</f>
        <v>0</v>
      </c>
      <c r="I122" s="68">
        <f>'36. Generic chemical products'!I29</f>
        <v>0</v>
      </c>
      <c r="J122" s="68">
        <f>'36. Generic chemical products'!J29</f>
        <v>0</v>
      </c>
      <c r="K122" s="68">
        <f>'36. Generic chemical products'!K29</f>
        <v>0</v>
      </c>
      <c r="L122" s="68">
        <f>'36. Generic chemical products'!L29</f>
        <v>0</v>
      </c>
      <c r="M122" s="68" t="str">
        <f>'36. Generic chemical products'!M29</f>
        <v>Sodium lauryl sulfate</v>
      </c>
      <c r="N122" s="68" t="str">
        <f>'36. Generic chemical products'!N29</f>
        <v>river</v>
      </c>
      <c r="O122" s="68">
        <f>'36. Generic chemical products'!O29</f>
        <v>1E-4</v>
      </c>
      <c r="P122" s="68" t="str">
        <f>'36. Generic chemical products'!P29</f>
        <v>kg</v>
      </c>
      <c r="Q122" s="68">
        <f>'36. Generic chemical products'!Q29</f>
        <v>0</v>
      </c>
      <c r="R122" s="68">
        <f>'36. Generic chemical products'!R29</f>
        <v>0</v>
      </c>
      <c r="S122" s="68">
        <f>'36. Generic chemical products'!S29</f>
        <v>0</v>
      </c>
      <c r="T122" s="68" t="str">
        <f>'36. Generic chemical products'!T29</f>
        <v>151-21-3</v>
      </c>
      <c r="U122" s="68">
        <f>'36. Generic chemical products'!U29</f>
        <v>0</v>
      </c>
      <c r="V122" s="68">
        <f>'36. Generic chemical products'!V29</f>
        <v>0</v>
      </c>
      <c r="W122" s="68">
        <f>'36. Generic chemical products'!W29</f>
        <v>0</v>
      </c>
      <c r="X122" s="68">
        <f>'36. Generic chemical products'!X29</f>
        <v>0</v>
      </c>
      <c r="Y122" s="68">
        <f>'36. Generic chemical products'!Y29</f>
        <v>306.24811854656059</v>
      </c>
      <c r="Z122" s="68">
        <f>'36. Generic chemical products'!Z29</f>
        <v>2239.9292193792821</v>
      </c>
      <c r="AA122" s="68" t="str">
        <f>'36. Generic chemical products'!AA29</f>
        <v>USEtox</v>
      </c>
      <c r="AB122" s="300">
        <f>$C$24*I122</f>
        <v>0</v>
      </c>
      <c r="AC122" s="301">
        <f>$C$39*O122</f>
        <v>1.4999999999999999E-7</v>
      </c>
      <c r="AD122" s="302">
        <f t="shared" si="29"/>
        <v>0</v>
      </c>
      <c r="AE122" s="302">
        <f t="shared" si="17"/>
        <v>0</v>
      </c>
      <c r="AF122" s="303">
        <f t="shared" si="18"/>
        <v>3.3598938290689231E-4</v>
      </c>
      <c r="AG122" s="303">
        <f t="shared" si="19"/>
        <v>0</v>
      </c>
      <c r="AH122" s="303">
        <f t="shared" si="20"/>
        <v>0</v>
      </c>
      <c r="AI122" s="303">
        <f t="shared" si="21"/>
        <v>0</v>
      </c>
      <c r="AJ122" s="303">
        <f t="shared" si="22"/>
        <v>0</v>
      </c>
      <c r="AK122" s="303">
        <f t="shared" si="23"/>
        <v>0</v>
      </c>
      <c r="AL122" s="303">
        <f t="shared" si="24"/>
        <v>3.3598938290689231E-4</v>
      </c>
      <c r="AM122" s="304">
        <f t="shared" si="25"/>
        <v>0</v>
      </c>
      <c r="AN122" s="305">
        <f t="shared" si="26"/>
        <v>0</v>
      </c>
      <c r="AO122" s="306">
        <f t="shared" si="27"/>
        <v>3.3598938290689231E-4</v>
      </c>
    </row>
    <row r="123" spans="1:41" s="51" customFormat="1" ht="15" customHeight="1" x14ac:dyDescent="0.2">
      <c r="A123" s="68" t="str">
        <f>'36. Generic chemical products'!A30</f>
        <v>Antifoaming agent, average (3M Defoamer)</v>
      </c>
      <c r="B123" s="68" t="str">
        <f>'36. Generic chemical products'!B30</f>
        <v>5-chloro-2-methyl-4-isothiazoline-3-one</v>
      </c>
      <c r="C123" s="68">
        <f>'36. Generic chemical products'!C30</f>
        <v>1E-3</v>
      </c>
      <c r="D123" s="68" t="str">
        <f>'36. Generic chemical products'!D30</f>
        <v>kg</v>
      </c>
      <c r="E123" s="68" t="str">
        <f>'36. Generic chemical products'!E30</f>
        <v>MSDS</v>
      </c>
      <c r="F123" s="68">
        <f>'36. Generic chemical products'!F30</f>
        <v>0</v>
      </c>
      <c r="G123" s="68" t="str">
        <f>'36. Generic chemical products'!G30</f>
        <v>-</v>
      </c>
      <c r="H123" s="68">
        <f>'36. Generic chemical products'!H30</f>
        <v>0</v>
      </c>
      <c r="I123" s="68">
        <f>'36. Generic chemical products'!I30</f>
        <v>0</v>
      </c>
      <c r="J123" s="68">
        <f>'36. Generic chemical products'!J30</f>
        <v>0</v>
      </c>
      <c r="K123" s="68">
        <f>'36. Generic chemical products'!K30</f>
        <v>0</v>
      </c>
      <c r="L123" s="68">
        <f>'36. Generic chemical products'!L30</f>
        <v>0</v>
      </c>
      <c r="M123" s="68" t="str">
        <f>'36. Generic chemical products'!M30</f>
        <v>5-chloro-2-methyl-4-isothiazolin-3-one</v>
      </c>
      <c r="N123" s="68" t="str">
        <f>'36. Generic chemical products'!N30</f>
        <v>river</v>
      </c>
      <c r="O123" s="68">
        <f>'36. Generic chemical products'!O30</f>
        <v>1E-4</v>
      </c>
      <c r="P123" s="68" t="str">
        <f>'36. Generic chemical products'!P30</f>
        <v>kg</v>
      </c>
      <c r="Q123" s="68">
        <f>'36. Generic chemical products'!Q30</f>
        <v>0</v>
      </c>
      <c r="R123" s="68">
        <f>'36. Generic chemical products'!R30</f>
        <v>0</v>
      </c>
      <c r="S123" s="68">
        <f>'36. Generic chemical products'!S30</f>
        <v>0</v>
      </c>
      <c r="T123" s="68" t="str">
        <f>'36. Generic chemical products'!T30</f>
        <v>26172-55-4</v>
      </c>
      <c r="U123" s="68">
        <f>'36. Generic chemical products'!U30</f>
        <v>0</v>
      </c>
      <c r="V123" s="68">
        <f>'36. Generic chemical products'!V30</f>
        <v>0</v>
      </c>
      <c r="W123" s="68">
        <f>'36. Generic chemical products'!W30</f>
        <v>0</v>
      </c>
      <c r="X123" s="68">
        <f>'36. Generic chemical products'!X30</f>
        <v>0</v>
      </c>
      <c r="Y123" s="68">
        <f>'36. Generic chemical products'!Y30</f>
        <v>6089.5109426939807</v>
      </c>
      <c r="Z123" s="68">
        <f>'36. Generic chemical products'!Z30</f>
        <v>54476.932420915044</v>
      </c>
      <c r="AA123" s="68" t="str">
        <f>'36. Generic chemical products'!AA30</f>
        <v>USEtox</v>
      </c>
      <c r="AB123" s="300">
        <f>$C$24*I123</f>
        <v>0</v>
      </c>
      <c r="AC123" s="301">
        <f>$C$39*O123</f>
        <v>1.4999999999999999E-7</v>
      </c>
      <c r="AD123" s="302">
        <f t="shared" si="29"/>
        <v>0</v>
      </c>
      <c r="AE123" s="302">
        <f t="shared" si="17"/>
        <v>0</v>
      </c>
      <c r="AF123" s="303">
        <f t="shared" si="18"/>
        <v>8.1715398631372563E-3</v>
      </c>
      <c r="AG123" s="303">
        <f t="shared" si="19"/>
        <v>0</v>
      </c>
      <c r="AH123" s="303">
        <f t="shared" si="20"/>
        <v>0</v>
      </c>
      <c r="AI123" s="303">
        <f t="shared" si="21"/>
        <v>0</v>
      </c>
      <c r="AJ123" s="303">
        <f t="shared" si="22"/>
        <v>0</v>
      </c>
      <c r="AK123" s="303">
        <f t="shared" si="23"/>
        <v>0</v>
      </c>
      <c r="AL123" s="303">
        <f t="shared" si="24"/>
        <v>8.1715398631372563E-3</v>
      </c>
      <c r="AM123" s="304">
        <f t="shared" si="25"/>
        <v>0</v>
      </c>
      <c r="AN123" s="305">
        <f t="shared" si="26"/>
        <v>0</v>
      </c>
      <c r="AO123" s="306">
        <f t="shared" si="27"/>
        <v>8.1715398631372563E-3</v>
      </c>
    </row>
    <row r="124" spans="1:41" s="139" customFormat="1" ht="15" customHeight="1" x14ac:dyDescent="0.2">
      <c r="A124" s="193" t="str">
        <f>'36. Generic chemical products'!A31</f>
        <v>Antifoaming agent, average (3M Defoamer)</v>
      </c>
      <c r="B124" s="193" t="str">
        <f>'36. Generic chemical products'!B31</f>
        <v>2-methyl-4-isothiazolin-3-one</v>
      </c>
      <c r="C124" s="193">
        <f>'36. Generic chemical products'!C31</f>
        <v>1E-3</v>
      </c>
      <c r="D124" s="193" t="str">
        <f>'36. Generic chemical products'!D31</f>
        <v>kg</v>
      </c>
      <c r="E124" s="193" t="str">
        <f>'36. Generic chemical products'!E31</f>
        <v>MSDS</v>
      </c>
      <c r="F124" s="193">
        <f>'36. Generic chemical products'!F31</f>
        <v>0</v>
      </c>
      <c r="G124" s="193" t="str">
        <f>'36. Generic chemical products'!G31</f>
        <v>-</v>
      </c>
      <c r="H124" s="193">
        <f>'36. Generic chemical products'!H31</f>
        <v>0</v>
      </c>
      <c r="I124" s="193">
        <f>'36. Generic chemical products'!I31</f>
        <v>0</v>
      </c>
      <c r="J124" s="193">
        <f>'36. Generic chemical products'!J31</f>
        <v>0</v>
      </c>
      <c r="K124" s="193">
        <f>'36. Generic chemical products'!K31</f>
        <v>0</v>
      </c>
      <c r="L124" s="193">
        <f>'36. Generic chemical products'!L31</f>
        <v>0</v>
      </c>
      <c r="M124" s="193" t="str">
        <f>'36. Generic chemical products'!M31</f>
        <v>2-methyl-4-isothiazolin-3-one</v>
      </c>
      <c r="N124" s="193" t="str">
        <f>'36. Generic chemical products'!N31</f>
        <v>river</v>
      </c>
      <c r="O124" s="193">
        <f>'36. Generic chemical products'!O31</f>
        <v>1E-4</v>
      </c>
      <c r="P124" s="193" t="str">
        <f>'36. Generic chemical products'!P31</f>
        <v>kg</v>
      </c>
      <c r="Q124" s="193">
        <f>'36. Generic chemical products'!Q31</f>
        <v>0</v>
      </c>
      <c r="R124" s="193">
        <f>'36. Generic chemical products'!R31</f>
        <v>0</v>
      </c>
      <c r="S124" s="193">
        <f>'36. Generic chemical products'!S31</f>
        <v>0</v>
      </c>
      <c r="T124" s="193" t="str">
        <f>'36. Generic chemical products'!T31</f>
        <v>2682-20-4</v>
      </c>
      <c r="U124" s="193">
        <f>'36. Generic chemical products'!U31</f>
        <v>0</v>
      </c>
      <c r="V124" s="193">
        <f>'36. Generic chemical products'!V31</f>
        <v>0</v>
      </c>
      <c r="W124" s="193">
        <f>'36. Generic chemical products'!W31</f>
        <v>0</v>
      </c>
      <c r="X124" s="193">
        <f>'36. Generic chemical products'!X31</f>
        <v>0</v>
      </c>
      <c r="Y124" s="193">
        <f>'36. Generic chemical products'!Y31</f>
        <v>15653.997644153058</v>
      </c>
      <c r="Z124" s="193">
        <f>'36. Generic chemical products'!Z31</f>
        <v>184815.26625319294</v>
      </c>
      <c r="AA124" s="193" t="str">
        <f>'36. Generic chemical products'!AA31</f>
        <v>USEtox</v>
      </c>
      <c r="AB124" s="307">
        <f>$C$24*I124</f>
        <v>0</v>
      </c>
      <c r="AC124" s="308">
        <f>$C$39*O124</f>
        <v>1.4999999999999999E-7</v>
      </c>
      <c r="AD124" s="309">
        <f t="shared" si="29"/>
        <v>0</v>
      </c>
      <c r="AE124" s="309">
        <f t="shared" si="17"/>
        <v>0</v>
      </c>
      <c r="AF124" s="310">
        <f t="shared" si="18"/>
        <v>2.7722289937978938E-2</v>
      </c>
      <c r="AG124" s="310">
        <f t="shared" si="19"/>
        <v>0</v>
      </c>
      <c r="AH124" s="310">
        <f t="shared" si="20"/>
        <v>0</v>
      </c>
      <c r="AI124" s="310">
        <f t="shared" si="21"/>
        <v>0</v>
      </c>
      <c r="AJ124" s="310">
        <f t="shared" si="22"/>
        <v>0</v>
      </c>
      <c r="AK124" s="310">
        <f t="shared" si="23"/>
        <v>0</v>
      </c>
      <c r="AL124" s="310">
        <f t="shared" si="24"/>
        <v>2.7722289937978938E-2</v>
      </c>
      <c r="AM124" s="311">
        <f t="shared" si="25"/>
        <v>0</v>
      </c>
      <c r="AN124" s="312">
        <f t="shared" si="26"/>
        <v>0</v>
      </c>
      <c r="AO124" s="313">
        <f t="shared" si="27"/>
        <v>2.7722289937978938E-2</v>
      </c>
    </row>
    <row r="125" spans="1:41" s="195" customFormat="1" ht="15" customHeight="1" x14ac:dyDescent="0.2">
      <c r="A125" s="194" t="str">
        <f>'36. Generic chemical products'!A32</f>
        <v>Base/Soda ash (Na2CO3), average</v>
      </c>
      <c r="B125" s="194" t="str">
        <f>'36. Generic chemical products'!B32</f>
        <v>Sodium carbonate (Na2CO3)</v>
      </c>
      <c r="C125" s="194">
        <f>'36. Generic chemical products'!C32</f>
        <v>1</v>
      </c>
      <c r="D125" s="194" t="str">
        <f>'36. Generic chemical products'!D32</f>
        <v>kg</v>
      </c>
      <c r="E125" s="194">
        <f>'36. Generic chemical products'!E32</f>
        <v>1</v>
      </c>
      <c r="F125" s="194">
        <f>'36. Generic chemical products'!F32</f>
        <v>0</v>
      </c>
      <c r="G125" s="194" t="str">
        <f>'36. Generic chemical products'!G32</f>
        <v>-</v>
      </c>
      <c r="H125" s="194">
        <f>'36. Generic chemical products'!H32</f>
        <v>0</v>
      </c>
      <c r="I125" s="194">
        <f>'36. Generic chemical products'!I32</f>
        <v>0</v>
      </c>
      <c r="J125" s="194">
        <f>'36. Generic chemical products'!J32</f>
        <v>0</v>
      </c>
      <c r="K125" s="194" t="str">
        <f>'36. Generic chemical products'!K32</f>
        <v>Worst case - mist carries substance</v>
      </c>
      <c r="L125" s="194">
        <f>'36. Generic chemical products'!L32</f>
        <v>0</v>
      </c>
      <c r="M125" s="194" t="str">
        <f>'36. Generic chemical products'!M32</f>
        <v>Sodium carbonate (Na2CO3)</v>
      </c>
      <c r="N125" s="194" t="str">
        <f>'36. Generic chemical products'!N32</f>
        <v>river</v>
      </c>
      <c r="O125" s="194">
        <f>'36. Generic chemical products'!O32</f>
        <v>0.1</v>
      </c>
      <c r="P125" s="194" t="str">
        <f>'36. Generic chemical products'!P32</f>
        <v>kg</v>
      </c>
      <c r="Q125" s="194">
        <f>'36. Generic chemical products'!Q32</f>
        <v>0</v>
      </c>
      <c r="R125" s="194">
        <f>'36. Generic chemical products'!R32</f>
        <v>0</v>
      </c>
      <c r="S125" s="194">
        <f>'36. Generic chemical products'!S32</f>
        <v>0</v>
      </c>
      <c r="T125" s="194" t="str">
        <f>'36. Generic chemical products'!T32</f>
        <v>497-19-8</v>
      </c>
      <c r="U125" s="194">
        <f>'36. Generic chemical products'!U32</f>
        <v>0</v>
      </c>
      <c r="V125" s="194">
        <f>'36. Generic chemical products'!V32</f>
        <v>0</v>
      </c>
      <c r="W125" s="194">
        <f>'36. Generic chemical products'!W32</f>
        <v>0</v>
      </c>
      <c r="X125" s="194">
        <f>'36. Generic chemical products'!X32</f>
        <v>0</v>
      </c>
      <c r="Y125" s="194">
        <f>'36. Generic chemical products'!Y32</f>
        <v>31</v>
      </c>
      <c r="Z125" s="194">
        <f>'36. Generic chemical products'!Z32</f>
        <v>73.7</v>
      </c>
      <c r="AA125" s="194" t="str">
        <f>'36. Generic chemical products'!AA32</f>
        <v>COSMEDE</v>
      </c>
      <c r="AB125" s="327">
        <f>$C$25*I125</f>
        <v>0</v>
      </c>
      <c r="AC125" s="328">
        <f>$C$40*O125</f>
        <v>2.5000000000000001E-4</v>
      </c>
      <c r="AD125" s="329">
        <f t="shared" si="29"/>
        <v>0</v>
      </c>
      <c r="AE125" s="329">
        <f t="shared" si="17"/>
        <v>0</v>
      </c>
      <c r="AF125" s="330">
        <f t="shared" si="18"/>
        <v>1.8425E-2</v>
      </c>
      <c r="AG125" s="330">
        <f t="shared" si="19"/>
        <v>0</v>
      </c>
      <c r="AH125" s="330">
        <f t="shared" si="20"/>
        <v>0</v>
      </c>
      <c r="AI125" s="330">
        <f t="shared" si="21"/>
        <v>0</v>
      </c>
      <c r="AJ125" s="330">
        <f t="shared" si="22"/>
        <v>0</v>
      </c>
      <c r="AK125" s="330">
        <f t="shared" si="23"/>
        <v>0</v>
      </c>
      <c r="AL125" s="330">
        <f t="shared" si="24"/>
        <v>1.8425E-2</v>
      </c>
      <c r="AM125" s="331">
        <f t="shared" si="25"/>
        <v>0</v>
      </c>
      <c r="AN125" s="332">
        <f t="shared" si="26"/>
        <v>0</v>
      </c>
      <c r="AO125" s="333">
        <f t="shared" si="27"/>
        <v>1.8425E-2</v>
      </c>
    </row>
    <row r="126" spans="1:41" s="195" customFormat="1" ht="15" customHeight="1" x14ac:dyDescent="0.2">
      <c r="A126" s="196" t="str">
        <f>'36. Generic chemical products'!A11</f>
        <v>Acid, formic acid, average</v>
      </c>
      <c r="B126" s="196" t="str">
        <f>'36. Generic chemical products'!B11</f>
        <v>Formic acid</v>
      </c>
      <c r="C126" s="196">
        <f>'36. Generic chemical products'!C11</f>
        <v>1</v>
      </c>
      <c r="D126" s="196" t="str">
        <f>'36. Generic chemical products'!D11</f>
        <v>kg</v>
      </c>
      <c r="E126" s="196">
        <f>'36. Generic chemical products'!E11</f>
        <v>1</v>
      </c>
      <c r="F126" s="196">
        <f>'36. Generic chemical products'!F11</f>
        <v>0</v>
      </c>
      <c r="G126" s="196" t="str">
        <f>'36. Generic chemical products'!G11</f>
        <v>Formic acid</v>
      </c>
      <c r="H126" s="196" t="str">
        <f>'36. Generic chemical products'!H11</f>
        <v>high. pop.</v>
      </c>
      <c r="I126" s="196">
        <f>'36. Generic chemical products'!I11</f>
        <v>1E-3</v>
      </c>
      <c r="J126" s="196" t="str">
        <f>'36. Generic chemical products'!J11</f>
        <v>kg</v>
      </c>
      <c r="K126" s="196">
        <f>'36. Generic chemical products'!K11</f>
        <v>0</v>
      </c>
      <c r="L126" s="196">
        <f>'36. Generic chemical products'!L11</f>
        <v>0</v>
      </c>
      <c r="M126" s="196" t="str">
        <f>'36. Generic chemical products'!M11</f>
        <v>Formic acid</v>
      </c>
      <c r="N126" s="196" t="str">
        <f>'36. Generic chemical products'!N11</f>
        <v>river</v>
      </c>
      <c r="O126" s="196">
        <f>'36. Generic chemical products'!O11</f>
        <v>0.1</v>
      </c>
      <c r="P126" s="196" t="str">
        <f>'36. Generic chemical products'!P11</f>
        <v>kg</v>
      </c>
      <c r="Q126" s="196">
        <f>'36. Generic chemical products'!Q11</f>
        <v>0</v>
      </c>
      <c r="R126" s="196">
        <f>'36. Generic chemical products'!R11</f>
        <v>0</v>
      </c>
      <c r="S126" s="196">
        <f>'36. Generic chemical products'!S11</f>
        <v>0</v>
      </c>
      <c r="T126" s="196" t="str">
        <f>'36. Generic chemical products'!T11</f>
        <v>64-18-6</v>
      </c>
      <c r="U126" s="196">
        <f>'36. Generic chemical products'!U11</f>
        <v>0</v>
      </c>
      <c r="V126" s="196">
        <f>'36. Generic chemical products'!V11</f>
        <v>0</v>
      </c>
      <c r="W126" s="196">
        <f>'36. Generic chemical products'!W11</f>
        <v>0</v>
      </c>
      <c r="X126" s="196">
        <f>'36. Generic chemical products'!X11</f>
        <v>0</v>
      </c>
      <c r="Y126" s="196">
        <f>'36. Generic chemical products'!Y11</f>
        <v>2.8072892978694037</v>
      </c>
      <c r="Z126" s="196">
        <f>'36. Generic chemical products'!Z11</f>
        <v>44.680467206809801</v>
      </c>
      <c r="AA126" s="196" t="str">
        <f>'36. Generic chemical products'!AA11</f>
        <v>USEtox</v>
      </c>
      <c r="AB126" s="327">
        <f>$C$26*I126</f>
        <v>1.5E-5</v>
      </c>
      <c r="AC126" s="328">
        <f>$C$41*O126</f>
        <v>1.5E-3</v>
      </c>
      <c r="AD126" s="329">
        <f t="shared" si="29"/>
        <v>0</v>
      </c>
      <c r="AE126" s="329">
        <f t="shared" si="17"/>
        <v>0</v>
      </c>
      <c r="AF126" s="330">
        <f t="shared" si="18"/>
        <v>6.7062810149682739E-2</v>
      </c>
      <c r="AG126" s="330">
        <f t="shared" si="19"/>
        <v>0</v>
      </c>
      <c r="AH126" s="330">
        <f t="shared" si="20"/>
        <v>0</v>
      </c>
      <c r="AI126" s="330">
        <f t="shared" si="21"/>
        <v>4.2109339468041059E-5</v>
      </c>
      <c r="AJ126" s="330">
        <f t="shared" si="22"/>
        <v>0</v>
      </c>
      <c r="AK126" s="330">
        <f t="shared" si="23"/>
        <v>0</v>
      </c>
      <c r="AL126" s="330">
        <f t="shared" si="24"/>
        <v>6.7020700810214703E-2</v>
      </c>
      <c r="AM126" s="331">
        <f t="shared" si="25"/>
        <v>0</v>
      </c>
      <c r="AN126" s="332">
        <f t="shared" si="26"/>
        <v>0</v>
      </c>
      <c r="AO126" s="333">
        <f t="shared" si="27"/>
        <v>6.7062810149682739E-2</v>
      </c>
    </row>
    <row r="127" spans="1:41" s="51" customFormat="1" ht="15" customHeight="1" x14ac:dyDescent="0.2">
      <c r="A127" s="365" t="str">
        <f>'36. Generic chemical products'!A79</f>
        <v>Wetting agent/Penetration agent, BAT (Albaflow SF plus)</v>
      </c>
      <c r="B127" s="365" t="str">
        <f>'36. Generic chemical products'!B79</f>
        <v>Decane and other higher alkanes</v>
      </c>
      <c r="C127" s="365">
        <f>'36. Generic chemical products'!C79</f>
        <v>0.5</v>
      </c>
      <c r="D127" s="365" t="str">
        <f>'36. Generic chemical products'!D79</f>
        <v>kg</v>
      </c>
      <c r="E127" s="365" t="str">
        <f>'36. Generic chemical products'!E79</f>
        <v>assumption oil. Self-emulsifying preparation of organic oil, carboxylic acid esters and special additives.</v>
      </c>
      <c r="F127" s="365">
        <f>'36. Generic chemical products'!F79</f>
        <v>0</v>
      </c>
      <c r="G127" s="365" t="str">
        <f>'36. Generic chemical products'!G79</f>
        <v>Decane and other higher alkanes</v>
      </c>
      <c r="H127" s="365" t="str">
        <f>'36. Generic chemical products'!H79</f>
        <v>high. pop.</v>
      </c>
      <c r="I127" s="365">
        <f>'36. Generic chemical products'!I79</f>
        <v>5.0000000000000001E-4</v>
      </c>
      <c r="J127" s="365" t="str">
        <f>'36. Generic chemical products'!J79</f>
        <v>kg</v>
      </c>
      <c r="K127" s="365">
        <f>'36. Generic chemical products'!K79</f>
        <v>0</v>
      </c>
      <c r="L127" s="365">
        <f>'36. Generic chemical products'!L79</f>
        <v>0</v>
      </c>
      <c r="M127" s="365" t="str">
        <f>'36. Generic chemical products'!M79</f>
        <v>Decane and other higher alkanes</v>
      </c>
      <c r="N127" s="365" t="str">
        <f>'36. Generic chemical products'!N79</f>
        <v>river</v>
      </c>
      <c r="O127" s="365">
        <f>'36. Generic chemical products'!O79</f>
        <v>0.05</v>
      </c>
      <c r="P127" s="365" t="str">
        <f>'36. Generic chemical products'!P79</f>
        <v>kg</v>
      </c>
      <c r="Q127" s="365">
        <f>'36. Generic chemical products'!Q79</f>
        <v>0</v>
      </c>
      <c r="R127" s="365">
        <f>'36. Generic chemical products'!R79</f>
        <v>0</v>
      </c>
      <c r="S127" s="365">
        <f>'36. Generic chemical products'!S79</f>
        <v>0</v>
      </c>
      <c r="T127" s="365" t="str">
        <f>'36. Generic chemical products'!T79</f>
        <v>64742-47-8</v>
      </c>
      <c r="U127" s="365">
        <f>'36. Generic chemical products'!U79</f>
        <v>0</v>
      </c>
      <c r="V127" s="365">
        <f>'36. Generic chemical products'!V79</f>
        <v>0</v>
      </c>
      <c r="W127" s="365">
        <f>'36. Generic chemical products'!W79</f>
        <v>0</v>
      </c>
      <c r="X127" s="365">
        <f>'36. Generic chemical products'!X79</f>
        <v>0</v>
      </c>
      <c r="Y127" s="365">
        <f>'36. Generic chemical products'!Y79</f>
        <v>2.8999999999999998E-3</v>
      </c>
      <c r="Z127" s="365">
        <f>'36. Generic chemical products'!Z79</f>
        <v>194</v>
      </c>
      <c r="AA127" s="365" t="str">
        <f>'36. Generic chemical products'!AA79</f>
        <v>COSMEDE</v>
      </c>
      <c r="AB127" s="300">
        <f>$C$27*I127</f>
        <v>5.0000000000000004E-6</v>
      </c>
      <c r="AC127" s="301">
        <f>$C$42*O127</f>
        <v>5.0000000000000001E-4</v>
      </c>
      <c r="AD127" s="302">
        <f t="shared" si="29"/>
        <v>0</v>
      </c>
      <c r="AE127" s="302">
        <f t="shared" si="17"/>
        <v>0</v>
      </c>
      <c r="AF127" s="303">
        <f t="shared" si="18"/>
        <v>9.7000014500000009E-2</v>
      </c>
      <c r="AG127" s="303">
        <f t="shared" si="19"/>
        <v>0</v>
      </c>
      <c r="AH127" s="303">
        <f t="shared" si="20"/>
        <v>0</v>
      </c>
      <c r="AI127" s="303">
        <f t="shared" si="21"/>
        <v>1.4500000000000001E-8</v>
      </c>
      <c r="AJ127" s="303">
        <f t="shared" si="22"/>
        <v>0</v>
      </c>
      <c r="AK127" s="303">
        <f t="shared" si="23"/>
        <v>0</v>
      </c>
      <c r="AL127" s="303">
        <f t="shared" si="24"/>
        <v>9.7000000000000003E-2</v>
      </c>
      <c r="AM127" s="304">
        <f t="shared" si="25"/>
        <v>0</v>
      </c>
      <c r="AN127" s="305">
        <f t="shared" si="26"/>
        <v>0</v>
      </c>
      <c r="AO127" s="306">
        <f t="shared" si="27"/>
        <v>9.7000014500000009E-2</v>
      </c>
    </row>
    <row r="128" spans="1:41" s="139" customFormat="1" ht="15" customHeight="1" x14ac:dyDescent="0.2">
      <c r="A128" s="407" t="str">
        <f>'36. Generic chemical products'!A80</f>
        <v>Yellow disperse dyestuff PA, BAT (Eriofast Yellow 5G)</v>
      </c>
      <c r="B128" s="407" t="str">
        <f>'36. Generic chemical products'!B80</f>
        <v>Natrium av sulfosuccinsyradioktylester</v>
      </c>
      <c r="C128" s="407">
        <f>'36. Generic chemical products'!C80</f>
        <v>0.05</v>
      </c>
      <c r="D128" s="407" t="str">
        <f>'36. Generic chemical products'!D80</f>
        <v>kg</v>
      </c>
      <c r="E128" s="407" t="str">
        <f>'36. Generic chemical products'!E80</f>
        <v>MSDS</v>
      </c>
      <c r="F128" s="407">
        <f>'36. Generic chemical products'!F80</f>
        <v>0</v>
      </c>
      <c r="G128" s="407" t="str">
        <f>'36. Generic chemical products'!G80</f>
        <v>Natrium av sulfosuccinsyradioktylester</v>
      </c>
      <c r="H128" s="407" t="str">
        <f>'36. Generic chemical products'!H80</f>
        <v>high. pop.</v>
      </c>
      <c r="I128" s="407">
        <f>'36. Generic chemical products'!I80</f>
        <v>5.0000000000000002E-5</v>
      </c>
      <c r="J128" s="407" t="str">
        <f>'36. Generic chemical products'!J80</f>
        <v>kg</v>
      </c>
      <c r="K128" s="407">
        <f>'36. Generic chemical products'!K80</f>
        <v>0</v>
      </c>
      <c r="L128" s="407">
        <f>'36. Generic chemical products'!L80</f>
        <v>0</v>
      </c>
      <c r="M128" s="407" t="str">
        <f>'36. Generic chemical products'!M80</f>
        <v>Dioctyl sodium sulfosuccinate</v>
      </c>
      <c r="N128" s="407" t="str">
        <f>'36. Generic chemical products'!N80</f>
        <v>river</v>
      </c>
      <c r="O128" s="407">
        <f>'36. Generic chemical products'!O80</f>
        <v>2.5000000000000006E-4</v>
      </c>
      <c r="P128" s="407" t="str">
        <f>'36. Generic chemical products'!P80</f>
        <v>kg</v>
      </c>
      <c r="Q128" s="407" t="str">
        <f>'36. Generic chemical products'!Q80</f>
        <v>95% on fabric</v>
      </c>
      <c r="R128" s="407">
        <f>'36. Generic chemical products'!R80</f>
        <v>0</v>
      </c>
      <c r="S128" s="407">
        <f>'36. Generic chemical products'!S80</f>
        <v>0</v>
      </c>
      <c r="T128" s="407" t="str">
        <f>'36. Generic chemical products'!T80</f>
        <v>577-11-7</v>
      </c>
      <c r="U128" s="407">
        <f>'36. Generic chemical products'!U80</f>
        <v>0</v>
      </c>
      <c r="V128" s="407">
        <f>'36. Generic chemical products'!V80</f>
        <v>0</v>
      </c>
      <c r="W128" s="407">
        <f>'36. Generic chemical products'!W80</f>
        <v>0</v>
      </c>
      <c r="X128" s="407">
        <f>'36. Generic chemical products'!X80</f>
        <v>0</v>
      </c>
      <c r="Y128" s="407">
        <f>'36. Generic chemical products'!Y80</f>
        <v>13.802967816428488</v>
      </c>
      <c r="Z128" s="407">
        <f>'36. Generic chemical products'!Z80</f>
        <v>401.06412725859315</v>
      </c>
      <c r="AA128" s="407" t="str">
        <f>'36. Generic chemical products'!AA80</f>
        <v>USEtox</v>
      </c>
      <c r="AB128" s="307">
        <f>$C$27*I128</f>
        <v>5.0000000000000008E-7</v>
      </c>
      <c r="AC128" s="308">
        <f>$C$42*O128</f>
        <v>2.5000000000000006E-6</v>
      </c>
      <c r="AD128" s="309">
        <f t="shared" si="29"/>
        <v>0</v>
      </c>
      <c r="AE128" s="309">
        <f t="shared" si="17"/>
        <v>0</v>
      </c>
      <c r="AF128" s="310">
        <f t="shared" si="18"/>
        <v>1.0095618020546974E-3</v>
      </c>
      <c r="AG128" s="310">
        <f t="shared" si="19"/>
        <v>0</v>
      </c>
      <c r="AH128" s="310">
        <f t="shared" si="20"/>
        <v>0</v>
      </c>
      <c r="AI128" s="310">
        <f t="shared" si="21"/>
        <v>6.9014839082142455E-6</v>
      </c>
      <c r="AJ128" s="310">
        <f t="shared" si="22"/>
        <v>0</v>
      </c>
      <c r="AK128" s="310">
        <f t="shared" si="23"/>
        <v>0</v>
      </c>
      <c r="AL128" s="310">
        <f t="shared" si="24"/>
        <v>1.0026603181464832E-3</v>
      </c>
      <c r="AM128" s="311">
        <f t="shared" si="25"/>
        <v>0</v>
      </c>
      <c r="AN128" s="312">
        <f t="shared" si="26"/>
        <v>0</v>
      </c>
      <c r="AO128" s="313">
        <f t="shared" si="27"/>
        <v>1.0095618020546974E-3</v>
      </c>
    </row>
    <row r="129" spans="1:41" s="51" customFormat="1" ht="15" customHeight="1" x14ac:dyDescent="0.2">
      <c r="A129" s="70" t="str">
        <f>'36. Generic chemical products'!A33</f>
        <v>Dispergent, average (ALBAFLOW UNI-01)</v>
      </c>
      <c r="B129" s="70" t="str">
        <f>'36. Generic chemical products'!B33</f>
        <v>Isotridecanol ethoxylated</v>
      </c>
      <c r="C129" s="70">
        <f>'36. Generic chemical products'!C33</f>
        <v>0.1</v>
      </c>
      <c r="D129" s="70" t="str">
        <f>'36. Generic chemical products'!D33</f>
        <v>kg</v>
      </c>
      <c r="E129" s="70" t="str">
        <f>'36. Generic chemical products'!E33</f>
        <v>MSDS</v>
      </c>
      <c r="F129" s="70">
        <f>'36. Generic chemical products'!F33</f>
        <v>0</v>
      </c>
      <c r="G129" s="70" t="str">
        <f>'36. Generic chemical products'!G33</f>
        <v>Isotridecanol ethoxylated</v>
      </c>
      <c r="H129" s="70" t="str">
        <f>'36. Generic chemical products'!H33</f>
        <v>high. pop.</v>
      </c>
      <c r="I129" s="70">
        <f>'36. Generic chemical products'!I33</f>
        <v>1E-4</v>
      </c>
      <c r="J129" s="70" t="str">
        <f>'36. Generic chemical products'!J33</f>
        <v>kg</v>
      </c>
      <c r="K129" s="70">
        <f>'36. Generic chemical products'!K33</f>
        <v>0</v>
      </c>
      <c r="L129" s="70">
        <f>'36. Generic chemical products'!L33</f>
        <v>0</v>
      </c>
      <c r="M129" s="70" t="str">
        <f>'36. Generic chemical products'!M33</f>
        <v>Isotridecanol ethoxylated</v>
      </c>
      <c r="N129" s="70" t="str">
        <f>'36. Generic chemical products'!N33</f>
        <v>river</v>
      </c>
      <c r="O129" s="70">
        <f>'36. Generic chemical products'!O33</f>
        <v>1.0000000000000002E-2</v>
      </c>
      <c r="P129" s="70" t="str">
        <f>'36. Generic chemical products'!P33</f>
        <v>kg</v>
      </c>
      <c r="Q129" s="70">
        <f>'36. Generic chemical products'!Q33</f>
        <v>0</v>
      </c>
      <c r="R129" s="70">
        <f>'36. Generic chemical products'!R33</f>
        <v>0</v>
      </c>
      <c r="S129" s="70">
        <f>'36. Generic chemical products'!S33</f>
        <v>0</v>
      </c>
      <c r="T129" s="70" t="str">
        <f>'36. Generic chemical products'!T33</f>
        <v>69011-36-5</v>
      </c>
      <c r="U129" s="70">
        <f>'36. Generic chemical products'!U33</f>
        <v>0</v>
      </c>
      <c r="V129" s="70">
        <f>'36. Generic chemical products'!V33</f>
        <v>0</v>
      </c>
      <c r="W129" s="70">
        <f>'36. Generic chemical products'!W33</f>
        <v>0</v>
      </c>
      <c r="X129" s="70">
        <f>'36. Generic chemical products'!X33</f>
        <v>0</v>
      </c>
      <c r="Y129" s="70">
        <f>'36. Generic chemical products'!Y33</f>
        <v>47</v>
      </c>
      <c r="Z129" s="70">
        <f>'36. Generic chemical products'!Z33</f>
        <v>913</v>
      </c>
      <c r="AA129" s="70" t="str">
        <f>'36. Generic chemical products'!AA33</f>
        <v>COSMEDE</v>
      </c>
      <c r="AB129" s="300">
        <f>$C$28*I129</f>
        <v>1.5E-6</v>
      </c>
      <c r="AC129" s="301">
        <f>$C$43*O129</f>
        <v>1.5000000000000001E-4</v>
      </c>
      <c r="AD129" s="302">
        <f t="shared" si="29"/>
        <v>0</v>
      </c>
      <c r="AE129" s="302">
        <f t="shared" si="17"/>
        <v>0</v>
      </c>
      <c r="AF129" s="303">
        <f t="shared" si="18"/>
        <v>0.13702050000000002</v>
      </c>
      <c r="AG129" s="303">
        <f t="shared" si="19"/>
        <v>0</v>
      </c>
      <c r="AH129" s="303">
        <f t="shared" si="20"/>
        <v>0</v>
      </c>
      <c r="AI129" s="303">
        <f t="shared" si="21"/>
        <v>7.0500000000000006E-5</v>
      </c>
      <c r="AJ129" s="303">
        <f t="shared" si="22"/>
        <v>0</v>
      </c>
      <c r="AK129" s="303">
        <f t="shared" si="23"/>
        <v>0</v>
      </c>
      <c r="AL129" s="303">
        <f t="shared" si="24"/>
        <v>0.13695000000000002</v>
      </c>
      <c r="AM129" s="304">
        <f t="shared" si="25"/>
        <v>0</v>
      </c>
      <c r="AN129" s="305">
        <f t="shared" si="26"/>
        <v>0</v>
      </c>
      <c r="AO129" s="306">
        <f t="shared" si="27"/>
        <v>0.13702050000000002</v>
      </c>
    </row>
    <row r="130" spans="1:41" s="139" customFormat="1" ht="15" customHeight="1" x14ac:dyDescent="0.2">
      <c r="A130" s="136" t="str">
        <f>'36. Generic chemical products'!A34</f>
        <v>Dispergent, average (ALBAFLOW UNI-01)</v>
      </c>
      <c r="B130" s="136" t="str">
        <f>'36. Generic chemical products'!B34</f>
        <v>C9-11 Alkohol ethoxylate</v>
      </c>
      <c r="C130" s="136">
        <f>'36. Generic chemical products'!C34</f>
        <v>0.2</v>
      </c>
      <c r="D130" s="136" t="str">
        <f>'36. Generic chemical products'!D34</f>
        <v>kg</v>
      </c>
      <c r="E130" s="136" t="str">
        <f>'36. Generic chemical products'!E34</f>
        <v>MSDS</v>
      </c>
      <c r="F130" s="136">
        <f>'36. Generic chemical products'!F34</f>
        <v>0</v>
      </c>
      <c r="G130" s="136" t="str">
        <f>'36. Generic chemical products'!G34</f>
        <v>C9-11 Alkohol ethoxylate</v>
      </c>
      <c r="H130" s="136" t="str">
        <f>'36. Generic chemical products'!H34</f>
        <v>high. pop.</v>
      </c>
      <c r="I130" s="136">
        <f>'36. Generic chemical products'!I34</f>
        <v>2.0000000000000001E-4</v>
      </c>
      <c r="J130" s="136" t="str">
        <f>'36. Generic chemical products'!J34</f>
        <v>kg</v>
      </c>
      <c r="K130" s="136">
        <f>'36. Generic chemical products'!K34</f>
        <v>0</v>
      </c>
      <c r="L130" s="136">
        <f>'36. Generic chemical products'!L34</f>
        <v>0</v>
      </c>
      <c r="M130" s="136" t="str">
        <f>'36. Generic chemical products'!M34</f>
        <v>C9-11 Alkohol ethoxylate</v>
      </c>
      <c r="N130" s="136" t="str">
        <f>'36. Generic chemical products'!N34</f>
        <v>river</v>
      </c>
      <c r="O130" s="136">
        <f>'36. Generic chemical products'!O34</f>
        <v>2.0000000000000004E-2</v>
      </c>
      <c r="P130" s="136" t="str">
        <f>'36. Generic chemical products'!P34</f>
        <v>kg</v>
      </c>
      <c r="Q130" s="136">
        <f>'36. Generic chemical products'!Q34</f>
        <v>0</v>
      </c>
      <c r="R130" s="136">
        <f>'36. Generic chemical products'!R34</f>
        <v>0</v>
      </c>
      <c r="S130" s="136">
        <f>'36. Generic chemical products'!S34</f>
        <v>0</v>
      </c>
      <c r="T130" s="136" t="str">
        <f>'36. Generic chemical products'!T34</f>
        <v>68439-46-3</v>
      </c>
      <c r="U130" s="136">
        <f>'36. Generic chemical products'!U34</f>
        <v>0</v>
      </c>
      <c r="V130" s="136">
        <f>'36. Generic chemical products'!V34</f>
        <v>0</v>
      </c>
      <c r="W130" s="136">
        <f>'36. Generic chemical products'!W34</f>
        <v>0</v>
      </c>
      <c r="X130" s="136">
        <f>'36. Generic chemical products'!X34</f>
        <v>0</v>
      </c>
      <c r="Y130" s="136">
        <f>'36. Generic chemical products'!Y34</f>
        <v>53</v>
      </c>
      <c r="Z130" s="136">
        <f>'36. Generic chemical products'!Z34</f>
        <v>687</v>
      </c>
      <c r="AA130" s="136" t="str">
        <f>'36. Generic chemical products'!AA34</f>
        <v>COSMEDE</v>
      </c>
      <c r="AB130" s="307">
        <f>$C$28*I130</f>
        <v>3.0000000000000001E-6</v>
      </c>
      <c r="AC130" s="308">
        <f>$C$43*O130</f>
        <v>3.0000000000000003E-4</v>
      </c>
      <c r="AD130" s="309">
        <f t="shared" si="29"/>
        <v>0</v>
      </c>
      <c r="AE130" s="309">
        <f t="shared" si="17"/>
        <v>0</v>
      </c>
      <c r="AF130" s="310">
        <f t="shared" si="18"/>
        <v>0.206259</v>
      </c>
      <c r="AG130" s="310">
        <f t="shared" si="19"/>
        <v>0</v>
      </c>
      <c r="AH130" s="310">
        <f t="shared" si="20"/>
        <v>0</v>
      </c>
      <c r="AI130" s="310">
        <f t="shared" si="21"/>
        <v>1.5900000000000002E-4</v>
      </c>
      <c r="AJ130" s="310">
        <f t="shared" si="22"/>
        <v>0</v>
      </c>
      <c r="AK130" s="310">
        <f t="shared" si="23"/>
        <v>0</v>
      </c>
      <c r="AL130" s="310">
        <f t="shared" si="24"/>
        <v>0.20610000000000001</v>
      </c>
      <c r="AM130" s="311">
        <f t="shared" si="25"/>
        <v>0</v>
      </c>
      <c r="AN130" s="312">
        <f t="shared" si="26"/>
        <v>0</v>
      </c>
      <c r="AO130" s="313">
        <f t="shared" si="27"/>
        <v>0.206259</v>
      </c>
    </row>
    <row r="131" spans="1:41" s="195" customFormat="1" ht="15" customHeight="1" x14ac:dyDescent="0.2">
      <c r="A131" s="196" t="str">
        <f>'36. Generic chemical products'!A35</f>
        <v>Decalcifier ((NH4)2SO4), average</v>
      </c>
      <c r="B131" s="196" t="str">
        <f>'36. Generic chemical products'!B35</f>
        <v>Ammonium sulphate</v>
      </c>
      <c r="C131" s="196">
        <f>'36. Generic chemical products'!C35</f>
        <v>1</v>
      </c>
      <c r="D131" s="196" t="str">
        <f>'36. Generic chemical products'!D35</f>
        <v>kg</v>
      </c>
      <c r="E131" s="196">
        <f>'36. Generic chemical products'!E35</f>
        <v>1</v>
      </c>
      <c r="F131" s="196">
        <f>'36. Generic chemical products'!F35</f>
        <v>0</v>
      </c>
      <c r="G131" s="196" t="str">
        <f>'36. Generic chemical products'!G35</f>
        <v>-</v>
      </c>
      <c r="H131" s="196">
        <f>'36. Generic chemical products'!H35</f>
        <v>0</v>
      </c>
      <c r="I131" s="196">
        <f>'36. Generic chemical products'!I35</f>
        <v>0</v>
      </c>
      <c r="J131" s="196">
        <f>'36. Generic chemical products'!J35</f>
        <v>0</v>
      </c>
      <c r="K131" s="196">
        <f>'36. Generic chemical products'!K35</f>
        <v>0</v>
      </c>
      <c r="L131" s="196">
        <f>'36. Generic chemical products'!L35</f>
        <v>0</v>
      </c>
      <c r="M131" s="196" t="str">
        <f>'36. Generic chemical products'!M35</f>
        <v>Ammonium sulphate</v>
      </c>
      <c r="N131" s="196" t="str">
        <f>'36. Generic chemical products'!N35</f>
        <v>river</v>
      </c>
      <c r="O131" s="196">
        <f>'36. Generic chemical products'!O35</f>
        <v>0.1</v>
      </c>
      <c r="P131" s="196" t="str">
        <f>'36. Generic chemical products'!P35</f>
        <v>kg</v>
      </c>
      <c r="Q131" s="196">
        <f>'36. Generic chemical products'!Q35</f>
        <v>0</v>
      </c>
      <c r="R131" s="196">
        <f>'36. Generic chemical products'!R35</f>
        <v>0</v>
      </c>
      <c r="S131" s="196">
        <f>'36. Generic chemical products'!S35</f>
        <v>0</v>
      </c>
      <c r="T131" s="196" t="str">
        <f>'36. Generic chemical products'!T35</f>
        <v>7783-20-2</v>
      </c>
      <c r="U131" s="196">
        <f>'36. Generic chemical products'!U35</f>
        <v>0</v>
      </c>
      <c r="V131" s="196">
        <f>'36. Generic chemical products'!V35</f>
        <v>0</v>
      </c>
      <c r="W131" s="196">
        <f>'36. Generic chemical products'!W35</f>
        <v>0</v>
      </c>
      <c r="X131" s="196">
        <f>'36. Generic chemical products'!X35</f>
        <v>0</v>
      </c>
      <c r="Y131" s="196">
        <f>'36. Generic chemical products'!Y35</f>
        <v>4.9000000000000004</v>
      </c>
      <c r="Z131" s="196">
        <f>'36. Generic chemical products'!Z35</f>
        <v>100</v>
      </c>
      <c r="AA131" s="196" t="str">
        <f>'36. Generic chemical products'!AA35</f>
        <v>COSMEDE</v>
      </c>
      <c r="AB131" s="327">
        <f>$C$29*I131</f>
        <v>0</v>
      </c>
      <c r="AC131" s="328">
        <f>$C$44*O131</f>
        <v>1E-3</v>
      </c>
      <c r="AD131" s="329">
        <f t="shared" si="29"/>
        <v>0</v>
      </c>
      <c r="AE131" s="329">
        <f t="shared" si="17"/>
        <v>0</v>
      </c>
      <c r="AF131" s="330">
        <f t="shared" si="18"/>
        <v>0.1</v>
      </c>
      <c r="AG131" s="330">
        <f t="shared" si="19"/>
        <v>0</v>
      </c>
      <c r="AH131" s="330">
        <f t="shared" si="20"/>
        <v>0</v>
      </c>
      <c r="AI131" s="330">
        <f t="shared" si="21"/>
        <v>0</v>
      </c>
      <c r="AJ131" s="330">
        <f t="shared" si="22"/>
        <v>0</v>
      </c>
      <c r="AK131" s="330">
        <f t="shared" si="23"/>
        <v>0</v>
      </c>
      <c r="AL131" s="330">
        <f t="shared" si="24"/>
        <v>0.1</v>
      </c>
      <c r="AM131" s="331">
        <f t="shared" si="25"/>
        <v>0</v>
      </c>
      <c r="AN131" s="332">
        <f t="shared" si="26"/>
        <v>0</v>
      </c>
      <c r="AO131" s="333">
        <f t="shared" si="27"/>
        <v>0.1</v>
      </c>
    </row>
    <row r="132" spans="1:41" s="195" customFormat="1" ht="14.25" customHeight="1" x14ac:dyDescent="0.2">
      <c r="A132" s="400" t="str">
        <f>'36. Generic chemical products'!A36</f>
        <v>Antireduction agent (H2O2), average</v>
      </c>
      <c r="B132" s="400" t="str">
        <f>'36. Generic chemical products'!B36</f>
        <v>Hydrogen peroxide</v>
      </c>
      <c r="C132" s="400">
        <f>'36. Generic chemical products'!C36</f>
        <v>1</v>
      </c>
      <c r="D132" s="400" t="str">
        <f>'36. Generic chemical products'!D36</f>
        <v>kg</v>
      </c>
      <c r="E132" s="400">
        <f>'36. Generic chemical products'!E36</f>
        <v>1</v>
      </c>
      <c r="F132" s="400">
        <f>'36. Generic chemical products'!F36</f>
        <v>0</v>
      </c>
      <c r="G132" s="400" t="str">
        <f>'36. Generic chemical products'!G36</f>
        <v>Hydrogen peroxide</v>
      </c>
      <c r="H132" s="400" t="str">
        <f>'36. Generic chemical products'!H36</f>
        <v>high. pop.</v>
      </c>
      <c r="I132" s="400">
        <f>'36. Generic chemical products'!I36</f>
        <v>1E-3</v>
      </c>
      <c r="J132" s="400" t="str">
        <f>'36. Generic chemical products'!J36</f>
        <v>kg</v>
      </c>
      <c r="K132" s="400">
        <f>'36. Generic chemical products'!K36</f>
        <v>0</v>
      </c>
      <c r="L132" s="400">
        <f>'36. Generic chemical products'!L36</f>
        <v>0</v>
      </c>
      <c r="M132" s="400" t="str">
        <f>'36. Generic chemical products'!M36</f>
        <v>Hydrogen peroxide</v>
      </c>
      <c r="N132" s="400" t="str">
        <f>'36. Generic chemical products'!N36</f>
        <v>river</v>
      </c>
      <c r="O132" s="400">
        <f>'36. Generic chemical products'!O36</f>
        <v>1.0000000000000002E-2</v>
      </c>
      <c r="P132" s="400" t="str">
        <f>'36. Generic chemical products'!P36</f>
        <v>kg</v>
      </c>
      <c r="Q132" s="400" t="str">
        <f>'36. Generic chemical products'!Q36</f>
        <v>90% of reactive chemicals are degraded during operations.</v>
      </c>
      <c r="R132" s="400">
        <f>'36. Generic chemical products'!R36</f>
        <v>0</v>
      </c>
      <c r="S132" s="400">
        <f>'36. Generic chemical products'!S36</f>
        <v>0</v>
      </c>
      <c r="T132" s="400" t="str">
        <f>'36. Generic chemical products'!T36</f>
        <v>7722-84-1</v>
      </c>
      <c r="U132" s="400">
        <f>'36. Generic chemical products'!U36</f>
        <v>0</v>
      </c>
      <c r="V132" s="400">
        <f>'36. Generic chemical products'!V36</f>
        <v>0</v>
      </c>
      <c r="W132" s="400">
        <f>'36. Generic chemical products'!W36</f>
        <v>0</v>
      </c>
      <c r="X132" s="400">
        <f>'36. Generic chemical products'!X36</f>
        <v>0</v>
      </c>
      <c r="Y132" s="400">
        <f>'36. Generic chemical products'!Y36</f>
        <v>222</v>
      </c>
      <c r="Z132" s="400">
        <f>'36. Generic chemical products'!Z36</f>
        <v>53200</v>
      </c>
      <c r="AA132" s="400" t="str">
        <f>'36. Generic chemical products'!AA36</f>
        <v>COSMEDE</v>
      </c>
      <c r="AB132" s="327">
        <f>$C$30*I132</f>
        <v>1.5E-5</v>
      </c>
      <c r="AC132" s="328">
        <f>$C$45*O132</f>
        <v>1.5000000000000001E-4</v>
      </c>
      <c r="AD132" s="329">
        <f t="shared" si="29"/>
        <v>0</v>
      </c>
      <c r="AE132" s="329">
        <f t="shared" si="17"/>
        <v>0</v>
      </c>
      <c r="AF132" s="330">
        <f t="shared" si="18"/>
        <v>7.9833300000000005</v>
      </c>
      <c r="AG132" s="330">
        <f t="shared" si="19"/>
        <v>0</v>
      </c>
      <c r="AH132" s="330">
        <f t="shared" si="20"/>
        <v>0</v>
      </c>
      <c r="AI132" s="330">
        <f t="shared" si="21"/>
        <v>3.3300000000000001E-3</v>
      </c>
      <c r="AJ132" s="330">
        <f t="shared" si="22"/>
        <v>0</v>
      </c>
      <c r="AK132" s="330">
        <f t="shared" si="23"/>
        <v>0</v>
      </c>
      <c r="AL132" s="330">
        <f t="shared" si="24"/>
        <v>7.98</v>
      </c>
      <c r="AM132" s="331">
        <f t="shared" si="25"/>
        <v>0</v>
      </c>
      <c r="AN132" s="332">
        <f t="shared" si="26"/>
        <v>0</v>
      </c>
      <c r="AO132" s="333">
        <f t="shared" si="27"/>
        <v>7.9833300000000005</v>
      </c>
    </row>
    <row r="133" spans="1:41" s="51" customFormat="1" ht="15" customHeight="1" x14ac:dyDescent="0.2">
      <c r="A133" s="68" t="str">
        <f>'36. Generic chemical products'!A37</f>
        <v>Black disperse dyestuff PES, average (Terasil black W-NS)</v>
      </c>
      <c r="B133" s="68" t="str">
        <f>'36. Generic chemical products'!B37</f>
        <v>Sodium 2-[methyloleoylamino]ethane-1-sulphonate</v>
      </c>
      <c r="C133" s="68">
        <f>'36. Generic chemical products'!C37</f>
        <v>0.05</v>
      </c>
      <c r="D133" s="68" t="str">
        <f>'36. Generic chemical products'!D37</f>
        <v>kg</v>
      </c>
      <c r="E133" s="68" t="str">
        <f>'36. Generic chemical products'!E37</f>
        <v>MSDS</v>
      </c>
      <c r="F133" s="68">
        <f>'36. Generic chemical products'!F37</f>
        <v>0</v>
      </c>
      <c r="G133" s="68" t="str">
        <f>'36. Generic chemical products'!G37</f>
        <v>Sodium 2-[methyloleoylamino]ethane-1-sulphonate</v>
      </c>
      <c r="H133" s="68" t="str">
        <f>'36. Generic chemical products'!H37</f>
        <v>high. pop.</v>
      </c>
      <c r="I133" s="68">
        <f>'36. Generic chemical products'!I37</f>
        <v>5.0000000000000002E-5</v>
      </c>
      <c r="J133" s="68" t="str">
        <f>'36. Generic chemical products'!J37</f>
        <v>kg</v>
      </c>
      <c r="K133" s="68">
        <f>'36. Generic chemical products'!K37</f>
        <v>0</v>
      </c>
      <c r="L133" s="68">
        <f>'36. Generic chemical products'!L37</f>
        <v>0</v>
      </c>
      <c r="M133" s="68" t="str">
        <f>'36. Generic chemical products'!M37</f>
        <v>Sodium 2-[methyloleoylamino]ethane-1-sulphonate</v>
      </c>
      <c r="N133" s="68" t="str">
        <f>'36. Generic chemical products'!N37</f>
        <v>river</v>
      </c>
      <c r="O133" s="68">
        <f>'36. Generic chemical products'!O37</f>
        <v>2.5000000000000006E-4</v>
      </c>
      <c r="P133" s="68" t="str">
        <f>'36. Generic chemical products'!P37</f>
        <v>kg</v>
      </c>
      <c r="Q133" s="68" t="str">
        <f>'36. Generic chemical products'!Q37</f>
        <v>95% on fabric</v>
      </c>
      <c r="R133" s="68">
        <f>'36. Generic chemical products'!R37</f>
        <v>0</v>
      </c>
      <c r="S133" s="68">
        <f>'36. Generic chemical products'!S37</f>
        <v>0</v>
      </c>
      <c r="T133" s="68" t="str">
        <f>'36. Generic chemical products'!T37</f>
        <v>137-20-2</v>
      </c>
      <c r="U133" s="68">
        <f>'36. Generic chemical products'!U37</f>
        <v>0</v>
      </c>
      <c r="V133" s="68">
        <f>'36. Generic chemical products'!V37</f>
        <v>9.5237882440380552E-7</v>
      </c>
      <c r="W133" s="68">
        <f>'36. Generic chemical products'!W37</f>
        <v>0</v>
      </c>
      <c r="X133" s="68">
        <f>'36. Generic chemical products'!X37</f>
        <v>4.0376928672343864E-7</v>
      </c>
      <c r="Y133" s="68">
        <f>'36. Generic chemical products'!Y37</f>
        <v>42728.411313321136</v>
      </c>
      <c r="Z133" s="68">
        <f>'36. Generic chemical products'!Z37</f>
        <v>340826.10041745222</v>
      </c>
      <c r="AA133" s="68" t="str">
        <f>'36. Generic chemical products'!AA37</f>
        <v>Roos 2017</v>
      </c>
      <c r="AB133" s="300">
        <f>$C$31*I133</f>
        <v>2.5000000000000002E-6</v>
      </c>
      <c r="AC133" s="301">
        <f>$C$46*O133</f>
        <v>1.2500000000000004E-5</v>
      </c>
      <c r="AD133" s="302">
        <f t="shared" si="29"/>
        <v>0</v>
      </c>
      <c r="AE133" s="302">
        <f t="shared" si="17"/>
        <v>7.428063145052499E-12</v>
      </c>
      <c r="AF133" s="303">
        <f t="shared" si="18"/>
        <v>4.3671472835014571</v>
      </c>
      <c r="AG133" s="303">
        <f t="shared" si="19"/>
        <v>0</v>
      </c>
      <c r="AH133" s="303">
        <f t="shared" si="20"/>
        <v>2.380947061009514E-12</v>
      </c>
      <c r="AI133" s="303">
        <f t="shared" si="21"/>
        <v>0.10682102828330285</v>
      </c>
      <c r="AJ133" s="303">
        <f t="shared" si="22"/>
        <v>0</v>
      </c>
      <c r="AK133" s="303">
        <f t="shared" si="23"/>
        <v>5.0471160840429846E-12</v>
      </c>
      <c r="AL133" s="303">
        <f t="shared" si="24"/>
        <v>4.2603262552181542</v>
      </c>
      <c r="AM133" s="304">
        <f t="shared" si="25"/>
        <v>0</v>
      </c>
      <c r="AN133" s="305">
        <f t="shared" si="26"/>
        <v>7.428063145052499E-12</v>
      </c>
      <c r="AO133" s="306">
        <f t="shared" si="27"/>
        <v>4.3671472835014571</v>
      </c>
    </row>
    <row r="134" spans="1:41" s="51" customFormat="1" ht="15" customHeight="1" x14ac:dyDescent="0.2">
      <c r="A134" s="68" t="str">
        <f>'36. Generic chemical products'!A38</f>
        <v>Black disperse dyestuff PES, average (Terasil black W-NS)</v>
      </c>
      <c r="B134" s="68" t="str">
        <f>'36. Generic chemical products'!B38</f>
        <v>metyl-N-[(3-acetylamino)-4-(2-cyano-4-
nitrofenylazo)fenyl]-N-[(1-metoxi)acetyl]glycinat</v>
      </c>
      <c r="C134" s="68">
        <f>'36. Generic chemical products'!C38</f>
        <v>0.05</v>
      </c>
      <c r="D134" s="68" t="str">
        <f>'36. Generic chemical products'!D38</f>
        <v>kg</v>
      </c>
      <c r="E134" s="68" t="str">
        <f>'36. Generic chemical products'!E38</f>
        <v>MSDS</v>
      </c>
      <c r="F134" s="68">
        <f>'36. Generic chemical products'!F38</f>
        <v>0</v>
      </c>
      <c r="G134" s="68" t="str">
        <f>'36. Generic chemical products'!G38</f>
        <v>metyl-N-[(3-acetylamino)-4-(2-cyano-4-
nitrofenylazo)fenyl]-N-[(1-metoxi)acetyl]glycinat</v>
      </c>
      <c r="H134" s="68" t="str">
        <f>'36. Generic chemical products'!H38</f>
        <v>high. pop.</v>
      </c>
      <c r="I134" s="68">
        <f>'36. Generic chemical products'!I38</f>
        <v>5.0000000000000002E-5</v>
      </c>
      <c r="J134" s="68" t="str">
        <f>'36. Generic chemical products'!J38</f>
        <v>kg</v>
      </c>
      <c r="K134" s="68">
        <f>'36. Generic chemical products'!K38</f>
        <v>0</v>
      </c>
      <c r="L134" s="68">
        <f>'36. Generic chemical products'!L38</f>
        <v>0</v>
      </c>
      <c r="M134" s="68" t="str">
        <f>'36. Generic chemical products'!M38</f>
        <v>metyl-N-[(3-acetylamino)-4-(2-cyano-4-
nitrofenylazo)fenyl]-N-[(1-metoxi)acetyl]glycinat</v>
      </c>
      <c r="N134" s="68" t="str">
        <f>'36. Generic chemical products'!N38</f>
        <v>river</v>
      </c>
      <c r="O134" s="68">
        <f>'36. Generic chemical products'!O38</f>
        <v>2.5000000000000006E-4</v>
      </c>
      <c r="P134" s="68" t="str">
        <f>'36. Generic chemical products'!P38</f>
        <v>kg</v>
      </c>
      <c r="Q134" s="68" t="str">
        <f>'36. Generic chemical products'!Q38</f>
        <v>95% on fabric</v>
      </c>
      <c r="R134" s="68">
        <f>'36. Generic chemical products'!R38</f>
        <v>0</v>
      </c>
      <c r="S134" s="68">
        <f>'36. Generic chemical products'!S38</f>
        <v>0</v>
      </c>
      <c r="T134" s="68" t="str">
        <f>'36. Generic chemical products'!T38</f>
        <v>149850-30-6</v>
      </c>
      <c r="U134" s="68">
        <f>'36. Generic chemical products'!U38</f>
        <v>3.2402001402515103E-6</v>
      </c>
      <c r="V134" s="68">
        <f>'36. Generic chemical products'!V38</f>
        <v>3.1758450329400821E-6</v>
      </c>
      <c r="W134" s="68">
        <f>'36. Generic chemical products'!W38</f>
        <v>3.1278405194725915E-6</v>
      </c>
      <c r="X134" s="68">
        <f>'36. Generic chemical products'!X38</f>
        <v>3.06571703833847E-6</v>
      </c>
      <c r="Y134" s="68">
        <f>'36. Generic chemical products'!Y38</f>
        <v>2135.3073415858121</v>
      </c>
      <c r="Z134" s="68">
        <f>'36. Generic chemical products'!Z38</f>
        <v>12814.417967387339</v>
      </c>
      <c r="AA134" s="68" t="str">
        <f>'36. Generic chemical products'!AA38</f>
        <v>Roos 2017</v>
      </c>
      <c r="AB134" s="300">
        <f>$C$31*I134</f>
        <v>2.5000000000000002E-6</v>
      </c>
      <c r="AC134" s="301">
        <f>$C$46*O134</f>
        <v>1.2500000000000004E-5</v>
      </c>
      <c r="AD134" s="302">
        <f t="shared" si="29"/>
        <v>4.7198506844036181E-11</v>
      </c>
      <c r="AE134" s="302">
        <f t="shared" si="17"/>
        <v>4.626107556158109E-11</v>
      </c>
      <c r="AF134" s="303">
        <f t="shared" si="18"/>
        <v>0.16551849294630633</v>
      </c>
      <c r="AG134" s="303">
        <f t="shared" si="19"/>
        <v>8.1005003506287763E-12</v>
      </c>
      <c r="AH134" s="303">
        <f t="shared" si="20"/>
        <v>7.9396125823502064E-12</v>
      </c>
      <c r="AI134" s="303">
        <f t="shared" si="21"/>
        <v>5.3382683539645306E-3</v>
      </c>
      <c r="AJ134" s="303">
        <f t="shared" si="22"/>
        <v>3.9098006493407405E-11</v>
      </c>
      <c r="AK134" s="303">
        <f t="shared" si="23"/>
        <v>3.8321462979230885E-11</v>
      </c>
      <c r="AL134" s="303">
        <f t="shared" si="24"/>
        <v>0.1601802245923418</v>
      </c>
      <c r="AM134" s="304">
        <f t="shared" si="25"/>
        <v>4.7198506844036181E-11</v>
      </c>
      <c r="AN134" s="305">
        <f t="shared" si="26"/>
        <v>4.626107556158109E-11</v>
      </c>
      <c r="AO134" s="306">
        <f t="shared" si="27"/>
        <v>0.16551849294630633</v>
      </c>
    </row>
    <row r="135" spans="1:41" s="51" customFormat="1" ht="15" customHeight="1" x14ac:dyDescent="0.2">
      <c r="A135" s="68" t="str">
        <f>'36. Generic chemical products'!A39</f>
        <v>Black disperse dyestuff PES, average (Terasil black W-NS)</v>
      </c>
      <c r="B135" s="68" t="str">
        <f>'36. Generic chemical products'!B39</f>
        <v>Alanine, N-[5-(acetylamino)-4-[(2-chloro-6-cyano-4-
nitrophenyl) azo]-2-methoxyphenyl]-N-(2-methoxy-2-
oxoethyl)-, methyl ester</v>
      </c>
      <c r="C135" s="68">
        <f>'36. Generic chemical products'!C39</f>
        <v>0.25</v>
      </c>
      <c r="D135" s="68" t="str">
        <f>'36. Generic chemical products'!D39</f>
        <v>kg</v>
      </c>
      <c r="E135" s="68" t="str">
        <f>'36. Generic chemical products'!E39</f>
        <v>MSDS</v>
      </c>
      <c r="F135" s="68">
        <f>'36. Generic chemical products'!F39</f>
        <v>0</v>
      </c>
      <c r="G135" s="68" t="str">
        <f>'36. Generic chemical products'!G39</f>
        <v>Alanine, N-[5-(acetylamino)-4-[(2-chloro-6-cyano-4-
nitrophenyl) azo]-2-methoxyphenyl]-N-(2-methoxy-2-
oxoethyl)-, methyl ester</v>
      </c>
      <c r="H135" s="68" t="str">
        <f>'36. Generic chemical products'!H39</f>
        <v>high. pop.</v>
      </c>
      <c r="I135" s="68">
        <f>'36. Generic chemical products'!I39</f>
        <v>2.5000000000000001E-4</v>
      </c>
      <c r="J135" s="68" t="str">
        <f>'36. Generic chemical products'!J39</f>
        <v>kg</v>
      </c>
      <c r="K135" s="68">
        <f>'36. Generic chemical products'!K39</f>
        <v>0</v>
      </c>
      <c r="L135" s="68">
        <f>'36. Generic chemical products'!L39</f>
        <v>0</v>
      </c>
      <c r="M135" s="68" t="str">
        <f>'36. Generic chemical products'!M39</f>
        <v>Alanine, N-[5-(acetylamino)-4-[(2-chloro-6-cyano-4-
nitrophenyl) azo]-2-methoxyphenyl]-N-(2-methoxy-2-
oxoethyl)-, methyl ester</v>
      </c>
      <c r="N135" s="68" t="str">
        <f>'36. Generic chemical products'!N39</f>
        <v>river</v>
      </c>
      <c r="O135" s="68">
        <f>'36. Generic chemical products'!O39</f>
        <v>1.2500000000000002E-3</v>
      </c>
      <c r="P135" s="68" t="str">
        <f>'36. Generic chemical products'!P39</f>
        <v>kg</v>
      </c>
      <c r="Q135" s="68" t="str">
        <f>'36. Generic chemical products'!Q39</f>
        <v>95% on fabric</v>
      </c>
      <c r="R135" s="68">
        <f>'36. Generic chemical products'!R39</f>
        <v>0</v>
      </c>
      <c r="S135" s="68">
        <f>'36. Generic chemical products'!S39</f>
        <v>0</v>
      </c>
      <c r="T135" s="68" t="str">
        <f>'36. Generic chemical products'!T39</f>
        <v>204277-61-2</v>
      </c>
      <c r="U135" s="68">
        <f>'36. Generic chemical products'!U39</f>
        <v>0</v>
      </c>
      <c r="V135" s="68">
        <f>'36. Generic chemical products'!V39</f>
        <v>8.7003832462917092E-7</v>
      </c>
      <c r="W135" s="68">
        <f>'36. Generic chemical products'!W39</f>
        <v>0</v>
      </c>
      <c r="X135" s="68">
        <f>'36. Generic chemical products'!X39</f>
        <v>2.7457260536474955E-6</v>
      </c>
      <c r="Y135" s="68">
        <f>'36. Generic chemical products'!Y39</f>
        <v>52.321095912391769</v>
      </c>
      <c r="Z135" s="68">
        <f>'36. Generic chemical products'!Z39</f>
        <v>874.99372991643975</v>
      </c>
      <c r="AA135" s="68" t="str">
        <f>'36. Generic chemical products'!AA39</f>
        <v>Roos 2017</v>
      </c>
      <c r="AB135" s="300">
        <f>$C$31*I135</f>
        <v>1.2500000000000001E-5</v>
      </c>
      <c r="AC135" s="301">
        <f>$C$46*O135</f>
        <v>6.2500000000000015E-5</v>
      </c>
      <c r="AD135" s="302">
        <f t="shared" si="29"/>
        <v>0</v>
      </c>
      <c r="AE135" s="302">
        <f t="shared" si="17"/>
        <v>1.8248335741083315E-10</v>
      </c>
      <c r="AF135" s="303">
        <f t="shared" si="18"/>
        <v>5.5341121818682393E-2</v>
      </c>
      <c r="AG135" s="303">
        <f t="shared" si="19"/>
        <v>0</v>
      </c>
      <c r="AH135" s="303">
        <f t="shared" si="20"/>
        <v>1.0875479057864638E-11</v>
      </c>
      <c r="AI135" s="303">
        <f t="shared" si="21"/>
        <v>6.5401369890489712E-4</v>
      </c>
      <c r="AJ135" s="303">
        <f t="shared" si="22"/>
        <v>0</v>
      </c>
      <c r="AK135" s="303">
        <f t="shared" si="23"/>
        <v>1.7160787835296851E-10</v>
      </c>
      <c r="AL135" s="303">
        <f t="shared" si="24"/>
        <v>5.4687108119777499E-2</v>
      </c>
      <c r="AM135" s="304">
        <f t="shared" si="25"/>
        <v>0</v>
      </c>
      <c r="AN135" s="305">
        <f t="shared" si="26"/>
        <v>1.8248335741083315E-10</v>
      </c>
      <c r="AO135" s="306">
        <f t="shared" si="27"/>
        <v>5.5341121818682393E-2</v>
      </c>
    </row>
    <row r="136" spans="1:41" s="139" customFormat="1" ht="15" customHeight="1" x14ac:dyDescent="0.2">
      <c r="A136" s="193" t="str">
        <f>'36. Generic chemical products'!A40</f>
        <v>Black disperse dyestuff PES, average (Terasil black W-NS)</v>
      </c>
      <c r="B136" s="193" t="str">
        <f>'36. Generic chemical products'!B40</f>
        <v>Disperse violet 28</v>
      </c>
      <c r="C136" s="193">
        <f>'36. Generic chemical products'!C40</f>
        <v>0.05</v>
      </c>
      <c r="D136" s="193" t="str">
        <f>'36. Generic chemical products'!D40</f>
        <v>kg</v>
      </c>
      <c r="E136" s="193" t="str">
        <f>'36. Generic chemical products'!E40</f>
        <v>MSDS, replaces 188070-47-5</v>
      </c>
      <c r="F136" s="193">
        <f>'36. Generic chemical products'!F40</f>
        <v>0</v>
      </c>
      <c r="G136" s="193" t="str">
        <f>'36. Generic chemical products'!G40</f>
        <v>Disperse violet 28</v>
      </c>
      <c r="H136" s="193" t="str">
        <f>'36. Generic chemical products'!H40</f>
        <v>high. pop.</v>
      </c>
      <c r="I136" s="193">
        <f>'36. Generic chemical products'!I40</f>
        <v>5.0000000000000002E-5</v>
      </c>
      <c r="J136" s="193" t="str">
        <f>'36. Generic chemical products'!J40</f>
        <v>kg</v>
      </c>
      <c r="K136" s="193">
        <f>'36. Generic chemical products'!K40</f>
        <v>0</v>
      </c>
      <c r="L136" s="193">
        <f>'36. Generic chemical products'!L40</f>
        <v>0</v>
      </c>
      <c r="M136" s="193" t="str">
        <f>'36. Generic chemical products'!M40</f>
        <v>Disperse violet 28</v>
      </c>
      <c r="N136" s="193" t="str">
        <f>'36. Generic chemical products'!N40</f>
        <v>river</v>
      </c>
      <c r="O136" s="193">
        <f>'36. Generic chemical products'!O40</f>
        <v>2.5000000000000006E-4</v>
      </c>
      <c r="P136" s="193" t="str">
        <f>'36. Generic chemical products'!P40</f>
        <v>kg</v>
      </c>
      <c r="Q136" s="193" t="str">
        <f>'36. Generic chemical products'!Q40</f>
        <v>95% on fabric</v>
      </c>
      <c r="R136" s="193">
        <f>'36. Generic chemical products'!R40</f>
        <v>0</v>
      </c>
      <c r="S136" s="193">
        <f>'36. Generic chemical products'!S40</f>
        <v>0</v>
      </c>
      <c r="T136" s="193" t="str">
        <f>'36. Generic chemical products'!T40</f>
        <v>81-42-5</v>
      </c>
      <c r="U136" s="193">
        <f>'36. Generic chemical products'!U40</f>
        <v>2.2701039332195017E-6</v>
      </c>
      <c r="V136" s="193">
        <f>'36. Generic chemical products'!V40</f>
        <v>1.0897838795924354E-6</v>
      </c>
      <c r="W136" s="193">
        <f>'36. Generic chemical products'!W40</f>
        <v>1.8624372526347541E-5</v>
      </c>
      <c r="X136" s="193">
        <f>'36. Generic chemical products'!X40</f>
        <v>8.9407981060818138E-6</v>
      </c>
      <c r="Y136" s="193">
        <f>'36. Generic chemical products'!Y40</f>
        <v>907.36586611441669</v>
      </c>
      <c r="Z136" s="193">
        <f>'36. Generic chemical products'!Z40</f>
        <v>26769.356812364109</v>
      </c>
      <c r="AA136" s="193" t="str">
        <f>'36. Generic chemical products'!AA40</f>
        <v>Roos 2017</v>
      </c>
      <c r="AB136" s="307">
        <f>$C$31*I136</f>
        <v>2.5000000000000002E-6</v>
      </c>
      <c r="AC136" s="308">
        <f>$C$46*O136</f>
        <v>1.2500000000000004E-5</v>
      </c>
      <c r="AD136" s="309">
        <v>0</v>
      </c>
      <c r="AE136" s="309">
        <f t="shared" si="17"/>
        <v>1.144844360250038E-10</v>
      </c>
      <c r="AF136" s="310">
        <f t="shared" si="18"/>
        <v>0.33688537481983749</v>
      </c>
      <c r="AG136" s="310">
        <f t="shared" si="19"/>
        <v>5.6752598330487546E-12</v>
      </c>
      <c r="AH136" s="310">
        <f t="shared" si="20"/>
        <v>2.7244596989810885E-12</v>
      </c>
      <c r="AI136" s="310">
        <f t="shared" si="21"/>
        <v>2.2684146652860418E-3</v>
      </c>
      <c r="AJ136" s="310">
        <f t="shared" si="22"/>
        <v>2.3280465657934434E-10</v>
      </c>
      <c r="AK136" s="310">
        <f t="shared" si="23"/>
        <v>1.1175997632602271E-10</v>
      </c>
      <c r="AL136" s="310">
        <f t="shared" si="24"/>
        <v>0.33461696015455145</v>
      </c>
      <c r="AM136" s="311">
        <f t="shared" si="25"/>
        <v>2.3847991641239308E-10</v>
      </c>
      <c r="AN136" s="312">
        <f t="shared" si="26"/>
        <v>1.144844360250038E-10</v>
      </c>
      <c r="AO136" s="313">
        <f t="shared" si="27"/>
        <v>0.33688537481983749</v>
      </c>
    </row>
    <row r="137" spans="1:41" s="195" customFormat="1" ht="15" customHeight="1" x14ac:dyDescent="0.2">
      <c r="A137" s="194" t="str">
        <f>'36. Generic chemical products'!A16</f>
        <v>Base (alkali) (NaOH), average</v>
      </c>
      <c r="B137" s="194" t="str">
        <f>'36. Generic chemical products'!B16</f>
        <v>Sodium hydroxide</v>
      </c>
      <c r="C137" s="194">
        <f>'36. Generic chemical products'!C16</f>
        <v>1</v>
      </c>
      <c r="D137" s="194" t="str">
        <f>'36. Generic chemical products'!D16</f>
        <v>kg</v>
      </c>
      <c r="E137" s="194">
        <f>'36. Generic chemical products'!E16</f>
        <v>1</v>
      </c>
      <c r="F137" s="194">
        <f>'36. Generic chemical products'!F16</f>
        <v>0</v>
      </c>
      <c r="G137" s="194" t="str">
        <f>'36. Generic chemical products'!G16</f>
        <v>-</v>
      </c>
      <c r="H137" s="194">
        <f>'36. Generic chemical products'!H16</f>
        <v>0</v>
      </c>
      <c r="I137" s="194">
        <f>'36. Generic chemical products'!I16</f>
        <v>0</v>
      </c>
      <c r="J137" s="194">
        <f>'36. Generic chemical products'!J16</f>
        <v>0</v>
      </c>
      <c r="K137" s="194" t="str">
        <f>'36. Generic chemical products'!K16</f>
        <v>Worst case - mist carries substance</v>
      </c>
      <c r="L137" s="194">
        <f>'36. Generic chemical products'!L16</f>
        <v>0</v>
      </c>
      <c r="M137" s="194" t="str">
        <f>'36. Generic chemical products'!M16</f>
        <v>Sodium hydroxide</v>
      </c>
      <c r="N137" s="194" t="str">
        <f>'36. Generic chemical products'!N16</f>
        <v>river</v>
      </c>
      <c r="O137" s="194">
        <f>'36. Generic chemical products'!O16</f>
        <v>0.1</v>
      </c>
      <c r="P137" s="194" t="str">
        <f>'36. Generic chemical products'!P16</f>
        <v>kg</v>
      </c>
      <c r="Q137" s="194">
        <f>'36. Generic chemical products'!Q16</f>
        <v>0</v>
      </c>
      <c r="R137" s="194">
        <f>'36. Generic chemical products'!R16</f>
        <v>0</v>
      </c>
      <c r="S137" s="194">
        <f>'36. Generic chemical products'!S16</f>
        <v>0</v>
      </c>
      <c r="T137" s="194" t="str">
        <f>'36. Generic chemical products'!T16</f>
        <v>1310-73-2</v>
      </c>
      <c r="U137" s="194">
        <f>'36. Generic chemical products'!U16</f>
        <v>0</v>
      </c>
      <c r="V137" s="194">
        <f>'36. Generic chemical products'!V16</f>
        <v>0</v>
      </c>
      <c r="W137" s="194">
        <f>'36. Generic chemical products'!W16</f>
        <v>0</v>
      </c>
      <c r="X137" s="194">
        <f>'36. Generic chemical products'!X16</f>
        <v>0</v>
      </c>
      <c r="Y137" s="194">
        <f>'36. Generic chemical products'!Y16</f>
        <v>164.24</v>
      </c>
      <c r="Z137" s="194">
        <f>'36. Generic chemical products'!Z16</f>
        <v>400.09</v>
      </c>
      <c r="AA137" s="194" t="str">
        <f>'36. Generic chemical products'!AA16</f>
        <v>COSMEDE</v>
      </c>
      <c r="AB137" s="327">
        <f>$C$32*I137</f>
        <v>0</v>
      </c>
      <c r="AC137" s="328">
        <f>$C$47*O137</f>
        <v>5.0000000000000001E-4</v>
      </c>
      <c r="AD137" s="329">
        <f t="shared" si="29"/>
        <v>0</v>
      </c>
      <c r="AE137" s="329">
        <f t="shared" si="17"/>
        <v>0</v>
      </c>
      <c r="AF137" s="330">
        <f t="shared" si="18"/>
        <v>0.200045</v>
      </c>
      <c r="AG137" s="330">
        <f t="shared" si="19"/>
        <v>0</v>
      </c>
      <c r="AH137" s="330">
        <f t="shared" si="20"/>
        <v>0</v>
      </c>
      <c r="AI137" s="330">
        <f t="shared" si="21"/>
        <v>0</v>
      </c>
      <c r="AJ137" s="330">
        <f t="shared" si="22"/>
        <v>0</v>
      </c>
      <c r="AK137" s="330">
        <f t="shared" si="23"/>
        <v>0</v>
      </c>
      <c r="AL137" s="330">
        <f t="shared" si="24"/>
        <v>0.200045</v>
      </c>
      <c r="AM137" s="331">
        <f t="shared" si="25"/>
        <v>0</v>
      </c>
      <c r="AN137" s="332">
        <f t="shared" si="26"/>
        <v>0</v>
      </c>
      <c r="AO137" s="333">
        <f t="shared" si="27"/>
        <v>0.200045</v>
      </c>
    </row>
    <row r="138" spans="1:41" s="51" customFormat="1" ht="15" customHeight="1" x14ac:dyDescent="0.2">
      <c r="A138" s="68" t="str">
        <f>'36. Generic chemical products'!A41</f>
        <v>Reducing agent, average</v>
      </c>
      <c r="B138" s="68" t="str">
        <f>'36. Generic chemical products'!B41</f>
        <v>Sodium dithionite</v>
      </c>
      <c r="C138" s="68">
        <f>'36. Generic chemical products'!C41</f>
        <v>0.9</v>
      </c>
      <c r="D138" s="68" t="str">
        <f>'36. Generic chemical products'!D41</f>
        <v>kg</v>
      </c>
      <c r="E138" s="68" t="str">
        <f>'36. Generic chemical products'!E41</f>
        <v>MSDS</v>
      </c>
      <c r="F138" s="68">
        <f>'36. Generic chemical products'!F41</f>
        <v>0</v>
      </c>
      <c r="G138" s="68" t="str">
        <f>'36. Generic chemical products'!G41</f>
        <v>-</v>
      </c>
      <c r="H138" s="68">
        <f>'36. Generic chemical products'!H41</f>
        <v>0</v>
      </c>
      <c r="I138" s="68">
        <f>'36. Generic chemical products'!I41</f>
        <v>0</v>
      </c>
      <c r="J138" s="68">
        <f>'36. Generic chemical products'!J41</f>
        <v>0</v>
      </c>
      <c r="K138" s="68">
        <f>'36. Generic chemical products'!K41</f>
        <v>0</v>
      </c>
      <c r="L138" s="68">
        <f>'36. Generic chemical products'!L41</f>
        <v>0</v>
      </c>
      <c r="M138" s="68" t="str">
        <f>'36. Generic chemical products'!M41</f>
        <v>Sodium dithionite</v>
      </c>
      <c r="N138" s="68" t="str">
        <f>'36. Generic chemical products'!N41</f>
        <v>river</v>
      </c>
      <c r="O138" s="68">
        <f>'36. Generic chemical products'!O41</f>
        <v>9.0000000000000011E-2</v>
      </c>
      <c r="P138" s="68" t="str">
        <f>'36. Generic chemical products'!P41</f>
        <v>kg</v>
      </c>
      <c r="Q138" s="68">
        <f>'36. Generic chemical products'!Q41</f>
        <v>0</v>
      </c>
      <c r="R138" s="68">
        <f>'36. Generic chemical products'!R41</f>
        <v>0</v>
      </c>
      <c r="S138" s="68">
        <f>'36. Generic chemical products'!S41</f>
        <v>0</v>
      </c>
      <c r="T138" s="68" t="str">
        <f>'36. Generic chemical products'!T41</f>
        <v>7775-14-6</v>
      </c>
      <c r="U138" s="68">
        <f>'36. Generic chemical products'!U41</f>
        <v>0</v>
      </c>
      <c r="V138" s="68">
        <f>'36. Generic chemical products'!V41</f>
        <v>0</v>
      </c>
      <c r="W138" s="68">
        <f>'36. Generic chemical products'!W41</f>
        <v>0</v>
      </c>
      <c r="X138" s="68">
        <f>'36. Generic chemical products'!X41</f>
        <v>0</v>
      </c>
      <c r="Y138" s="68">
        <f>'36. Generic chemical products'!Y41</f>
        <v>52.575000000000003</v>
      </c>
      <c r="Z138" s="68">
        <f>'36. Generic chemical products'!Z41</f>
        <v>125.31</v>
      </c>
      <c r="AA138" s="68" t="str">
        <f>'36. Generic chemical products'!AA41</f>
        <v>COSMEDE</v>
      </c>
      <c r="AB138" s="300">
        <f>$C$33*I138</f>
        <v>0</v>
      </c>
      <c r="AC138" s="301">
        <f>$C$48*O138</f>
        <v>4.5000000000000004E-4</v>
      </c>
      <c r="AD138" s="302">
        <f t="shared" si="29"/>
        <v>0</v>
      </c>
      <c r="AE138" s="302">
        <f t="shared" si="17"/>
        <v>0</v>
      </c>
      <c r="AF138" s="303">
        <f t="shared" si="18"/>
        <v>5.6389500000000009E-2</v>
      </c>
      <c r="AG138" s="303">
        <f t="shared" si="19"/>
        <v>0</v>
      </c>
      <c r="AH138" s="303">
        <f t="shared" si="20"/>
        <v>0</v>
      </c>
      <c r="AI138" s="303">
        <f t="shared" si="21"/>
        <v>0</v>
      </c>
      <c r="AJ138" s="303">
        <f t="shared" si="22"/>
        <v>0</v>
      </c>
      <c r="AK138" s="303">
        <f t="shared" si="23"/>
        <v>0</v>
      </c>
      <c r="AL138" s="303">
        <f t="shared" si="24"/>
        <v>5.6389500000000009E-2</v>
      </c>
      <c r="AM138" s="304">
        <f t="shared" si="25"/>
        <v>0</v>
      </c>
      <c r="AN138" s="305">
        <f t="shared" si="26"/>
        <v>0</v>
      </c>
      <c r="AO138" s="306">
        <f t="shared" si="27"/>
        <v>5.6389500000000009E-2</v>
      </c>
    </row>
    <row r="139" spans="1:41" s="51" customFormat="1" ht="15" customHeight="1" x14ac:dyDescent="0.2">
      <c r="A139" s="68" t="str">
        <f>'36. Generic chemical products'!A42</f>
        <v>Reducing agent, average</v>
      </c>
      <c r="B139" s="68" t="str">
        <f>'36. Generic chemical products'!B42</f>
        <v>Sodium disulfate</v>
      </c>
      <c r="C139" s="68">
        <f>'36. Generic chemical products'!C42</f>
        <v>0.08</v>
      </c>
      <c r="D139" s="68" t="str">
        <f>'36. Generic chemical products'!D42</f>
        <v>kg</v>
      </c>
      <c r="E139" s="68" t="str">
        <f>'36. Generic chemical products'!E42</f>
        <v>MSDS</v>
      </c>
      <c r="F139" s="68">
        <f>'36. Generic chemical products'!F42</f>
        <v>0</v>
      </c>
      <c r="G139" s="68" t="str">
        <f>'36. Generic chemical products'!G42</f>
        <v>-</v>
      </c>
      <c r="H139" s="68">
        <f>'36. Generic chemical products'!H42</f>
        <v>0</v>
      </c>
      <c r="I139" s="68">
        <f>'36. Generic chemical products'!I42</f>
        <v>0</v>
      </c>
      <c r="J139" s="68">
        <f>'36. Generic chemical products'!J42</f>
        <v>0</v>
      </c>
      <c r="K139" s="68">
        <f>'36. Generic chemical products'!K42</f>
        <v>0</v>
      </c>
      <c r="L139" s="68">
        <f>'36. Generic chemical products'!L42</f>
        <v>0</v>
      </c>
      <c r="M139" s="68" t="str">
        <f>'36. Generic chemical products'!M42</f>
        <v>Sodium disulfate</v>
      </c>
      <c r="N139" s="68" t="str">
        <f>'36. Generic chemical products'!N42</f>
        <v>river</v>
      </c>
      <c r="O139" s="68">
        <f>'36. Generic chemical products'!O42</f>
        <v>8.0000000000000002E-3</v>
      </c>
      <c r="P139" s="68" t="str">
        <f>'36. Generic chemical products'!P42</f>
        <v>kg</v>
      </c>
      <c r="Q139" s="68">
        <f>'36. Generic chemical products'!Q42</f>
        <v>0</v>
      </c>
      <c r="R139" s="68">
        <f>'36. Generic chemical products'!R42</f>
        <v>0</v>
      </c>
      <c r="S139" s="68">
        <f>'36. Generic chemical products'!S42</f>
        <v>0</v>
      </c>
      <c r="T139" s="68" t="str">
        <f>'36. Generic chemical products'!T42</f>
        <v>7681-57-4</v>
      </c>
      <c r="U139" s="68">
        <f>'36. Generic chemical products'!U42</f>
        <v>0</v>
      </c>
      <c r="V139" s="68">
        <f>'36. Generic chemical products'!V42</f>
        <v>0</v>
      </c>
      <c r="W139" s="68">
        <f>'36. Generic chemical products'!W42</f>
        <v>0</v>
      </c>
      <c r="X139" s="68">
        <f>'36. Generic chemical products'!X42</f>
        <v>0</v>
      </c>
      <c r="Y139" s="68">
        <f>'36. Generic chemical products'!Y42</f>
        <v>6.0401999999999996</v>
      </c>
      <c r="Z139" s="68">
        <f>'36. Generic chemical products'!Z42</f>
        <v>126.48</v>
      </c>
      <c r="AA139" s="68" t="str">
        <f>'36. Generic chemical products'!AA42</f>
        <v>COSMEDE</v>
      </c>
      <c r="AB139" s="300">
        <f>$C$33*I139</f>
        <v>0</v>
      </c>
      <c r="AC139" s="301">
        <f>$C$48*O139</f>
        <v>4.0000000000000003E-5</v>
      </c>
      <c r="AD139" s="302">
        <f t="shared" si="29"/>
        <v>0</v>
      </c>
      <c r="AE139" s="302">
        <f t="shared" si="17"/>
        <v>0</v>
      </c>
      <c r="AF139" s="303">
        <f t="shared" si="18"/>
        <v>5.0592000000000007E-3</v>
      </c>
      <c r="AG139" s="303">
        <f t="shared" si="19"/>
        <v>0</v>
      </c>
      <c r="AH139" s="303">
        <f t="shared" si="20"/>
        <v>0</v>
      </c>
      <c r="AI139" s="303">
        <f t="shared" si="21"/>
        <v>0</v>
      </c>
      <c r="AJ139" s="303">
        <f t="shared" si="22"/>
        <v>0</v>
      </c>
      <c r="AK139" s="303">
        <f t="shared" si="23"/>
        <v>0</v>
      </c>
      <c r="AL139" s="303">
        <f t="shared" si="24"/>
        <v>5.0592000000000007E-3</v>
      </c>
      <c r="AM139" s="304">
        <f t="shared" si="25"/>
        <v>0</v>
      </c>
      <c r="AN139" s="305">
        <f t="shared" si="26"/>
        <v>0</v>
      </c>
      <c r="AO139" s="306">
        <f t="shared" si="27"/>
        <v>5.0592000000000007E-3</v>
      </c>
    </row>
    <row r="140" spans="1:41" s="51" customFormat="1" ht="15" customHeight="1" x14ac:dyDescent="0.2">
      <c r="A140" s="68" t="str">
        <f>'36. Generic chemical products'!A43</f>
        <v>Reducing agent, average</v>
      </c>
      <c r="B140" s="68" t="str">
        <f>'36. Generic chemical products'!B43</f>
        <v>Sodium carbonate (Na2CO3)</v>
      </c>
      <c r="C140" s="68">
        <f>'36. Generic chemical products'!C43</f>
        <v>0.02</v>
      </c>
      <c r="D140" s="68" t="str">
        <f>'36. Generic chemical products'!D43</f>
        <v>kg</v>
      </c>
      <c r="E140" s="68" t="str">
        <f>'36. Generic chemical products'!E43</f>
        <v>MSDS</v>
      </c>
      <c r="F140" s="68">
        <f>'36. Generic chemical products'!F43</f>
        <v>0</v>
      </c>
      <c r="G140" s="68" t="str">
        <f>'36. Generic chemical products'!G43</f>
        <v>-</v>
      </c>
      <c r="H140" s="68">
        <f>'36. Generic chemical products'!H43</f>
        <v>0</v>
      </c>
      <c r="I140" s="68">
        <f>'36. Generic chemical products'!I43</f>
        <v>0</v>
      </c>
      <c r="J140" s="68">
        <f>'36. Generic chemical products'!J43</f>
        <v>0</v>
      </c>
      <c r="K140" s="68" t="str">
        <f>'36. Generic chemical products'!K43</f>
        <v>Worst case - mist carries substance</v>
      </c>
      <c r="L140" s="68">
        <f>'36. Generic chemical products'!L43</f>
        <v>0</v>
      </c>
      <c r="M140" s="68" t="str">
        <f>'36. Generic chemical products'!M43</f>
        <v>Sodium carbonate (Na2CO3)</v>
      </c>
      <c r="N140" s="68" t="str">
        <f>'36. Generic chemical products'!N43</f>
        <v>river</v>
      </c>
      <c r="O140" s="68">
        <f>'36. Generic chemical products'!O43</f>
        <v>2E-3</v>
      </c>
      <c r="P140" s="68" t="str">
        <f>'36. Generic chemical products'!P43</f>
        <v>kg</v>
      </c>
      <c r="Q140" s="68">
        <f>'36. Generic chemical products'!Q43</f>
        <v>0</v>
      </c>
      <c r="R140" s="68">
        <f>'36. Generic chemical products'!R43</f>
        <v>0</v>
      </c>
      <c r="S140" s="68">
        <f>'36. Generic chemical products'!S43</f>
        <v>0</v>
      </c>
      <c r="T140" s="68" t="str">
        <f>'36. Generic chemical products'!T43</f>
        <v>497-19-8</v>
      </c>
      <c r="U140" s="68">
        <f>'36. Generic chemical products'!U43</f>
        <v>0</v>
      </c>
      <c r="V140" s="68">
        <f>'36. Generic chemical products'!V43</f>
        <v>0</v>
      </c>
      <c r="W140" s="68">
        <f>'36. Generic chemical products'!W43</f>
        <v>0</v>
      </c>
      <c r="X140" s="68">
        <f>'36. Generic chemical products'!X43</f>
        <v>0</v>
      </c>
      <c r="Y140" s="68">
        <f>'36. Generic chemical products'!Y43</f>
        <v>31</v>
      </c>
      <c r="Z140" s="68">
        <f>'36. Generic chemical products'!Z43</f>
        <v>73.7</v>
      </c>
      <c r="AA140" s="68" t="str">
        <f>'36. Generic chemical products'!AA43</f>
        <v>COSMEDE</v>
      </c>
      <c r="AB140" s="300">
        <f>$C$33*I140</f>
        <v>0</v>
      </c>
      <c r="AC140" s="301">
        <f>$C$48*O140</f>
        <v>1.0000000000000001E-5</v>
      </c>
      <c r="AD140" s="302">
        <f t="shared" si="29"/>
        <v>0</v>
      </c>
      <c r="AE140" s="302">
        <f t="shared" si="17"/>
        <v>0</v>
      </c>
      <c r="AF140" s="303">
        <f t="shared" si="18"/>
        <v>7.3700000000000013E-4</v>
      </c>
      <c r="AG140" s="303">
        <f t="shared" si="19"/>
        <v>0</v>
      </c>
      <c r="AH140" s="303">
        <f t="shared" si="20"/>
        <v>0</v>
      </c>
      <c r="AI140" s="303">
        <f t="shared" si="21"/>
        <v>0</v>
      </c>
      <c r="AJ140" s="303">
        <f t="shared" si="22"/>
        <v>0</v>
      </c>
      <c r="AK140" s="303">
        <f t="shared" si="23"/>
        <v>0</v>
      </c>
      <c r="AL140" s="303">
        <f t="shared" si="24"/>
        <v>7.3700000000000013E-4</v>
      </c>
      <c r="AM140" s="304">
        <f t="shared" si="25"/>
        <v>0</v>
      </c>
      <c r="AN140" s="305">
        <f t="shared" si="26"/>
        <v>0</v>
      </c>
      <c r="AO140" s="306">
        <f t="shared" si="27"/>
        <v>7.3700000000000013E-4</v>
      </c>
    </row>
    <row r="141" spans="1:41" s="139" customFormat="1" ht="15" customHeight="1" x14ac:dyDescent="0.2">
      <c r="A141" s="193" t="str">
        <f>'36. Generic chemical products'!A44</f>
        <v>Reducing agent, average</v>
      </c>
      <c r="B141" s="193" t="str">
        <f>'36. Generic chemical products'!B44</f>
        <v xml:space="preserve"> </v>
      </c>
      <c r="C141" s="193">
        <f>'36. Generic chemical products'!C44</f>
        <v>0</v>
      </c>
      <c r="D141" s="193">
        <f>'36. Generic chemical products'!D44</f>
        <v>0</v>
      </c>
      <c r="E141" s="193" t="str">
        <f>'36. Generic chemical products'!E44</f>
        <v>MSDS</v>
      </c>
      <c r="F141" s="193">
        <f>'36. Generic chemical products'!F44</f>
        <v>0</v>
      </c>
      <c r="G141" s="193" t="str">
        <f>'36. Generic chemical products'!G44</f>
        <v>-</v>
      </c>
      <c r="H141" s="193">
        <f>'36. Generic chemical products'!H44</f>
        <v>0</v>
      </c>
      <c r="I141" s="193">
        <f>'36. Generic chemical products'!I44</f>
        <v>0</v>
      </c>
      <c r="J141" s="193">
        <f>'36. Generic chemical products'!J44</f>
        <v>0</v>
      </c>
      <c r="K141" s="193" t="str">
        <f>'36. Generic chemical products'!K44</f>
        <v>Worst case - mist carries substance</v>
      </c>
      <c r="L141" s="193">
        <f>'36. Generic chemical products'!L44</f>
        <v>0</v>
      </c>
      <c r="M141" s="193" t="str">
        <f>'36. Generic chemical products'!M44</f>
        <v>Thiosulfate</v>
      </c>
      <c r="N141" s="193" t="str">
        <f>'36. Generic chemical products'!N44</f>
        <v>river</v>
      </c>
      <c r="O141" s="193">
        <f>'36. Generic chemical products'!O44</f>
        <v>9.0000000000000019E-5</v>
      </c>
      <c r="P141" s="193" t="str">
        <f>'36. Generic chemical products'!P44</f>
        <v>kg</v>
      </c>
      <c r="Q141" s="193" t="str">
        <f>'36. Generic chemical products'!Q44</f>
        <v>0.1 % of the content is degraded to common breakdown products.</v>
      </c>
      <c r="R141" s="193">
        <f>'36. Generic chemical products'!R44</f>
        <v>0</v>
      </c>
      <c r="S141" s="193">
        <f>'36. Generic chemical products'!S44</f>
        <v>0</v>
      </c>
      <c r="T141" s="193" t="str">
        <f>'36. Generic chemical products'!T44</f>
        <v>7772-98-7/10102-17-7</v>
      </c>
      <c r="U141" s="193">
        <f>'36. Generic chemical products'!U44</f>
        <v>0</v>
      </c>
      <c r="V141" s="193">
        <f>'36. Generic chemical products'!V44</f>
        <v>0</v>
      </c>
      <c r="W141" s="193">
        <f>'36. Generic chemical products'!W44</f>
        <v>0</v>
      </c>
      <c r="X141" s="193">
        <f>'36. Generic chemical products'!X44</f>
        <v>0</v>
      </c>
      <c r="Y141" s="193">
        <f>'36. Generic chemical products'!Y44</f>
        <v>13</v>
      </c>
      <c r="Z141" s="193">
        <f>'36. Generic chemical products'!Z44</f>
        <v>31.7</v>
      </c>
      <c r="AA141" s="193" t="str">
        <f>'36. Generic chemical products'!AA44</f>
        <v>COSMEDE</v>
      </c>
      <c r="AB141" s="307">
        <f>$C$33*I141</f>
        <v>0</v>
      </c>
      <c r="AC141" s="308">
        <f>$C$48*O141</f>
        <v>4.5000000000000009E-7</v>
      </c>
      <c r="AD141" s="309">
        <f t="shared" si="29"/>
        <v>0</v>
      </c>
      <c r="AE141" s="309">
        <f t="shared" si="17"/>
        <v>0</v>
      </c>
      <c r="AF141" s="310">
        <f t="shared" si="18"/>
        <v>1.4265000000000003E-5</v>
      </c>
      <c r="AG141" s="310">
        <f t="shared" si="19"/>
        <v>0</v>
      </c>
      <c r="AH141" s="310">
        <f t="shared" si="20"/>
        <v>0</v>
      </c>
      <c r="AI141" s="310">
        <f t="shared" si="21"/>
        <v>0</v>
      </c>
      <c r="AJ141" s="310">
        <f t="shared" si="22"/>
        <v>0</v>
      </c>
      <c r="AK141" s="310">
        <f t="shared" si="23"/>
        <v>0</v>
      </c>
      <c r="AL141" s="310">
        <f t="shared" si="24"/>
        <v>1.4265000000000003E-5</v>
      </c>
      <c r="AM141" s="311">
        <f t="shared" si="25"/>
        <v>0</v>
      </c>
      <c r="AN141" s="312">
        <f t="shared" si="26"/>
        <v>0</v>
      </c>
      <c r="AO141" s="313">
        <f t="shared" si="27"/>
        <v>1.4265000000000003E-5</v>
      </c>
    </row>
    <row r="142" spans="1:41" s="195" customFormat="1" ht="15" customHeight="1" x14ac:dyDescent="0.2">
      <c r="A142" s="194" t="str">
        <f>'36. Generic chemical products'!A45</f>
        <v>Soda (CaCO3), average</v>
      </c>
      <c r="B142" s="194" t="str">
        <f>'36. Generic chemical products'!B45</f>
        <v>Calcium carbonate</v>
      </c>
      <c r="C142" s="194">
        <f>'36. Generic chemical products'!C45</f>
        <v>1</v>
      </c>
      <c r="D142" s="194" t="str">
        <f>'36. Generic chemical products'!D45</f>
        <v>kg</v>
      </c>
      <c r="E142" s="194">
        <f>'36. Generic chemical products'!E45</f>
        <v>1</v>
      </c>
      <c r="F142" s="194">
        <f>'36. Generic chemical products'!F45</f>
        <v>0</v>
      </c>
      <c r="G142" s="194" t="str">
        <f>'36. Generic chemical products'!G45</f>
        <v>-</v>
      </c>
      <c r="H142" s="194">
        <f>'36. Generic chemical products'!H45</f>
        <v>0</v>
      </c>
      <c r="I142" s="194">
        <f>'36. Generic chemical products'!I45</f>
        <v>0</v>
      </c>
      <c r="J142" s="194">
        <f>'36. Generic chemical products'!J45</f>
        <v>0</v>
      </c>
      <c r="K142" s="194">
        <f>'36. Generic chemical products'!K45</f>
        <v>0</v>
      </c>
      <c r="L142" s="194">
        <f>'36. Generic chemical products'!L45</f>
        <v>0</v>
      </c>
      <c r="M142" s="194" t="str">
        <f>'36. Generic chemical products'!M45</f>
        <v>Calcium carbonate</v>
      </c>
      <c r="N142" s="194" t="str">
        <f>'36. Generic chemical products'!N45</f>
        <v>river</v>
      </c>
      <c r="O142" s="194">
        <f>'36. Generic chemical products'!O45</f>
        <v>0.1</v>
      </c>
      <c r="P142" s="194" t="str">
        <f>'36. Generic chemical products'!P45</f>
        <v>kg</v>
      </c>
      <c r="Q142" s="194">
        <f>'36. Generic chemical products'!Q45</f>
        <v>0</v>
      </c>
      <c r="R142" s="194">
        <f>'36. Generic chemical products'!R45</f>
        <v>0</v>
      </c>
      <c r="S142" s="194">
        <f>'36. Generic chemical products'!S45</f>
        <v>0</v>
      </c>
      <c r="T142" s="194" t="str">
        <f>'36. Generic chemical products'!T45</f>
        <v>471-34-1</v>
      </c>
      <c r="U142" s="194">
        <f>'36. Generic chemical products'!U45</f>
        <v>0</v>
      </c>
      <c r="V142" s="194">
        <f>'36. Generic chemical products'!V45</f>
        <v>0</v>
      </c>
      <c r="W142" s="194">
        <f>'36. Generic chemical products'!W45</f>
        <v>0</v>
      </c>
      <c r="X142" s="194">
        <f>'36. Generic chemical products'!X45</f>
        <v>0</v>
      </c>
      <c r="Y142" s="194">
        <f>'36. Generic chemical products'!Y45</f>
        <v>22</v>
      </c>
      <c r="Z142" s="194">
        <f>'36. Generic chemical products'!Z45</f>
        <v>51.7</v>
      </c>
      <c r="AA142" s="194" t="str">
        <f>'36. Generic chemical products'!AA45</f>
        <v>COSMEDE</v>
      </c>
      <c r="AB142" s="327">
        <f>$C$34*I142</f>
        <v>0</v>
      </c>
      <c r="AC142" s="328">
        <f>$C$49*O142</f>
        <v>2E-3</v>
      </c>
      <c r="AD142" s="329">
        <f t="shared" si="29"/>
        <v>0</v>
      </c>
      <c r="AE142" s="329">
        <f t="shared" si="17"/>
        <v>0</v>
      </c>
      <c r="AF142" s="330">
        <f t="shared" si="18"/>
        <v>0.10340000000000001</v>
      </c>
      <c r="AG142" s="330">
        <f t="shared" si="19"/>
        <v>0</v>
      </c>
      <c r="AH142" s="330">
        <f t="shared" si="20"/>
        <v>0</v>
      </c>
      <c r="AI142" s="330">
        <f t="shared" si="21"/>
        <v>0</v>
      </c>
      <c r="AJ142" s="330">
        <f t="shared" si="22"/>
        <v>0</v>
      </c>
      <c r="AK142" s="330">
        <f t="shared" si="23"/>
        <v>0</v>
      </c>
      <c r="AL142" s="330">
        <f t="shared" si="24"/>
        <v>0.10340000000000001</v>
      </c>
      <c r="AM142" s="331">
        <f t="shared" si="25"/>
        <v>0</v>
      </c>
      <c r="AN142" s="332">
        <f t="shared" si="26"/>
        <v>0</v>
      </c>
      <c r="AO142" s="333">
        <f t="shared" si="27"/>
        <v>0.10340000000000001</v>
      </c>
    </row>
    <row r="143" spans="1:41" s="51" customFormat="1" ht="15" customHeight="1" x14ac:dyDescent="0.2">
      <c r="A143" s="68" t="str">
        <f>'36. Generic chemical products'!A5</f>
        <v>Detergent, average (Ultravon EL)</v>
      </c>
      <c r="B143" s="68" t="str">
        <f>'36. Generic chemical products'!B5</f>
        <v>Polyacrylic acid, sodium salt</v>
      </c>
      <c r="C143" s="68">
        <f>'36. Generic chemical products'!C5</f>
        <v>0.1</v>
      </c>
      <c r="D143" s="68" t="str">
        <f>'36. Generic chemical products'!D5</f>
        <v>kg</v>
      </c>
      <c r="E143" s="68" t="str">
        <f>'36. Generic chemical products'!E5</f>
        <v>MSDS</v>
      </c>
      <c r="F143" s="68">
        <f>'36. Generic chemical products'!F5</f>
        <v>0</v>
      </c>
      <c r="G143" s="68" t="str">
        <f>'36. Generic chemical products'!G5</f>
        <v>-</v>
      </c>
      <c r="H143" s="68">
        <f>'36. Generic chemical products'!H5</f>
        <v>0</v>
      </c>
      <c r="I143" s="68">
        <f>'36. Generic chemical products'!I5</f>
        <v>0</v>
      </c>
      <c r="J143" s="68">
        <f>'36. Generic chemical products'!J5</f>
        <v>0</v>
      </c>
      <c r="K143" s="68">
        <f>'36. Generic chemical products'!K5</f>
        <v>0</v>
      </c>
      <c r="L143" s="68">
        <f>'36. Generic chemical products'!L5</f>
        <v>0</v>
      </c>
      <c r="M143" s="68" t="str">
        <f>'36. Generic chemical products'!M5</f>
        <v>Polyacrylic acid, sodium salt</v>
      </c>
      <c r="N143" s="68" t="str">
        <f>'36. Generic chemical products'!N5</f>
        <v>river</v>
      </c>
      <c r="O143" s="68">
        <f>'36. Generic chemical products'!O5</f>
        <v>9.9000000000000008E-3</v>
      </c>
      <c r="P143" s="68" t="str">
        <f>'36. Generic chemical products'!P5</f>
        <v>kg</v>
      </c>
      <c r="Q143" s="68" t="str">
        <f>'36. Generic chemical products'!Q5</f>
        <v>1% of polymer content remains as monomers from the production process.</v>
      </c>
      <c r="R143" s="68">
        <f>'36. Generic chemical products'!R5</f>
        <v>0</v>
      </c>
      <c r="S143" s="68">
        <f>'36. Generic chemical products'!S5</f>
        <v>0</v>
      </c>
      <c r="T143" s="68" t="str">
        <f>'36. Generic chemical products'!T5</f>
        <v>9003-04-7</v>
      </c>
      <c r="U143" s="68">
        <f>'36. Generic chemical products'!U5</f>
        <v>0</v>
      </c>
      <c r="V143" s="68">
        <f>'36. Generic chemical products'!V5</f>
        <v>0</v>
      </c>
      <c r="W143" s="68">
        <f>'36. Generic chemical products'!W5</f>
        <v>0</v>
      </c>
      <c r="X143" s="68">
        <f>'36. Generic chemical products'!X5</f>
        <v>0</v>
      </c>
      <c r="Y143" s="68">
        <f>'36. Generic chemical products'!Y5</f>
        <v>7.06</v>
      </c>
      <c r="Z143" s="68">
        <f>'36. Generic chemical products'!Z5</f>
        <v>78.599999999999994</v>
      </c>
      <c r="AA143" s="68" t="str">
        <f>'36. Generic chemical products'!AA5</f>
        <v>COSMEDE</v>
      </c>
      <c r="AB143" s="300">
        <f t="shared" ref="AB143:AB148" si="30">$C$35*I143</f>
        <v>0</v>
      </c>
      <c r="AC143" s="301">
        <f t="shared" ref="AC143:AC148" si="31">$C$50*O143</f>
        <v>1.9800000000000002E-4</v>
      </c>
      <c r="AD143" s="302">
        <f t="shared" si="29"/>
        <v>0</v>
      </c>
      <c r="AE143" s="302">
        <f t="shared" si="17"/>
        <v>0</v>
      </c>
      <c r="AF143" s="303">
        <f t="shared" si="18"/>
        <v>1.55628E-2</v>
      </c>
      <c r="AG143" s="303">
        <f t="shared" si="19"/>
        <v>0</v>
      </c>
      <c r="AH143" s="303">
        <f t="shared" si="20"/>
        <v>0</v>
      </c>
      <c r="AI143" s="303">
        <f t="shared" si="21"/>
        <v>0</v>
      </c>
      <c r="AJ143" s="303">
        <f t="shared" si="22"/>
        <v>0</v>
      </c>
      <c r="AK143" s="303">
        <f t="shared" si="23"/>
        <v>0</v>
      </c>
      <c r="AL143" s="303">
        <f t="shared" si="24"/>
        <v>1.55628E-2</v>
      </c>
      <c r="AM143" s="304">
        <f t="shared" si="25"/>
        <v>0</v>
      </c>
      <c r="AN143" s="305">
        <f t="shared" si="26"/>
        <v>0</v>
      </c>
      <c r="AO143" s="306">
        <f t="shared" si="27"/>
        <v>1.55628E-2</v>
      </c>
    </row>
    <row r="144" spans="1:41" s="51" customFormat="1" ht="15" customHeight="1" x14ac:dyDescent="0.2">
      <c r="A144" s="68" t="str">
        <f>'36. Generic chemical products'!A6</f>
        <v>Detergent, average (Ultravon EL)</v>
      </c>
      <c r="B144" s="68" t="str">
        <f>'36. Generic chemical products'!B6</f>
        <v>Oxirane, methyl-, polymer with oxirane, decyl ether</v>
      </c>
      <c r="C144" s="68">
        <f>'36. Generic chemical products'!C6</f>
        <v>0.25</v>
      </c>
      <c r="D144" s="68" t="str">
        <f>'36. Generic chemical products'!D6</f>
        <v>kg</v>
      </c>
      <c r="E144" s="68" t="str">
        <f>'36. Generic chemical products'!E6</f>
        <v>MSDS</v>
      </c>
      <c r="F144" s="68">
        <f>'36. Generic chemical products'!F6</f>
        <v>0</v>
      </c>
      <c r="G144" s="68" t="str">
        <f>'36. Generic chemical products'!G6</f>
        <v>-</v>
      </c>
      <c r="H144" s="68">
        <f>'36. Generic chemical products'!H6</f>
        <v>0</v>
      </c>
      <c r="I144" s="68">
        <f>'36. Generic chemical products'!I6</f>
        <v>0</v>
      </c>
      <c r="J144" s="68">
        <f>'36. Generic chemical products'!J6</f>
        <v>0</v>
      </c>
      <c r="K144" s="68">
        <f>'36. Generic chemical products'!K6</f>
        <v>0</v>
      </c>
      <c r="L144" s="68">
        <f>'36. Generic chemical products'!L6</f>
        <v>0</v>
      </c>
      <c r="M144" s="68" t="str">
        <f>'36. Generic chemical products'!M6</f>
        <v>Oxirane, methyl-, polymer with oxirane, decyl ether</v>
      </c>
      <c r="N144" s="68" t="str">
        <f>'36. Generic chemical products'!N6</f>
        <v>river</v>
      </c>
      <c r="O144" s="68">
        <f>'36. Generic chemical products'!O6</f>
        <v>2.5000000000000001E-2</v>
      </c>
      <c r="P144" s="68" t="str">
        <f>'36. Generic chemical products'!P6</f>
        <v>kg</v>
      </c>
      <c r="Q144" s="68">
        <f>'36. Generic chemical products'!Q6</f>
        <v>0</v>
      </c>
      <c r="R144" s="68">
        <f>'36. Generic chemical products'!R6</f>
        <v>0</v>
      </c>
      <c r="S144" s="68">
        <f>'36. Generic chemical products'!S6</f>
        <v>0</v>
      </c>
      <c r="T144" s="68" t="str">
        <f>'36. Generic chemical products'!T6</f>
        <v>37251-67-5</v>
      </c>
      <c r="U144" s="68">
        <f>'36. Generic chemical products'!U6</f>
        <v>0</v>
      </c>
      <c r="V144" s="68">
        <f>'36. Generic chemical products'!V6</f>
        <v>1.2009414857886904E-7</v>
      </c>
      <c r="W144" s="68">
        <f>'36. Generic chemical products'!W6</f>
        <v>0</v>
      </c>
      <c r="X144" s="68">
        <f>'36. Generic chemical products'!X6</f>
        <v>3.2843909509658706E-7</v>
      </c>
      <c r="Y144" s="68">
        <f>'36. Generic chemical products'!Y6</f>
        <v>14.526941022240393</v>
      </c>
      <c r="Z144" s="68">
        <f>'36. Generic chemical products'!Z6</f>
        <v>111.251141519207</v>
      </c>
      <c r="AA144" s="68" t="str">
        <f>'36. Generic chemical products'!AA6</f>
        <v>Roos 2017</v>
      </c>
      <c r="AB144" s="300">
        <f t="shared" si="30"/>
        <v>0</v>
      </c>
      <c r="AC144" s="301">
        <f t="shared" si="31"/>
        <v>5.0000000000000001E-4</v>
      </c>
      <c r="AD144" s="302">
        <f t="shared" si="29"/>
        <v>0</v>
      </c>
      <c r="AE144" s="302">
        <f t="shared" si="17"/>
        <v>1.6421954754829352E-10</v>
      </c>
      <c r="AF144" s="303">
        <f t="shared" si="18"/>
        <v>5.5625570759603497E-2</v>
      </c>
      <c r="AG144" s="303">
        <f t="shared" si="19"/>
        <v>0</v>
      </c>
      <c r="AH144" s="303">
        <f t="shared" si="20"/>
        <v>0</v>
      </c>
      <c r="AI144" s="303">
        <f t="shared" si="21"/>
        <v>0</v>
      </c>
      <c r="AJ144" s="303">
        <f t="shared" si="22"/>
        <v>0</v>
      </c>
      <c r="AK144" s="303">
        <f t="shared" si="23"/>
        <v>1.6421954754829352E-10</v>
      </c>
      <c r="AL144" s="303">
        <f t="shared" si="24"/>
        <v>5.5625570759603497E-2</v>
      </c>
      <c r="AM144" s="304">
        <f t="shared" si="25"/>
        <v>0</v>
      </c>
      <c r="AN144" s="305">
        <f t="shared" si="26"/>
        <v>1.6421954754829352E-10</v>
      </c>
      <c r="AO144" s="306">
        <f t="shared" si="27"/>
        <v>5.5625570759603497E-2</v>
      </c>
    </row>
    <row r="145" spans="1:41" s="51" customFormat="1" ht="15" customHeight="1" x14ac:dyDescent="0.2">
      <c r="A145" s="68" t="str">
        <f>'36. Generic chemical products'!A7</f>
        <v>Detergent, average (Ultravon EL)</v>
      </c>
      <c r="B145" s="68" t="str">
        <f>'36. Generic chemical products'!B7</f>
        <v>Ethoxylated fatty alcohol (&gt;6 EO)</v>
      </c>
      <c r="C145" s="68">
        <f>'36. Generic chemical products'!C7</f>
        <v>0.1</v>
      </c>
      <c r="D145" s="68" t="str">
        <f>'36. Generic chemical products'!D7</f>
        <v>kg</v>
      </c>
      <c r="E145" s="68" t="str">
        <f>'36. Generic chemical products'!E7</f>
        <v>MSDS</v>
      </c>
      <c r="F145" s="68">
        <f>'36. Generic chemical products'!F7</f>
        <v>0</v>
      </c>
      <c r="G145" s="68" t="str">
        <f>'36. Generic chemical products'!G7</f>
        <v>-</v>
      </c>
      <c r="H145" s="68">
        <f>'36. Generic chemical products'!H7</f>
        <v>0</v>
      </c>
      <c r="I145" s="68">
        <f>'36. Generic chemical products'!I7</f>
        <v>0</v>
      </c>
      <c r="J145" s="68">
        <f>'36. Generic chemical products'!J7</f>
        <v>0</v>
      </c>
      <c r="K145" s="68">
        <f>'36. Generic chemical products'!K7</f>
        <v>0</v>
      </c>
      <c r="L145" s="68">
        <f>'36. Generic chemical products'!L7</f>
        <v>0</v>
      </c>
      <c r="M145" s="68" t="str">
        <f>'36. Generic chemical products'!M7</f>
        <v>Alcohols, c12-14, ethoxylated</v>
      </c>
      <c r="N145" s="68" t="str">
        <f>'36. Generic chemical products'!N7</f>
        <v>river</v>
      </c>
      <c r="O145" s="68">
        <f>'36. Generic chemical products'!O7</f>
        <v>1.0000000000000002E-2</v>
      </c>
      <c r="P145" s="68" t="str">
        <f>'36. Generic chemical products'!P7</f>
        <v>kg</v>
      </c>
      <c r="Q145" s="68">
        <f>'36. Generic chemical products'!Q7</f>
        <v>0</v>
      </c>
      <c r="R145" s="68">
        <f>'36. Generic chemical products'!R7</f>
        <v>0</v>
      </c>
      <c r="S145" s="68">
        <f>'36. Generic chemical products'!S7</f>
        <v>0</v>
      </c>
      <c r="T145" s="68" t="str">
        <f>'36. Generic chemical products'!T7</f>
        <v>69011-36-5</v>
      </c>
      <c r="U145" s="68">
        <f>'36. Generic chemical products'!U7</f>
        <v>0</v>
      </c>
      <c r="V145" s="68">
        <f>'36. Generic chemical products'!V7</f>
        <v>0</v>
      </c>
      <c r="W145" s="68">
        <f>'36. Generic chemical products'!W7</f>
        <v>0</v>
      </c>
      <c r="X145" s="68">
        <f>'36. Generic chemical products'!X7</f>
        <v>0</v>
      </c>
      <c r="Y145" s="68">
        <f>'36. Generic chemical products'!Y7</f>
        <v>47</v>
      </c>
      <c r="Z145" s="68">
        <f>'36. Generic chemical products'!Z7</f>
        <v>913</v>
      </c>
      <c r="AA145" s="68" t="str">
        <f>'36. Generic chemical products'!AA7</f>
        <v>COSMEDE</v>
      </c>
      <c r="AB145" s="300">
        <f t="shared" si="30"/>
        <v>0</v>
      </c>
      <c r="AC145" s="301">
        <f t="shared" si="31"/>
        <v>2.0000000000000004E-4</v>
      </c>
      <c r="AD145" s="302">
        <f t="shared" si="29"/>
        <v>0</v>
      </c>
      <c r="AE145" s="302">
        <f t="shared" si="17"/>
        <v>0</v>
      </c>
      <c r="AF145" s="303">
        <f t="shared" si="18"/>
        <v>0.18260000000000004</v>
      </c>
      <c r="AG145" s="303">
        <f t="shared" si="19"/>
        <v>0</v>
      </c>
      <c r="AH145" s="303">
        <f t="shared" si="20"/>
        <v>0</v>
      </c>
      <c r="AI145" s="303">
        <f t="shared" si="21"/>
        <v>0</v>
      </c>
      <c r="AJ145" s="303">
        <f t="shared" si="22"/>
        <v>0</v>
      </c>
      <c r="AK145" s="303">
        <f t="shared" si="23"/>
        <v>0</v>
      </c>
      <c r="AL145" s="303">
        <f t="shared" si="24"/>
        <v>0.18260000000000004</v>
      </c>
      <c r="AM145" s="304">
        <f t="shared" si="25"/>
        <v>0</v>
      </c>
      <c r="AN145" s="305">
        <f t="shared" si="26"/>
        <v>0</v>
      </c>
      <c r="AO145" s="306">
        <f t="shared" si="27"/>
        <v>0.18260000000000004</v>
      </c>
    </row>
    <row r="146" spans="1:41" s="51" customFormat="1" ht="15" customHeight="1" x14ac:dyDescent="0.2">
      <c r="A146" s="68" t="str">
        <f>'36. Generic chemical products'!A8</f>
        <v>Detergent, average (Ultravon EL)</v>
      </c>
      <c r="B146" s="68" t="str">
        <f>'36. Generic chemical products'!B8</f>
        <v>Sodium mono(2-ethylhexyl)estersulfate</v>
      </c>
      <c r="C146" s="68">
        <f>'36. Generic chemical products'!C8</f>
        <v>0.05</v>
      </c>
      <c r="D146" s="68" t="str">
        <f>'36. Generic chemical products'!D8</f>
        <v>kg</v>
      </c>
      <c r="E146" s="68" t="str">
        <f>'36. Generic chemical products'!E8</f>
        <v>MSDS</v>
      </c>
      <c r="F146" s="68">
        <f>'36. Generic chemical products'!F8</f>
        <v>0</v>
      </c>
      <c r="G146" s="68" t="str">
        <f>'36. Generic chemical products'!G8</f>
        <v>-</v>
      </c>
      <c r="H146" s="68">
        <f>'36. Generic chemical products'!H8</f>
        <v>0</v>
      </c>
      <c r="I146" s="68">
        <f>'36. Generic chemical products'!I8</f>
        <v>0</v>
      </c>
      <c r="J146" s="68">
        <f>'36. Generic chemical products'!J8</f>
        <v>0</v>
      </c>
      <c r="K146" s="68">
        <f>'36. Generic chemical products'!K8</f>
        <v>0</v>
      </c>
      <c r="L146" s="68">
        <f>'36. Generic chemical products'!L8</f>
        <v>0</v>
      </c>
      <c r="M146" s="68" t="str">
        <f>'36. Generic chemical products'!M8</f>
        <v>Sodium mono(2-ethylhexyl)estersulfate</v>
      </c>
      <c r="N146" s="68" t="str">
        <f>'36. Generic chemical products'!N8</f>
        <v>river</v>
      </c>
      <c r="O146" s="68">
        <f>'36. Generic chemical products'!O8</f>
        <v>5.000000000000001E-3</v>
      </c>
      <c r="P146" s="68" t="str">
        <f>'36. Generic chemical products'!P8</f>
        <v>kg</v>
      </c>
      <c r="Q146" s="68">
        <f>'36. Generic chemical products'!Q8</f>
        <v>0</v>
      </c>
      <c r="R146" s="68">
        <f>'36. Generic chemical products'!R8</f>
        <v>0</v>
      </c>
      <c r="S146" s="68">
        <f>'36. Generic chemical products'!S8</f>
        <v>0</v>
      </c>
      <c r="T146" s="68" t="str">
        <f>'36. Generic chemical products'!T8</f>
        <v>126-92-1</v>
      </c>
      <c r="U146" s="68">
        <f>'36. Generic chemical products'!U8</f>
        <v>0</v>
      </c>
      <c r="V146" s="68">
        <f>'36. Generic chemical products'!V8</f>
        <v>0</v>
      </c>
      <c r="W146" s="68">
        <f>'36. Generic chemical products'!W8</f>
        <v>0</v>
      </c>
      <c r="X146" s="68">
        <f>'36. Generic chemical products'!X8</f>
        <v>0</v>
      </c>
      <c r="Y146" s="68">
        <f>'36. Generic chemical products'!Y8</f>
        <v>109.72</v>
      </c>
      <c r="Z146" s="68">
        <f>'36. Generic chemical products'!Z8</f>
        <v>110</v>
      </c>
      <c r="AA146" s="68" t="str">
        <f>'36. Generic chemical products'!AA8</f>
        <v>COSMEDE</v>
      </c>
      <c r="AB146" s="300">
        <f t="shared" si="30"/>
        <v>0</v>
      </c>
      <c r="AC146" s="301">
        <f t="shared" si="31"/>
        <v>1.0000000000000002E-4</v>
      </c>
      <c r="AD146" s="302">
        <f t="shared" si="29"/>
        <v>0</v>
      </c>
      <c r="AE146" s="302">
        <f t="shared" si="17"/>
        <v>0</v>
      </c>
      <c r="AF146" s="303">
        <f t="shared" si="18"/>
        <v>1.1000000000000003E-2</v>
      </c>
      <c r="AG146" s="303">
        <f t="shared" si="19"/>
        <v>0</v>
      </c>
      <c r="AH146" s="303">
        <f t="shared" si="20"/>
        <v>0</v>
      </c>
      <c r="AI146" s="303">
        <f t="shared" si="21"/>
        <v>0</v>
      </c>
      <c r="AJ146" s="303">
        <f t="shared" si="22"/>
        <v>0</v>
      </c>
      <c r="AK146" s="303">
        <f t="shared" si="23"/>
        <v>0</v>
      </c>
      <c r="AL146" s="303">
        <f t="shared" si="24"/>
        <v>1.1000000000000003E-2</v>
      </c>
      <c r="AM146" s="304">
        <f t="shared" si="25"/>
        <v>0</v>
      </c>
      <c r="AN146" s="305">
        <f t="shared" si="26"/>
        <v>0</v>
      </c>
      <c r="AO146" s="306">
        <f t="shared" si="27"/>
        <v>1.1000000000000003E-2</v>
      </c>
    </row>
    <row r="147" spans="1:41" s="51" customFormat="1" ht="15" customHeight="1" x14ac:dyDescent="0.2">
      <c r="A147" s="68" t="str">
        <f>'36. Generic chemical products'!A9</f>
        <v>Detergent, average (Ultravon EL)</v>
      </c>
      <c r="B147" s="68" t="str">
        <f>'36. Generic chemical products'!B9</f>
        <v>Ethylene oxide</v>
      </c>
      <c r="C147" s="68">
        <f>'36. Generic chemical products'!C9</f>
        <v>0</v>
      </c>
      <c r="D147" s="68">
        <f>'36. Generic chemical products'!D9</f>
        <v>0</v>
      </c>
      <c r="E147" s="68" t="str">
        <f>'36. Generic chemical products'!E9</f>
        <v>&lt;= 0.1% in alcohol ethoxylates</v>
      </c>
      <c r="F147" s="68">
        <f>'36. Generic chemical products'!F9</f>
        <v>0</v>
      </c>
      <c r="G147" s="68" t="str">
        <f>'36. Generic chemical products'!G9</f>
        <v>Ethylene oxide</v>
      </c>
      <c r="H147" s="68" t="str">
        <f>'36. Generic chemical products'!H9</f>
        <v>high. pop.</v>
      </c>
      <c r="I147" s="68">
        <f>'36. Generic chemical products'!I9</f>
        <v>1.0000000000000001E-7</v>
      </c>
      <c r="J147" s="68" t="str">
        <f>'36. Generic chemical products'!J9</f>
        <v>kg</v>
      </c>
      <c r="K147" s="68">
        <f>'36. Generic chemical products'!K9</f>
        <v>0</v>
      </c>
      <c r="L147" s="68">
        <f>'36. Generic chemical products'!L9</f>
        <v>0</v>
      </c>
      <c r="M147" s="68" t="str">
        <f>'36. Generic chemical products'!M9</f>
        <v>Ethylene oxide</v>
      </c>
      <c r="N147" s="68" t="str">
        <f>'36. Generic chemical products'!N9</f>
        <v>river</v>
      </c>
      <c r="O147" s="68">
        <f>'36. Generic chemical products'!O9</f>
        <v>1.0000000000000001E-5</v>
      </c>
      <c r="P147" s="68" t="str">
        <f>'36. Generic chemical products'!P9</f>
        <v>kg</v>
      </c>
      <c r="Q147" s="68" t="str">
        <f>'36. Generic chemical products'!Q9</f>
        <v>&lt;= 0.001 in alcohol ethoxylates</v>
      </c>
      <c r="R147" s="68">
        <f>'36. Generic chemical products'!R9</f>
        <v>0</v>
      </c>
      <c r="S147" s="68">
        <f>'36. Generic chemical products'!S9</f>
        <v>0</v>
      </c>
      <c r="T147" s="68" t="str">
        <f>'36. Generic chemical products'!T9</f>
        <v>75-21-8</v>
      </c>
      <c r="U147" s="68">
        <f>'36. Generic chemical products'!U9</f>
        <v>1.0252176328593382E-6</v>
      </c>
      <c r="V147" s="68">
        <f>'36. Generic chemical products'!V9</f>
        <v>0</v>
      </c>
      <c r="W147" s="68">
        <f>'36. Generic chemical products'!W9</f>
        <v>8.6533271568247147E-7</v>
      </c>
      <c r="X147" s="68">
        <f>'36. Generic chemical products'!X9</f>
        <v>0</v>
      </c>
      <c r="Y147" s="68">
        <f>'36. Generic chemical products'!Y9</f>
        <v>0.65406517859613422</v>
      </c>
      <c r="Z147" s="68">
        <f>'36. Generic chemical products'!Z9</f>
        <v>11.248588270889815</v>
      </c>
      <c r="AA147" s="68" t="str">
        <f>'36. Generic chemical products'!AA9</f>
        <v>USEtox</v>
      </c>
      <c r="AB147" s="300">
        <f t="shared" si="30"/>
        <v>2.0000000000000001E-9</v>
      </c>
      <c r="AC147" s="301">
        <f t="shared" si="31"/>
        <v>2.0000000000000002E-7</v>
      </c>
      <c r="AD147" s="302">
        <f t="shared" si="29"/>
        <v>1.7511697840221298E-13</v>
      </c>
      <c r="AE147" s="302">
        <f t="shared" si="17"/>
        <v>0</v>
      </c>
      <c r="AF147" s="303">
        <f t="shared" si="18"/>
        <v>2.2510257845351559E-6</v>
      </c>
      <c r="AG147" s="303">
        <f t="shared" si="19"/>
        <v>2.0504352657186766E-15</v>
      </c>
      <c r="AH147" s="303">
        <f t="shared" si="20"/>
        <v>0</v>
      </c>
      <c r="AI147" s="303">
        <f t="shared" si="21"/>
        <v>1.3081303571922684E-9</v>
      </c>
      <c r="AJ147" s="303">
        <f t="shared" si="22"/>
        <v>1.730665431364943E-13</v>
      </c>
      <c r="AK147" s="303">
        <f t="shared" si="23"/>
        <v>0</v>
      </c>
      <c r="AL147" s="303">
        <f t="shared" si="24"/>
        <v>2.2497176541779634E-6</v>
      </c>
      <c r="AM147" s="304">
        <f t="shared" si="25"/>
        <v>1.7511697840221298E-13</v>
      </c>
      <c r="AN147" s="305">
        <f t="shared" si="26"/>
        <v>0</v>
      </c>
      <c r="AO147" s="306">
        <f t="shared" si="27"/>
        <v>2.2510257845351559E-6</v>
      </c>
    </row>
    <row r="148" spans="1:41" s="139" customFormat="1" ht="15" customHeight="1" x14ac:dyDescent="0.2">
      <c r="A148" s="193" t="str">
        <f>'36. Generic chemical products'!A10</f>
        <v>Detergent, average (Ultravon EL)</v>
      </c>
      <c r="B148" s="193" t="str">
        <f>'36. Generic chemical products'!B10</f>
        <v xml:space="preserve"> </v>
      </c>
      <c r="C148" s="193">
        <f>'36. Generic chemical products'!C10</f>
        <v>0</v>
      </c>
      <c r="D148" s="193">
        <f>'36. Generic chemical products'!D10</f>
        <v>0</v>
      </c>
      <c r="E148" s="193" t="str">
        <f>'36. Generic chemical products'!E10</f>
        <v>Common breakdown product of of acrylics, 0.001 % assumed</v>
      </c>
      <c r="F148" s="193">
        <f>'36. Generic chemical products'!F10</f>
        <v>0</v>
      </c>
      <c r="G148" s="193" t="str">
        <f>'36. Generic chemical products'!G10</f>
        <v>Formaldehyde</v>
      </c>
      <c r="H148" s="193" t="str">
        <f>'36. Generic chemical products'!H10</f>
        <v>high. pop.</v>
      </c>
      <c r="I148" s="193">
        <f>'36. Generic chemical products'!I10</f>
        <v>1.0000000000000001E-7</v>
      </c>
      <c r="J148" s="193" t="str">
        <f>'36. Generic chemical products'!J10</f>
        <v>kg</v>
      </c>
      <c r="K148" s="193">
        <f>'36. Generic chemical products'!K10</f>
        <v>0</v>
      </c>
      <c r="L148" s="193">
        <f>'36. Generic chemical products'!L10</f>
        <v>0</v>
      </c>
      <c r="M148" s="193" t="str">
        <f>'36. Generic chemical products'!M10</f>
        <v>Formaldehyde</v>
      </c>
      <c r="N148" s="193" t="str">
        <f>'36. Generic chemical products'!N10</f>
        <v>river</v>
      </c>
      <c r="O148" s="193">
        <f>'36. Generic chemical products'!O10</f>
        <v>1.0000000000000002E-6</v>
      </c>
      <c r="P148" s="193" t="str">
        <f>'36. Generic chemical products'!P10</f>
        <v>kg</v>
      </c>
      <c r="Q148" s="193" t="str">
        <f>'36. Generic chemical products'!Q10</f>
        <v xml:space="preserve">0.1 % of the content is degraded to common breakdown products. 90% of reactive chemicals are degraded during operations. </v>
      </c>
      <c r="R148" s="193">
        <f>'36. Generic chemical products'!R10</f>
        <v>0</v>
      </c>
      <c r="S148" s="193">
        <f>'36. Generic chemical products'!S10</f>
        <v>0</v>
      </c>
      <c r="T148" s="193" t="str">
        <f>'36. Generic chemical products'!T10</f>
        <v>50-00-0</v>
      </c>
      <c r="U148" s="193">
        <f>'36. Generic chemical products'!U10</f>
        <v>2.5208446330720887E-5</v>
      </c>
      <c r="V148" s="193">
        <f>'36. Generic chemical products'!V10</f>
        <v>2.6504960021309262E-7</v>
      </c>
      <c r="W148" s="193">
        <f>'36. Generic chemical products'!W10</f>
        <v>1.4222228897488039E-7</v>
      </c>
      <c r="X148" s="193">
        <f>'36. Generic chemical products'!X10</f>
        <v>3.170874313501273E-7</v>
      </c>
      <c r="Y148" s="193">
        <f>'36. Generic chemical products'!Y10</f>
        <v>17.989178582912412</v>
      </c>
      <c r="Z148" s="193">
        <f>'36. Generic chemical products'!Z10</f>
        <v>290.05086067463066</v>
      </c>
      <c r="AA148" s="193" t="str">
        <f>'36. Generic chemical products'!AA10</f>
        <v>USEtox</v>
      </c>
      <c r="AB148" s="307">
        <f t="shared" si="30"/>
        <v>2.0000000000000001E-9</v>
      </c>
      <c r="AC148" s="308">
        <f t="shared" si="31"/>
        <v>2.0000000000000004E-8</v>
      </c>
      <c r="AD148" s="309">
        <f t="shared" si="29"/>
        <v>5.3261338440939386E-14</v>
      </c>
      <c r="AE148" s="309">
        <f t="shared" si="17"/>
        <v>6.8718478274287326E-15</v>
      </c>
      <c r="AF148" s="310">
        <f t="shared" si="18"/>
        <v>5.8369955706584394E-6</v>
      </c>
      <c r="AG148" s="310">
        <f t="shared" si="19"/>
        <v>5.0416892661441775E-14</v>
      </c>
      <c r="AH148" s="310">
        <f t="shared" si="20"/>
        <v>5.3009920042618528E-16</v>
      </c>
      <c r="AI148" s="310">
        <f t="shared" si="21"/>
        <v>3.5978357165824829E-8</v>
      </c>
      <c r="AJ148" s="310">
        <f t="shared" si="22"/>
        <v>2.8444457794976083E-15</v>
      </c>
      <c r="AK148" s="310">
        <f t="shared" si="23"/>
        <v>6.3417486270025475E-15</v>
      </c>
      <c r="AL148" s="310">
        <f t="shared" si="24"/>
        <v>5.8010172134926146E-6</v>
      </c>
      <c r="AM148" s="311">
        <f t="shared" si="25"/>
        <v>5.3261338440939386E-14</v>
      </c>
      <c r="AN148" s="312">
        <f t="shared" si="26"/>
        <v>6.8718478274287326E-15</v>
      </c>
      <c r="AO148" s="313">
        <f t="shared" si="27"/>
        <v>5.8369955706584394E-6</v>
      </c>
    </row>
    <row r="149" spans="1:41" s="409" customFormat="1" ht="15" customHeight="1" x14ac:dyDescent="0.2">
      <c r="A149" s="408" t="str">
        <f>'36. Generic chemical products'!A20</f>
        <v>Softener, average (Sapamine SFC)</v>
      </c>
      <c r="B149" s="408" t="str">
        <f>'36. Generic chemical products'!B20</f>
        <v>Octadecanoic acid</v>
      </c>
      <c r="C149" s="408">
        <f>'36. Generic chemical products'!C20</f>
        <v>0.2</v>
      </c>
      <c r="D149" s="408" t="str">
        <f>'36. Generic chemical products'!D20</f>
        <v>kg</v>
      </c>
      <c r="E149" s="408" t="str">
        <f>'36. Generic chemical products'!E20</f>
        <v>MSDS</v>
      </c>
      <c r="F149" s="408">
        <f>'36. Generic chemical products'!F20</f>
        <v>0</v>
      </c>
      <c r="G149" s="408" t="str">
        <f>'36. Generic chemical products'!G20</f>
        <v>-</v>
      </c>
      <c r="H149" s="408">
        <f>'36. Generic chemical products'!H20</f>
        <v>0</v>
      </c>
      <c r="I149" s="408">
        <f>'36. Generic chemical products'!I20</f>
        <v>0</v>
      </c>
      <c r="J149" s="408">
        <f>'36. Generic chemical products'!J20</f>
        <v>0</v>
      </c>
      <c r="K149" s="408">
        <f>'36. Generic chemical products'!K20</f>
        <v>0</v>
      </c>
      <c r="L149" s="408">
        <f>'36. Generic chemical products'!L20</f>
        <v>0</v>
      </c>
      <c r="M149" s="408" t="str">
        <f>'36. Generic chemical products'!M20</f>
        <v>Octadecanoic acid</v>
      </c>
      <c r="N149" s="408" t="str">
        <f>'36. Generic chemical products'!N20</f>
        <v>river</v>
      </c>
      <c r="O149" s="408">
        <f>'36. Generic chemical products'!O20</f>
        <v>1.0000000000000002E-3</v>
      </c>
      <c r="P149" s="408" t="str">
        <f>'36. Generic chemical products'!P20</f>
        <v>kg</v>
      </c>
      <c r="Q149" s="408" t="str">
        <f>'36. Generic chemical products'!Q20</f>
        <v>95% on fabric</v>
      </c>
      <c r="R149" s="408">
        <f>'36. Generic chemical products'!R20</f>
        <v>0</v>
      </c>
      <c r="S149" s="408">
        <f>'36. Generic chemical products'!S20</f>
        <v>0</v>
      </c>
      <c r="T149" s="408" t="str">
        <f>'36. Generic chemical products'!T20</f>
        <v>57-11-4</v>
      </c>
      <c r="U149" s="408">
        <f>'36. Generic chemical products'!U20</f>
        <v>0</v>
      </c>
      <c r="V149" s="408">
        <f>'36. Generic chemical products'!V20</f>
        <v>0</v>
      </c>
      <c r="W149" s="408">
        <f>'36. Generic chemical products'!W20</f>
        <v>0</v>
      </c>
      <c r="X149" s="408">
        <f>'36. Generic chemical products'!X20</f>
        <v>0</v>
      </c>
      <c r="Y149" s="408">
        <f>'36. Generic chemical products'!Y20</f>
        <v>9.2999999999999999E-2</v>
      </c>
      <c r="Z149" s="408">
        <f>'36. Generic chemical products'!Z20</f>
        <v>33.799999999999997</v>
      </c>
      <c r="AA149" s="408" t="str">
        <f>'36. Generic chemical products'!AA20</f>
        <v>COSMEDE</v>
      </c>
      <c r="AB149" s="410">
        <f>$C$36*I149</f>
        <v>0</v>
      </c>
      <c r="AC149" s="411">
        <f>$C$51*O149</f>
        <v>2.0000000000000006E-4</v>
      </c>
      <c r="AD149" s="412">
        <f t="shared" si="29"/>
        <v>0</v>
      </c>
      <c r="AE149" s="412">
        <f t="shared" si="17"/>
        <v>0</v>
      </c>
      <c r="AF149" s="413">
        <f t="shared" si="18"/>
        <v>6.7600000000000013E-3</v>
      </c>
      <c r="AG149" s="413">
        <f t="shared" si="19"/>
        <v>0</v>
      </c>
      <c r="AH149" s="413">
        <f t="shared" si="20"/>
        <v>0</v>
      </c>
      <c r="AI149" s="413">
        <f t="shared" si="21"/>
        <v>0</v>
      </c>
      <c r="AJ149" s="413">
        <f t="shared" si="22"/>
        <v>0</v>
      </c>
      <c r="AK149" s="413">
        <f t="shared" si="23"/>
        <v>0</v>
      </c>
      <c r="AL149" s="413">
        <f t="shared" si="24"/>
        <v>6.7600000000000013E-3</v>
      </c>
      <c r="AM149" s="414">
        <f t="shared" si="25"/>
        <v>0</v>
      </c>
      <c r="AN149" s="415">
        <f t="shared" si="26"/>
        <v>0</v>
      </c>
      <c r="AO149" s="416">
        <f t="shared" si="27"/>
        <v>6.7600000000000013E-3</v>
      </c>
    </row>
    <row r="150" spans="1:41" s="139" customFormat="1" ht="15" customHeight="1" x14ac:dyDescent="0.2">
      <c r="A150" s="136" t="str">
        <f>'36. Generic chemical products'!A21</f>
        <v>Softener, average (Sapamine SFC)</v>
      </c>
      <c r="B150" s="136" t="str">
        <f>'36. Generic chemical products'!B21</f>
        <v>Diethanolamine</v>
      </c>
      <c r="C150" s="136">
        <f>'36. Generic chemical products'!C21</f>
        <v>0.03</v>
      </c>
      <c r="D150" s="136" t="str">
        <f>'36. Generic chemical products'!D21</f>
        <v>kg</v>
      </c>
      <c r="E150" s="136" t="str">
        <f>'36. Generic chemical products'!E21</f>
        <v>MSDS</v>
      </c>
      <c r="F150" s="136">
        <f>'36. Generic chemical products'!F21</f>
        <v>0</v>
      </c>
      <c r="G150" s="136" t="str">
        <f>'36. Generic chemical products'!G21</f>
        <v>-</v>
      </c>
      <c r="H150" s="136">
        <f>'36. Generic chemical products'!H21</f>
        <v>0</v>
      </c>
      <c r="I150" s="136">
        <f>'36. Generic chemical products'!I21</f>
        <v>0</v>
      </c>
      <c r="J150" s="136">
        <f>'36. Generic chemical products'!J21</f>
        <v>0</v>
      </c>
      <c r="K150" s="136">
        <f>'36. Generic chemical products'!K21</f>
        <v>0</v>
      </c>
      <c r="L150" s="136">
        <f>'36. Generic chemical products'!L21</f>
        <v>0</v>
      </c>
      <c r="M150" s="136" t="str">
        <f>'36. Generic chemical products'!M21</f>
        <v>Diethanolamine</v>
      </c>
      <c r="N150" s="136" t="str">
        <f>'36. Generic chemical products'!N21</f>
        <v>river</v>
      </c>
      <c r="O150" s="136">
        <f>'36. Generic chemical products'!O21</f>
        <v>1.5000000000000001E-4</v>
      </c>
      <c r="P150" s="136" t="str">
        <f>'36. Generic chemical products'!P21</f>
        <v>kg</v>
      </c>
      <c r="Q150" s="136" t="str">
        <f>'36. Generic chemical products'!Q21</f>
        <v>95% on fabric</v>
      </c>
      <c r="R150" s="136">
        <f>'36. Generic chemical products'!R21</f>
        <v>0</v>
      </c>
      <c r="S150" s="136">
        <f>'36. Generic chemical products'!S21</f>
        <v>0</v>
      </c>
      <c r="T150" s="136" t="str">
        <f>'36. Generic chemical products'!T21</f>
        <v>111-42-2</v>
      </c>
      <c r="U150" s="136">
        <f>'36. Generic chemical products'!U21</f>
        <v>0</v>
      </c>
      <c r="V150" s="136">
        <f>'36. Generic chemical products'!V21</f>
        <v>0</v>
      </c>
      <c r="W150" s="136">
        <f>'36. Generic chemical products'!W21</f>
        <v>0</v>
      </c>
      <c r="X150" s="136">
        <f>'36. Generic chemical products'!X21</f>
        <v>0</v>
      </c>
      <c r="Y150" s="136">
        <f>'36. Generic chemical products'!Y21</f>
        <v>0.92690099117499369</v>
      </c>
      <c r="Z150" s="136">
        <f>'36. Generic chemical products'!Z21</f>
        <v>47.139947928233759</v>
      </c>
      <c r="AA150" s="136" t="str">
        <f>'36. Generic chemical products'!AA21</f>
        <v>USEtox</v>
      </c>
      <c r="AB150" s="307">
        <f>$C$36*I150</f>
        <v>0</v>
      </c>
      <c r="AC150" s="308">
        <f>$C$51*O150</f>
        <v>3.0000000000000004E-5</v>
      </c>
      <c r="AD150" s="309">
        <f t="shared" si="29"/>
        <v>0</v>
      </c>
      <c r="AE150" s="309">
        <f t="shared" si="17"/>
        <v>0</v>
      </c>
      <c r="AF150" s="310">
        <f t="shared" si="18"/>
        <v>1.414198437847013E-3</v>
      </c>
      <c r="AG150" s="310">
        <f t="shared" si="19"/>
        <v>0</v>
      </c>
      <c r="AH150" s="310">
        <f t="shared" si="20"/>
        <v>0</v>
      </c>
      <c r="AI150" s="310">
        <f t="shared" si="21"/>
        <v>0</v>
      </c>
      <c r="AJ150" s="310">
        <f t="shared" si="22"/>
        <v>0</v>
      </c>
      <c r="AK150" s="310">
        <f t="shared" si="23"/>
        <v>0</v>
      </c>
      <c r="AL150" s="310">
        <f t="shared" si="24"/>
        <v>1.414198437847013E-3</v>
      </c>
      <c r="AM150" s="311">
        <f t="shared" si="25"/>
        <v>0</v>
      </c>
      <c r="AN150" s="312">
        <f t="shared" si="26"/>
        <v>0</v>
      </c>
      <c r="AO150" s="313">
        <f t="shared" si="27"/>
        <v>1.414198437847013E-3</v>
      </c>
    </row>
    <row r="151" spans="1:41" s="51" customFormat="1" ht="15" customHeight="1" x14ac:dyDescent="0.2">
      <c r="A151" s="244"/>
      <c r="B151" s="54"/>
      <c r="C151" s="74"/>
      <c r="E151" s="64"/>
      <c r="H151" s="69"/>
      <c r="M151" s="69"/>
      <c r="P151" s="54"/>
      <c r="Q151" s="115"/>
      <c r="R151" s="115"/>
      <c r="S151" s="115"/>
      <c r="T151" s="115"/>
      <c r="U151" s="115"/>
      <c r="V151" s="115"/>
      <c r="W151" s="115"/>
      <c r="X151" s="283"/>
      <c r="Y151" s="314"/>
      <c r="Z151" s="315"/>
      <c r="AA151" s="315"/>
      <c r="AB151" s="283"/>
      <c r="AC151" s="283"/>
      <c r="AD151" s="177">
        <f>SUM(AD113:AD150)</f>
        <v>4.8283303849041155E-11</v>
      </c>
      <c r="AE151" s="177">
        <f>SUM(AE113:AE150)</f>
        <v>1.1356401837381551E-9</v>
      </c>
      <c r="AF151" s="177">
        <f>SUM(AF113:AF150)</f>
        <v>15.475805255717507</v>
      </c>
      <c r="AG151" s="177">
        <f t="shared" ref="AG151" si="32">SUM(AG113:AG150)</f>
        <v>1.4024979991331542E-11</v>
      </c>
      <c r="AH151" s="177">
        <f>SUM(AH113:AH150)</f>
        <v>2.407676200530829E-11</v>
      </c>
      <c r="AI151" s="177">
        <f>SUM(AI113:AI150)</f>
        <v>0.119264794403295</v>
      </c>
      <c r="AJ151" s="177">
        <f t="shared" ref="AJ151" si="33">SUM(AJ113:AJ150)</f>
        <v>2.727382402701027E-10</v>
      </c>
      <c r="AK151" s="177">
        <f>SUM(AK113:AK150)</f>
        <v>1.111563421732847E-9</v>
      </c>
      <c r="AL151" s="177">
        <f>SUM(AL113:AL150)</f>
        <v>15.356540461314214</v>
      </c>
      <c r="AO151" s="313">
        <f>AI151+AL151</f>
        <v>15.475805255717509</v>
      </c>
    </row>
    <row r="154" spans="1:41" s="293" customFormat="1" x14ac:dyDescent="0.2">
      <c r="A154" s="17"/>
      <c r="B154" s="17"/>
    </row>
    <row r="155" spans="1:41" s="293" customFormat="1" x14ac:dyDescent="0.2">
      <c r="A155" s="17" t="s">
        <v>1038</v>
      </c>
      <c r="U155" s="197" t="s">
        <v>550</v>
      </c>
      <c r="V155" s="198" t="s">
        <v>551</v>
      </c>
      <c r="W155" s="198" t="s">
        <v>550</v>
      </c>
      <c r="X155" s="198" t="s">
        <v>551</v>
      </c>
      <c r="Y155" s="199" t="s">
        <v>552</v>
      </c>
      <c r="Z155" s="294"/>
      <c r="AA155" s="295"/>
      <c r="AB155" s="17" t="s">
        <v>105</v>
      </c>
      <c r="AC155" s="17"/>
      <c r="AD155" s="148" t="s">
        <v>549</v>
      </c>
      <c r="AE155" s="149"/>
      <c r="AF155" s="149"/>
      <c r="AG155" s="149" t="s">
        <v>548</v>
      </c>
      <c r="AH155" s="149"/>
      <c r="AI155" s="149"/>
      <c r="AJ155" s="149" t="s">
        <v>547</v>
      </c>
      <c r="AK155" s="149"/>
      <c r="AL155" s="149"/>
      <c r="AM155" s="296" t="s">
        <v>553</v>
      </c>
      <c r="AN155" s="294"/>
      <c r="AO155" s="295"/>
    </row>
    <row r="156" spans="1:41" s="139" customFormat="1" ht="15" customHeight="1" x14ac:dyDescent="0.2">
      <c r="A156" s="57" t="s">
        <v>58</v>
      </c>
      <c r="B156" s="55" t="s">
        <v>289</v>
      </c>
      <c r="C156" s="56" t="s">
        <v>100</v>
      </c>
      <c r="D156" s="56" t="s">
        <v>11</v>
      </c>
      <c r="E156" s="63" t="s">
        <v>291</v>
      </c>
      <c r="F156" s="63"/>
      <c r="G156" s="66" t="s">
        <v>292</v>
      </c>
      <c r="H156" s="66" t="s">
        <v>8</v>
      </c>
      <c r="I156" s="66" t="s">
        <v>217</v>
      </c>
      <c r="J156" s="66" t="s">
        <v>11</v>
      </c>
      <c r="K156" s="66" t="s">
        <v>291</v>
      </c>
      <c r="L156" s="63"/>
      <c r="M156" s="67" t="s">
        <v>293</v>
      </c>
      <c r="N156" s="67" t="s">
        <v>8</v>
      </c>
      <c r="O156" s="67" t="s">
        <v>217</v>
      </c>
      <c r="P156" s="67" t="s">
        <v>11</v>
      </c>
      <c r="Q156" s="67" t="s">
        <v>291</v>
      </c>
      <c r="R156" s="67"/>
      <c r="S156" s="63"/>
      <c r="T156" s="297" t="s">
        <v>275</v>
      </c>
      <c r="U156" s="126" t="s">
        <v>530</v>
      </c>
      <c r="V156" s="114" t="s">
        <v>531</v>
      </c>
      <c r="W156" s="114" t="s">
        <v>532</v>
      </c>
      <c r="X156" s="114" t="s">
        <v>533</v>
      </c>
      <c r="Y156" s="114" t="s">
        <v>534</v>
      </c>
      <c r="Z156" s="114" t="s">
        <v>535</v>
      </c>
      <c r="AA156" s="131" t="s">
        <v>536</v>
      </c>
      <c r="AB156" s="22" t="s">
        <v>545</v>
      </c>
      <c r="AC156" s="23" t="s">
        <v>546</v>
      </c>
      <c r="AD156" s="148" t="s">
        <v>31</v>
      </c>
      <c r="AE156" s="149" t="s">
        <v>32</v>
      </c>
      <c r="AF156" s="150" t="s">
        <v>33</v>
      </c>
      <c r="AG156" s="148" t="s">
        <v>31</v>
      </c>
      <c r="AH156" s="149" t="s">
        <v>32</v>
      </c>
      <c r="AI156" s="150" t="s">
        <v>33</v>
      </c>
      <c r="AJ156" s="148" t="s">
        <v>31</v>
      </c>
      <c r="AK156" s="149" t="s">
        <v>32</v>
      </c>
      <c r="AL156" s="149" t="s">
        <v>33</v>
      </c>
      <c r="AM156" s="298"/>
      <c r="AN156" s="136"/>
      <c r="AO156" s="299"/>
    </row>
    <row r="157" spans="1:41" s="51" customFormat="1" ht="15" customHeight="1" x14ac:dyDescent="0.2">
      <c r="A157" s="68" t="str">
        <f>'36. Generic chemical products'!A5</f>
        <v>Detergent, average (Ultravon EL)</v>
      </c>
      <c r="B157" s="68" t="str">
        <f>'36. Generic chemical products'!B5</f>
        <v>Polyacrylic acid, sodium salt</v>
      </c>
      <c r="C157" s="68">
        <f>'36. Generic chemical products'!C5</f>
        <v>0.1</v>
      </c>
      <c r="D157" s="68" t="str">
        <f>'36. Generic chemical products'!D5</f>
        <v>kg</v>
      </c>
      <c r="E157" s="68" t="str">
        <f>'36. Generic chemical products'!E5</f>
        <v>MSDS</v>
      </c>
      <c r="F157" s="68">
        <f>'36. Generic chemical products'!F5</f>
        <v>0</v>
      </c>
      <c r="G157" s="68" t="str">
        <f>'36. Generic chemical products'!G5</f>
        <v>-</v>
      </c>
      <c r="H157" s="68">
        <f>'36. Generic chemical products'!H5</f>
        <v>0</v>
      </c>
      <c r="I157" s="68">
        <f>'36. Generic chemical products'!I5</f>
        <v>0</v>
      </c>
      <c r="J157" s="68">
        <f>'36. Generic chemical products'!J5</f>
        <v>0</v>
      </c>
      <c r="K157" s="68">
        <f>'36. Generic chemical products'!K5</f>
        <v>0</v>
      </c>
      <c r="L157" s="68">
        <f>'36. Generic chemical products'!L5</f>
        <v>0</v>
      </c>
      <c r="M157" s="68" t="str">
        <f>'36. Generic chemical products'!M5</f>
        <v>Polyacrylic acid, sodium salt</v>
      </c>
      <c r="N157" s="68" t="str">
        <f>'36. Generic chemical products'!N5</f>
        <v>river</v>
      </c>
      <c r="O157" s="68">
        <f>'36. Generic chemical products'!O5</f>
        <v>9.9000000000000008E-3</v>
      </c>
      <c r="P157" s="68" t="str">
        <f>'36. Generic chemical products'!P5</f>
        <v>kg</v>
      </c>
      <c r="Q157" s="68" t="str">
        <f>'36. Generic chemical products'!Q5</f>
        <v>1% of polymer content remains as monomers from the production process.</v>
      </c>
      <c r="R157" s="68">
        <f>'36. Generic chemical products'!R5</f>
        <v>0</v>
      </c>
      <c r="S157" s="68">
        <f>'36. Generic chemical products'!S5</f>
        <v>0</v>
      </c>
      <c r="T157" s="68" t="str">
        <f>'36. Generic chemical products'!T5</f>
        <v>9003-04-7</v>
      </c>
      <c r="U157" s="68">
        <f>'36. Generic chemical products'!U5</f>
        <v>0</v>
      </c>
      <c r="V157" s="68">
        <f>'36. Generic chemical products'!V5</f>
        <v>0</v>
      </c>
      <c r="W157" s="68">
        <f>'36. Generic chemical products'!W5</f>
        <v>0</v>
      </c>
      <c r="X157" s="68">
        <f>'36. Generic chemical products'!X5</f>
        <v>0</v>
      </c>
      <c r="Y157" s="68">
        <f>'36. Generic chemical products'!Y5</f>
        <v>7.06</v>
      </c>
      <c r="Z157" s="68">
        <f>'36. Generic chemical products'!Z5</f>
        <v>78.599999999999994</v>
      </c>
      <c r="AA157" s="68" t="str">
        <f>'36. Generic chemical products'!AA5</f>
        <v>COSMEDE</v>
      </c>
      <c r="AB157" s="300">
        <f t="shared" ref="AB157:AB162" si="34">$C$22*I157</f>
        <v>0</v>
      </c>
      <c r="AC157" s="301">
        <f t="shared" ref="AC157:AC162" si="35">$C$37*O157</f>
        <v>7.4250000000000021E-4</v>
      </c>
      <c r="AD157" s="302">
        <f>AB157*U157+AC157*W157</f>
        <v>0</v>
      </c>
      <c r="AE157" s="302">
        <f t="shared" ref="AE157:AE193" si="36">AB157*V157+AC157*X157</f>
        <v>0</v>
      </c>
      <c r="AF157" s="303">
        <f t="shared" ref="AF157:AF193" si="37">AB157*Y157+AC157*Z157</f>
        <v>5.836050000000001E-2</v>
      </c>
      <c r="AG157" s="303">
        <f t="shared" ref="AG157:AG193" si="38">AB157*U157</f>
        <v>0</v>
      </c>
      <c r="AH157" s="303">
        <f t="shared" ref="AH157:AH193" si="39">AB157*V157</f>
        <v>0</v>
      </c>
      <c r="AI157" s="303">
        <f t="shared" ref="AI157:AI193" si="40">AB157*Y157</f>
        <v>0</v>
      </c>
      <c r="AJ157" s="303">
        <f t="shared" ref="AJ157:AJ193" si="41">AC157*W157</f>
        <v>0</v>
      </c>
      <c r="AK157" s="303">
        <f t="shared" ref="AK157:AK193" si="42">AC157*X157</f>
        <v>0</v>
      </c>
      <c r="AL157" s="303">
        <f t="shared" ref="AL157:AL193" si="43">AC157*Z157</f>
        <v>5.836050000000001E-2</v>
      </c>
      <c r="AM157" s="304">
        <f t="shared" ref="AM157:AM193" si="44">AG157+AJ157</f>
        <v>0</v>
      </c>
      <c r="AN157" s="305">
        <f t="shared" ref="AN157:AN193" si="45">AH157+AK157</f>
        <v>0</v>
      </c>
      <c r="AO157" s="306">
        <f t="shared" ref="AO157:AO193" si="46">AI157+AL157</f>
        <v>5.836050000000001E-2</v>
      </c>
    </row>
    <row r="158" spans="1:41" s="51" customFormat="1" ht="15" customHeight="1" x14ac:dyDescent="0.2">
      <c r="A158" s="68" t="str">
        <f>'36. Generic chemical products'!A6</f>
        <v>Detergent, average (Ultravon EL)</v>
      </c>
      <c r="B158" s="68" t="str">
        <f>'36. Generic chemical products'!B6</f>
        <v>Oxirane, methyl-, polymer with oxirane, decyl ether</v>
      </c>
      <c r="C158" s="68">
        <f>'36. Generic chemical products'!C6</f>
        <v>0.25</v>
      </c>
      <c r="D158" s="68" t="str">
        <f>'36. Generic chemical products'!D6</f>
        <v>kg</v>
      </c>
      <c r="E158" s="68" t="str">
        <f>'36. Generic chemical products'!E6</f>
        <v>MSDS</v>
      </c>
      <c r="F158" s="68">
        <f>'36. Generic chemical products'!F6</f>
        <v>0</v>
      </c>
      <c r="G158" s="68" t="str">
        <f>'36. Generic chemical products'!G6</f>
        <v>-</v>
      </c>
      <c r="H158" s="68">
        <f>'36. Generic chemical products'!H6</f>
        <v>0</v>
      </c>
      <c r="I158" s="68">
        <f>'36. Generic chemical products'!I6</f>
        <v>0</v>
      </c>
      <c r="J158" s="68">
        <f>'36. Generic chemical products'!J6</f>
        <v>0</v>
      </c>
      <c r="K158" s="68">
        <f>'36. Generic chemical products'!K6</f>
        <v>0</v>
      </c>
      <c r="L158" s="68">
        <f>'36. Generic chemical products'!L6</f>
        <v>0</v>
      </c>
      <c r="M158" s="68" t="str">
        <f>'36. Generic chemical products'!M6</f>
        <v>Oxirane, methyl-, polymer with oxirane, decyl ether</v>
      </c>
      <c r="N158" s="68" t="str">
        <f>'36. Generic chemical products'!N6</f>
        <v>river</v>
      </c>
      <c r="O158" s="68">
        <f>'36. Generic chemical products'!O6</f>
        <v>2.5000000000000001E-2</v>
      </c>
      <c r="P158" s="68" t="str">
        <f>'36. Generic chemical products'!P6</f>
        <v>kg</v>
      </c>
      <c r="Q158" s="68">
        <f>'36. Generic chemical products'!Q6</f>
        <v>0</v>
      </c>
      <c r="R158" s="68">
        <f>'36. Generic chemical products'!R6</f>
        <v>0</v>
      </c>
      <c r="S158" s="68">
        <f>'36. Generic chemical products'!S6</f>
        <v>0</v>
      </c>
      <c r="T158" s="68" t="str">
        <f>'36. Generic chemical products'!T6</f>
        <v>37251-67-5</v>
      </c>
      <c r="U158" s="68">
        <f>'36. Generic chemical products'!U6</f>
        <v>0</v>
      </c>
      <c r="V158" s="68">
        <f>'36. Generic chemical products'!V6</f>
        <v>1.2009414857886904E-7</v>
      </c>
      <c r="W158" s="68">
        <f>'36. Generic chemical products'!W6</f>
        <v>0</v>
      </c>
      <c r="X158" s="68">
        <f>'36. Generic chemical products'!X6</f>
        <v>3.2843909509658706E-7</v>
      </c>
      <c r="Y158" s="68">
        <f>'36. Generic chemical products'!Y6</f>
        <v>14.526941022240393</v>
      </c>
      <c r="Z158" s="68">
        <f>'36. Generic chemical products'!Z6</f>
        <v>111.251141519207</v>
      </c>
      <c r="AA158" s="68" t="str">
        <f>'36. Generic chemical products'!AA6</f>
        <v>Roos 2017</v>
      </c>
      <c r="AB158" s="300">
        <f t="shared" si="34"/>
        <v>0</v>
      </c>
      <c r="AC158" s="301">
        <f t="shared" si="35"/>
        <v>1.8750000000000004E-3</v>
      </c>
      <c r="AD158" s="302">
        <f t="shared" ref="AD158:AD193" si="47">AB158*U158+AC158*W158</f>
        <v>0</v>
      </c>
      <c r="AE158" s="302">
        <f t="shared" si="36"/>
        <v>6.1582330330610087E-10</v>
      </c>
      <c r="AF158" s="303">
        <f t="shared" si="37"/>
        <v>0.20859589034851317</v>
      </c>
      <c r="AG158" s="303">
        <f t="shared" si="38"/>
        <v>0</v>
      </c>
      <c r="AH158" s="303">
        <f t="shared" si="39"/>
        <v>0</v>
      </c>
      <c r="AI158" s="303">
        <f t="shared" si="40"/>
        <v>0</v>
      </c>
      <c r="AJ158" s="303">
        <f t="shared" si="41"/>
        <v>0</v>
      </c>
      <c r="AK158" s="303">
        <f t="shared" si="42"/>
        <v>6.1582330330610087E-10</v>
      </c>
      <c r="AL158" s="303">
        <f t="shared" si="43"/>
        <v>0.20859589034851317</v>
      </c>
      <c r="AM158" s="304">
        <f t="shared" si="44"/>
        <v>0</v>
      </c>
      <c r="AN158" s="305">
        <f t="shared" si="45"/>
        <v>6.1582330330610087E-10</v>
      </c>
      <c r="AO158" s="306">
        <f t="shared" si="46"/>
        <v>0.20859589034851317</v>
      </c>
    </row>
    <row r="159" spans="1:41" s="51" customFormat="1" ht="15" customHeight="1" x14ac:dyDescent="0.2">
      <c r="A159" s="68" t="str">
        <f>'36. Generic chemical products'!A7</f>
        <v>Detergent, average (Ultravon EL)</v>
      </c>
      <c r="B159" s="68" t="str">
        <f>'36. Generic chemical products'!B7</f>
        <v>Ethoxylated fatty alcohol (&gt;6 EO)</v>
      </c>
      <c r="C159" s="68">
        <f>'36. Generic chemical products'!C7</f>
        <v>0.1</v>
      </c>
      <c r="D159" s="68" t="str">
        <f>'36. Generic chemical products'!D7</f>
        <v>kg</v>
      </c>
      <c r="E159" s="68" t="str">
        <f>'36. Generic chemical products'!E7</f>
        <v>MSDS</v>
      </c>
      <c r="F159" s="68">
        <f>'36. Generic chemical products'!F7</f>
        <v>0</v>
      </c>
      <c r="G159" s="68" t="str">
        <f>'36. Generic chemical products'!G7</f>
        <v>-</v>
      </c>
      <c r="H159" s="68">
        <f>'36. Generic chemical products'!H7</f>
        <v>0</v>
      </c>
      <c r="I159" s="68">
        <f>'36. Generic chemical products'!I7</f>
        <v>0</v>
      </c>
      <c r="J159" s="68">
        <f>'36. Generic chemical products'!J7</f>
        <v>0</v>
      </c>
      <c r="K159" s="68">
        <f>'36. Generic chemical products'!K7</f>
        <v>0</v>
      </c>
      <c r="L159" s="68">
        <f>'36. Generic chemical products'!L7</f>
        <v>0</v>
      </c>
      <c r="M159" s="68" t="str">
        <f>'36. Generic chemical products'!M7</f>
        <v>Alcohols, c12-14, ethoxylated</v>
      </c>
      <c r="N159" s="68" t="str">
        <f>'36. Generic chemical products'!N7</f>
        <v>river</v>
      </c>
      <c r="O159" s="68">
        <f>'36. Generic chemical products'!O7</f>
        <v>1.0000000000000002E-2</v>
      </c>
      <c r="P159" s="68" t="str">
        <f>'36. Generic chemical products'!P7</f>
        <v>kg</v>
      </c>
      <c r="Q159" s="68">
        <f>'36. Generic chemical products'!Q7</f>
        <v>0</v>
      </c>
      <c r="R159" s="68">
        <f>'36. Generic chemical products'!R7</f>
        <v>0</v>
      </c>
      <c r="S159" s="68">
        <f>'36. Generic chemical products'!S7</f>
        <v>0</v>
      </c>
      <c r="T159" s="68" t="str">
        <f>'36. Generic chemical products'!T7</f>
        <v>69011-36-5</v>
      </c>
      <c r="U159" s="68">
        <f>'36. Generic chemical products'!U7</f>
        <v>0</v>
      </c>
      <c r="V159" s="68">
        <f>'36. Generic chemical products'!V7</f>
        <v>0</v>
      </c>
      <c r="W159" s="68">
        <f>'36. Generic chemical products'!W7</f>
        <v>0</v>
      </c>
      <c r="X159" s="68">
        <f>'36. Generic chemical products'!X7</f>
        <v>0</v>
      </c>
      <c r="Y159" s="68">
        <f>'36. Generic chemical products'!Y7</f>
        <v>47</v>
      </c>
      <c r="Z159" s="68">
        <f>'36. Generic chemical products'!Z7</f>
        <v>913</v>
      </c>
      <c r="AA159" s="68" t="str">
        <f>'36. Generic chemical products'!AA7</f>
        <v>COSMEDE</v>
      </c>
      <c r="AB159" s="300">
        <f t="shared" si="34"/>
        <v>0</v>
      </c>
      <c r="AC159" s="301">
        <f t="shared" si="35"/>
        <v>7.5000000000000023E-4</v>
      </c>
      <c r="AD159" s="302">
        <f t="shared" si="47"/>
        <v>0</v>
      </c>
      <c r="AE159" s="302">
        <f t="shared" si="36"/>
        <v>0</v>
      </c>
      <c r="AF159" s="303">
        <f t="shared" si="37"/>
        <v>0.68475000000000019</v>
      </c>
      <c r="AG159" s="303">
        <f t="shared" si="38"/>
        <v>0</v>
      </c>
      <c r="AH159" s="303">
        <f t="shared" si="39"/>
        <v>0</v>
      </c>
      <c r="AI159" s="303">
        <f t="shared" si="40"/>
        <v>0</v>
      </c>
      <c r="AJ159" s="303">
        <f t="shared" si="41"/>
        <v>0</v>
      </c>
      <c r="AK159" s="303">
        <f t="shared" si="42"/>
        <v>0</v>
      </c>
      <c r="AL159" s="303">
        <f t="shared" si="43"/>
        <v>0.68475000000000019</v>
      </c>
      <c r="AM159" s="304">
        <f t="shared" si="44"/>
        <v>0</v>
      </c>
      <c r="AN159" s="305">
        <f t="shared" si="45"/>
        <v>0</v>
      </c>
      <c r="AO159" s="306">
        <f t="shared" si="46"/>
        <v>0.68475000000000019</v>
      </c>
    </row>
    <row r="160" spans="1:41" s="51" customFormat="1" ht="15" customHeight="1" x14ac:dyDescent="0.2">
      <c r="A160" s="68" t="str">
        <f>'36. Generic chemical products'!A8</f>
        <v>Detergent, average (Ultravon EL)</v>
      </c>
      <c r="B160" s="68" t="str">
        <f>'36. Generic chemical products'!B8</f>
        <v>Sodium mono(2-ethylhexyl)estersulfate</v>
      </c>
      <c r="C160" s="68">
        <f>'36. Generic chemical products'!C8</f>
        <v>0.05</v>
      </c>
      <c r="D160" s="68" t="str">
        <f>'36. Generic chemical products'!D8</f>
        <v>kg</v>
      </c>
      <c r="E160" s="68" t="str">
        <f>'36. Generic chemical products'!E8</f>
        <v>MSDS</v>
      </c>
      <c r="F160" s="68">
        <f>'36. Generic chemical products'!F8</f>
        <v>0</v>
      </c>
      <c r="G160" s="68" t="str">
        <f>'36. Generic chemical products'!G8</f>
        <v>-</v>
      </c>
      <c r="H160" s="68">
        <f>'36. Generic chemical products'!H8</f>
        <v>0</v>
      </c>
      <c r="I160" s="68">
        <f>'36. Generic chemical products'!I8</f>
        <v>0</v>
      </c>
      <c r="J160" s="68">
        <f>'36. Generic chemical products'!J8</f>
        <v>0</v>
      </c>
      <c r="K160" s="68">
        <f>'36. Generic chemical products'!K8</f>
        <v>0</v>
      </c>
      <c r="L160" s="68">
        <f>'36. Generic chemical products'!L8</f>
        <v>0</v>
      </c>
      <c r="M160" s="68" t="str">
        <f>'36. Generic chemical products'!M8</f>
        <v>Sodium mono(2-ethylhexyl)estersulfate</v>
      </c>
      <c r="N160" s="68" t="str">
        <f>'36. Generic chemical products'!N8</f>
        <v>river</v>
      </c>
      <c r="O160" s="68">
        <f>'36. Generic chemical products'!O8</f>
        <v>5.000000000000001E-3</v>
      </c>
      <c r="P160" s="68" t="str">
        <f>'36. Generic chemical products'!P8</f>
        <v>kg</v>
      </c>
      <c r="Q160" s="68">
        <f>'36. Generic chemical products'!Q8</f>
        <v>0</v>
      </c>
      <c r="R160" s="68">
        <f>'36. Generic chemical products'!R8</f>
        <v>0</v>
      </c>
      <c r="S160" s="68">
        <f>'36. Generic chemical products'!S8</f>
        <v>0</v>
      </c>
      <c r="T160" s="68" t="str">
        <f>'36. Generic chemical products'!T8</f>
        <v>126-92-1</v>
      </c>
      <c r="U160" s="68">
        <f>'36. Generic chemical products'!U8</f>
        <v>0</v>
      </c>
      <c r="V160" s="68">
        <f>'36. Generic chemical products'!V8</f>
        <v>0</v>
      </c>
      <c r="W160" s="68">
        <f>'36. Generic chemical products'!W8</f>
        <v>0</v>
      </c>
      <c r="X160" s="68">
        <f>'36. Generic chemical products'!X8</f>
        <v>0</v>
      </c>
      <c r="Y160" s="68">
        <f>'36. Generic chemical products'!Y8</f>
        <v>109.72</v>
      </c>
      <c r="Z160" s="68">
        <f>'36. Generic chemical products'!Z8</f>
        <v>110</v>
      </c>
      <c r="AA160" s="68" t="str">
        <f>'36. Generic chemical products'!AA8</f>
        <v>COSMEDE</v>
      </c>
      <c r="AB160" s="300">
        <f t="shared" si="34"/>
        <v>0</v>
      </c>
      <c r="AC160" s="301">
        <f t="shared" si="35"/>
        <v>3.7500000000000012E-4</v>
      </c>
      <c r="AD160" s="302">
        <f t="shared" si="47"/>
        <v>0</v>
      </c>
      <c r="AE160" s="302">
        <f t="shared" si="36"/>
        <v>0</v>
      </c>
      <c r="AF160" s="303">
        <f t="shared" si="37"/>
        <v>4.1250000000000016E-2</v>
      </c>
      <c r="AG160" s="303">
        <f t="shared" si="38"/>
        <v>0</v>
      </c>
      <c r="AH160" s="303">
        <f t="shared" si="39"/>
        <v>0</v>
      </c>
      <c r="AI160" s="303">
        <f t="shared" si="40"/>
        <v>0</v>
      </c>
      <c r="AJ160" s="303">
        <f t="shared" si="41"/>
        <v>0</v>
      </c>
      <c r="AK160" s="303">
        <f t="shared" si="42"/>
        <v>0</v>
      </c>
      <c r="AL160" s="303">
        <f t="shared" si="43"/>
        <v>4.1250000000000016E-2</v>
      </c>
      <c r="AM160" s="304">
        <f t="shared" si="44"/>
        <v>0</v>
      </c>
      <c r="AN160" s="305">
        <f t="shared" si="45"/>
        <v>0</v>
      </c>
      <c r="AO160" s="306">
        <f t="shared" si="46"/>
        <v>4.1250000000000016E-2</v>
      </c>
    </row>
    <row r="161" spans="1:41" s="51" customFormat="1" ht="15" customHeight="1" x14ac:dyDescent="0.2">
      <c r="A161" s="68" t="str">
        <f>'36. Generic chemical products'!A9</f>
        <v>Detergent, average (Ultravon EL)</v>
      </c>
      <c r="B161" s="68" t="str">
        <f>'36. Generic chemical products'!B9</f>
        <v>Ethylene oxide</v>
      </c>
      <c r="C161" s="68">
        <f>'36. Generic chemical products'!C9</f>
        <v>0</v>
      </c>
      <c r="D161" s="68">
        <f>'36. Generic chemical products'!D9</f>
        <v>0</v>
      </c>
      <c r="E161" s="68" t="str">
        <f>'36. Generic chemical products'!E9</f>
        <v>&lt;= 0.1% in alcohol ethoxylates</v>
      </c>
      <c r="F161" s="68">
        <f>'36. Generic chemical products'!F9</f>
        <v>0</v>
      </c>
      <c r="G161" s="68" t="str">
        <f>'36. Generic chemical products'!G9</f>
        <v>Ethylene oxide</v>
      </c>
      <c r="H161" s="68" t="str">
        <f>'36. Generic chemical products'!H9</f>
        <v>high. pop.</v>
      </c>
      <c r="I161" s="68">
        <f>'36. Generic chemical products'!I9</f>
        <v>1.0000000000000001E-7</v>
      </c>
      <c r="J161" s="68" t="str">
        <f>'36. Generic chemical products'!J9</f>
        <v>kg</v>
      </c>
      <c r="K161" s="68">
        <f>'36. Generic chemical products'!K9</f>
        <v>0</v>
      </c>
      <c r="L161" s="68">
        <f>'36. Generic chemical products'!L9</f>
        <v>0</v>
      </c>
      <c r="M161" s="68" t="str">
        <f>'36. Generic chemical products'!M9</f>
        <v>Ethylene oxide</v>
      </c>
      <c r="N161" s="68" t="str">
        <f>'36. Generic chemical products'!N9</f>
        <v>river</v>
      </c>
      <c r="O161" s="68">
        <f>'36. Generic chemical products'!O9</f>
        <v>1.0000000000000001E-5</v>
      </c>
      <c r="P161" s="68" t="str">
        <f>'36. Generic chemical products'!P9</f>
        <v>kg</v>
      </c>
      <c r="Q161" s="68" t="str">
        <f>'36. Generic chemical products'!Q9</f>
        <v>&lt;= 0.001 in alcohol ethoxylates</v>
      </c>
      <c r="R161" s="68">
        <f>'36. Generic chemical products'!R9</f>
        <v>0</v>
      </c>
      <c r="S161" s="68">
        <f>'36. Generic chemical products'!S9</f>
        <v>0</v>
      </c>
      <c r="T161" s="68" t="str">
        <f>'36. Generic chemical products'!T9</f>
        <v>75-21-8</v>
      </c>
      <c r="U161" s="68">
        <f>'36. Generic chemical products'!U9</f>
        <v>1.0252176328593382E-6</v>
      </c>
      <c r="V161" s="68">
        <f>'36. Generic chemical products'!V9</f>
        <v>0</v>
      </c>
      <c r="W161" s="68">
        <f>'36. Generic chemical products'!W9</f>
        <v>8.6533271568247147E-7</v>
      </c>
      <c r="X161" s="68">
        <f>'36. Generic chemical products'!X9</f>
        <v>0</v>
      </c>
      <c r="Y161" s="68">
        <f>'36. Generic chemical products'!Y9</f>
        <v>0.65406517859613422</v>
      </c>
      <c r="Z161" s="68">
        <f>'36. Generic chemical products'!Z9</f>
        <v>11.248588270889815</v>
      </c>
      <c r="AA161" s="68" t="str">
        <f>'36. Generic chemical products'!AA9</f>
        <v>USEtox</v>
      </c>
      <c r="AB161" s="300">
        <f t="shared" si="34"/>
        <v>7.500000000000001E-9</v>
      </c>
      <c r="AC161" s="301">
        <f t="shared" si="35"/>
        <v>7.5000000000000012E-7</v>
      </c>
      <c r="AD161" s="302">
        <f t="shared" si="47"/>
        <v>6.566886690082987E-13</v>
      </c>
      <c r="AE161" s="302">
        <f t="shared" si="36"/>
        <v>0</v>
      </c>
      <c r="AF161" s="303">
        <f t="shared" si="37"/>
        <v>8.4413466920068334E-6</v>
      </c>
      <c r="AG161" s="303">
        <f t="shared" si="38"/>
        <v>7.6891322464450377E-15</v>
      </c>
      <c r="AH161" s="303">
        <f t="shared" si="39"/>
        <v>0</v>
      </c>
      <c r="AI161" s="303">
        <f t="shared" si="40"/>
        <v>4.9054888394710076E-9</v>
      </c>
      <c r="AJ161" s="303">
        <f t="shared" si="41"/>
        <v>6.4899953676185368E-13</v>
      </c>
      <c r="AK161" s="303">
        <f t="shared" si="42"/>
        <v>0</v>
      </c>
      <c r="AL161" s="303">
        <f t="shared" si="43"/>
        <v>8.4364412031673626E-6</v>
      </c>
      <c r="AM161" s="304">
        <f t="shared" si="44"/>
        <v>6.566886690082987E-13</v>
      </c>
      <c r="AN161" s="305">
        <f t="shared" si="45"/>
        <v>0</v>
      </c>
      <c r="AO161" s="306">
        <f t="shared" si="46"/>
        <v>8.4413466920068334E-6</v>
      </c>
    </row>
    <row r="162" spans="1:41" s="139" customFormat="1" ht="15" customHeight="1" x14ac:dyDescent="0.2">
      <c r="A162" s="193" t="str">
        <f>'36. Generic chemical products'!A10</f>
        <v>Detergent, average (Ultravon EL)</v>
      </c>
      <c r="B162" s="193" t="str">
        <f>'36. Generic chemical products'!B10</f>
        <v xml:space="preserve"> </v>
      </c>
      <c r="C162" s="193">
        <f>'36. Generic chemical products'!C10</f>
        <v>0</v>
      </c>
      <c r="D162" s="193">
        <f>'36. Generic chemical products'!D10</f>
        <v>0</v>
      </c>
      <c r="E162" s="193" t="str">
        <f>'36. Generic chemical products'!E10</f>
        <v>Common breakdown product of of acrylics, 0.001 % assumed</v>
      </c>
      <c r="F162" s="193">
        <f>'36. Generic chemical products'!F10</f>
        <v>0</v>
      </c>
      <c r="G162" s="193" t="str">
        <f>'36. Generic chemical products'!G10</f>
        <v>Formaldehyde</v>
      </c>
      <c r="H162" s="193" t="str">
        <f>'36. Generic chemical products'!H10</f>
        <v>high. pop.</v>
      </c>
      <c r="I162" s="193">
        <f>'36. Generic chemical products'!I10</f>
        <v>1.0000000000000001E-7</v>
      </c>
      <c r="J162" s="193" t="str">
        <f>'36. Generic chemical products'!J10</f>
        <v>kg</v>
      </c>
      <c r="K162" s="193">
        <f>'36. Generic chemical products'!K10</f>
        <v>0</v>
      </c>
      <c r="L162" s="193">
        <f>'36. Generic chemical products'!L10</f>
        <v>0</v>
      </c>
      <c r="M162" s="193" t="str">
        <f>'36. Generic chemical products'!M10</f>
        <v>Formaldehyde</v>
      </c>
      <c r="N162" s="193" t="str">
        <f>'36. Generic chemical products'!N10</f>
        <v>river</v>
      </c>
      <c r="O162" s="193">
        <f>'36. Generic chemical products'!O10</f>
        <v>1.0000000000000002E-6</v>
      </c>
      <c r="P162" s="193" t="str">
        <f>'36. Generic chemical products'!P10</f>
        <v>kg</v>
      </c>
      <c r="Q162" s="193" t="str">
        <f>'36. Generic chemical products'!Q10</f>
        <v xml:space="preserve">0.1 % of the content is degraded to common breakdown products. 90% of reactive chemicals are degraded during operations. </v>
      </c>
      <c r="R162" s="193">
        <f>'36. Generic chemical products'!R10</f>
        <v>0</v>
      </c>
      <c r="S162" s="193">
        <f>'36. Generic chemical products'!S10</f>
        <v>0</v>
      </c>
      <c r="T162" s="193" t="str">
        <f>'36. Generic chemical products'!T10</f>
        <v>50-00-0</v>
      </c>
      <c r="U162" s="193">
        <f>'36. Generic chemical products'!U10</f>
        <v>2.5208446330720887E-5</v>
      </c>
      <c r="V162" s="193">
        <f>'36. Generic chemical products'!V10</f>
        <v>2.6504960021309262E-7</v>
      </c>
      <c r="W162" s="193">
        <f>'36. Generic chemical products'!W10</f>
        <v>1.4222228897488039E-7</v>
      </c>
      <c r="X162" s="193">
        <f>'36. Generic chemical products'!X10</f>
        <v>3.170874313501273E-7</v>
      </c>
      <c r="Y162" s="193">
        <f>'36. Generic chemical products'!Y10</f>
        <v>17.989178582912412</v>
      </c>
      <c r="Z162" s="193">
        <f>'36. Generic chemical products'!Z10</f>
        <v>290.05086067463066</v>
      </c>
      <c r="AA162" s="193" t="str">
        <f>'36. Generic chemical products'!AA10</f>
        <v>USEtox</v>
      </c>
      <c r="AB162" s="307">
        <f t="shared" si="34"/>
        <v>7.500000000000001E-9</v>
      </c>
      <c r="AC162" s="308">
        <f t="shared" si="35"/>
        <v>7.5000000000000023E-8</v>
      </c>
      <c r="AD162" s="309">
        <f t="shared" si="47"/>
        <v>1.9973001915352273E-13</v>
      </c>
      <c r="AE162" s="309">
        <f t="shared" si="36"/>
        <v>2.576942935285775E-14</v>
      </c>
      <c r="AF162" s="310">
        <f t="shared" si="37"/>
        <v>2.1888733389969147E-5</v>
      </c>
      <c r="AG162" s="310">
        <f t="shared" si="38"/>
        <v>1.8906334748040669E-13</v>
      </c>
      <c r="AH162" s="310">
        <f t="shared" si="39"/>
        <v>1.9878720015981949E-15</v>
      </c>
      <c r="AI162" s="310">
        <f t="shared" si="40"/>
        <v>1.3491883937184311E-7</v>
      </c>
      <c r="AJ162" s="310">
        <f t="shared" si="41"/>
        <v>1.0666671673116034E-14</v>
      </c>
      <c r="AK162" s="310">
        <f t="shared" si="42"/>
        <v>2.3781557351259555E-14</v>
      </c>
      <c r="AL162" s="310">
        <f t="shared" si="43"/>
        <v>2.1753814550597304E-5</v>
      </c>
      <c r="AM162" s="311">
        <f t="shared" si="44"/>
        <v>1.9973001915352273E-13</v>
      </c>
      <c r="AN162" s="312">
        <f t="shared" si="45"/>
        <v>2.576942935285775E-14</v>
      </c>
      <c r="AO162" s="313">
        <f t="shared" si="46"/>
        <v>2.1888733389969147E-5</v>
      </c>
    </row>
    <row r="163" spans="1:41" s="195" customFormat="1" ht="15" customHeight="1" x14ac:dyDescent="0.2">
      <c r="A163" s="400" t="str">
        <f>'36. Generic chemical products'!A22</f>
        <v>Sequestering agent/complex binder, average (Invatex)</v>
      </c>
      <c r="B163" s="400" t="str">
        <f>'36. Generic chemical products'!B22</f>
        <v>Phosphonic acid, disodium salt</v>
      </c>
      <c r="C163" s="400">
        <f>'36. Generic chemical products'!C22</f>
        <v>0.3</v>
      </c>
      <c r="D163" s="400" t="str">
        <f>'36. Generic chemical products'!D22</f>
        <v>kg</v>
      </c>
      <c r="E163" s="400" t="str">
        <f>'36. Generic chemical products'!E22</f>
        <v>MSDS</v>
      </c>
      <c r="F163" s="400">
        <f>'36. Generic chemical products'!F22</f>
        <v>0</v>
      </c>
      <c r="G163" s="400" t="str">
        <f>'36. Generic chemical products'!G22</f>
        <v>Phosphonic acid</v>
      </c>
      <c r="H163" s="400" t="str">
        <f>'36. Generic chemical products'!H22</f>
        <v>high. pop.</v>
      </c>
      <c r="I163" s="400">
        <f>'36. Generic chemical products'!I22</f>
        <v>2.9999999999999997E-4</v>
      </c>
      <c r="J163" s="400">
        <f>'36. Generic chemical products'!J22</f>
        <v>0</v>
      </c>
      <c r="K163" s="400">
        <f>'36. Generic chemical products'!K22</f>
        <v>0</v>
      </c>
      <c r="L163" s="400">
        <f>'36. Generic chemical products'!L22</f>
        <v>0</v>
      </c>
      <c r="M163" s="400" t="str">
        <f>'36. Generic chemical products'!M22</f>
        <v>Phosphonic acid</v>
      </c>
      <c r="N163" s="400" t="str">
        <f>'36. Generic chemical products'!N22</f>
        <v>river</v>
      </c>
      <c r="O163" s="400">
        <f>'36. Generic chemical products'!O22</f>
        <v>0.03</v>
      </c>
      <c r="P163" s="400" t="str">
        <f>'36. Generic chemical products'!P22</f>
        <v>kg</v>
      </c>
      <c r="Q163" s="400">
        <f>'36. Generic chemical products'!Q22</f>
        <v>0</v>
      </c>
      <c r="R163" s="400">
        <f>'36. Generic chemical products'!R22</f>
        <v>0</v>
      </c>
      <c r="S163" s="400">
        <f>'36. Generic chemical products'!S22</f>
        <v>0</v>
      </c>
      <c r="T163" s="400" t="str">
        <f>'36. Generic chemical products'!T22</f>
        <v>13708-85-5</v>
      </c>
      <c r="U163" s="400">
        <f>'36. Generic chemical products'!U22</f>
        <v>0</v>
      </c>
      <c r="V163" s="400">
        <f>'36. Generic chemical products'!V22</f>
        <v>2.5624272316803493E-8</v>
      </c>
      <c r="W163" s="400">
        <f>'36. Generic chemical products'!W22</f>
        <v>0</v>
      </c>
      <c r="X163" s="400">
        <f>'36. Generic chemical products'!X22</f>
        <v>6.1179997974786175E-9</v>
      </c>
      <c r="Y163" s="400">
        <f>'36. Generic chemical products'!Y22</f>
        <v>95.727827940780713</v>
      </c>
      <c r="Z163" s="400">
        <f>'36. Generic chemical products'!Z22</f>
        <v>451.93033608164546</v>
      </c>
      <c r="AA163" s="400" t="str">
        <f>'36. Generic chemical products'!AA22</f>
        <v>Roos 2017</v>
      </c>
      <c r="AB163" s="327">
        <f>$C$23*I163</f>
        <v>5.9999999999999993E-6</v>
      </c>
      <c r="AC163" s="328">
        <f>$C$38*O163</f>
        <v>5.9999999999999995E-4</v>
      </c>
      <c r="AD163" s="329">
        <f t="shared" si="47"/>
        <v>0</v>
      </c>
      <c r="AE163" s="329">
        <f t="shared" si="36"/>
        <v>3.8245455123879915E-12</v>
      </c>
      <c r="AF163" s="330">
        <f t="shared" si="37"/>
        <v>0.27173256861663192</v>
      </c>
      <c r="AG163" s="330">
        <f t="shared" si="38"/>
        <v>0</v>
      </c>
      <c r="AH163" s="330">
        <f t="shared" si="39"/>
        <v>1.5374563390082094E-13</v>
      </c>
      <c r="AI163" s="330">
        <f t="shared" si="40"/>
        <v>5.743669676446842E-4</v>
      </c>
      <c r="AJ163" s="330">
        <f t="shared" si="41"/>
        <v>0</v>
      </c>
      <c r="AK163" s="330">
        <f t="shared" si="42"/>
        <v>3.6707998784871705E-12</v>
      </c>
      <c r="AL163" s="330">
        <f t="shared" si="43"/>
        <v>0.27115820164898724</v>
      </c>
      <c r="AM163" s="331">
        <f t="shared" si="44"/>
        <v>0</v>
      </c>
      <c r="AN163" s="332">
        <f t="shared" si="45"/>
        <v>3.8245455123879915E-12</v>
      </c>
      <c r="AO163" s="333">
        <f t="shared" si="46"/>
        <v>0.27173256861663192</v>
      </c>
    </row>
    <row r="164" spans="1:41" s="51" customFormat="1" ht="15" customHeight="1" x14ac:dyDescent="0.2">
      <c r="A164" s="68" t="str">
        <f>'36. Generic chemical products'!A27</f>
        <v>Antifoaming agent, average (3M Defoamer)</v>
      </c>
      <c r="B164" s="68" t="str">
        <f>'36. Generic chemical products'!B27</f>
        <v>Dimethyl siloxane, reaction product with silica</v>
      </c>
      <c r="C164" s="68">
        <f>'36. Generic chemical products'!C27</f>
        <v>0.05</v>
      </c>
      <c r="D164" s="68" t="str">
        <f>'36. Generic chemical products'!D27</f>
        <v>kg</v>
      </c>
      <c r="E164" s="68" t="str">
        <f>'36. Generic chemical products'!E27</f>
        <v>MSDS</v>
      </c>
      <c r="F164" s="68">
        <f>'36. Generic chemical products'!F27</f>
        <v>0</v>
      </c>
      <c r="G164" s="68" t="str">
        <f>'36. Generic chemical products'!G27</f>
        <v>-</v>
      </c>
      <c r="H164" s="68">
        <f>'36. Generic chemical products'!H27</f>
        <v>0</v>
      </c>
      <c r="I164" s="68">
        <f>'36. Generic chemical products'!I27</f>
        <v>0</v>
      </c>
      <c r="J164" s="68">
        <f>'36. Generic chemical products'!J27</f>
        <v>0</v>
      </c>
      <c r="K164" s="68">
        <f>'36. Generic chemical products'!K27</f>
        <v>0</v>
      </c>
      <c r="L164" s="68">
        <f>'36. Generic chemical products'!L27</f>
        <v>0</v>
      </c>
      <c r="M164" s="68" t="str">
        <f>'36. Generic chemical products'!M27</f>
        <v>Dimethyl siloxane, reaction product with silica</v>
      </c>
      <c r="N164" s="68" t="str">
        <f>'36. Generic chemical products'!N27</f>
        <v>river</v>
      </c>
      <c r="O164" s="68">
        <f>'36. Generic chemical products'!O27</f>
        <v>5.000000000000001E-3</v>
      </c>
      <c r="P164" s="68" t="str">
        <f>'36. Generic chemical products'!P27</f>
        <v>kg</v>
      </c>
      <c r="Q164" s="68">
        <f>'36. Generic chemical products'!Q27</f>
        <v>0</v>
      </c>
      <c r="R164" s="68">
        <f>'36. Generic chemical products'!R27</f>
        <v>0</v>
      </c>
      <c r="S164" s="68">
        <f>'36. Generic chemical products'!S27</f>
        <v>0</v>
      </c>
      <c r="T164" s="68" t="str">
        <f>'36. Generic chemical products'!T27</f>
        <v>67762-90-7</v>
      </c>
      <c r="U164" s="68">
        <f>'36. Generic chemical products'!U27</f>
        <v>0</v>
      </c>
      <c r="V164" s="68">
        <f>'36. Generic chemical products'!V27</f>
        <v>3.4962401965755862E-5</v>
      </c>
      <c r="W164" s="68">
        <f>'36. Generic chemical products'!W27</f>
        <v>0</v>
      </c>
      <c r="X164" s="68">
        <f>'36. Generic chemical products'!X27</f>
        <v>1.4442852689626513E-7</v>
      </c>
      <c r="Y164" s="68">
        <f>'36. Generic chemical products'!Y27</f>
        <v>1.7253896630384493</v>
      </c>
      <c r="Z164" s="68">
        <f>'36. Generic chemical products'!Z27</f>
        <v>5.4794308572283885</v>
      </c>
      <c r="AA164" s="68" t="str">
        <f>'36. Generic chemical products'!AA27</f>
        <v>Roos 2017</v>
      </c>
      <c r="AB164" s="300">
        <f>$C$24*I164</f>
        <v>0</v>
      </c>
      <c r="AC164" s="301">
        <f>$C$39*O164</f>
        <v>7.5000000000000002E-6</v>
      </c>
      <c r="AD164" s="302">
        <f t="shared" si="47"/>
        <v>0</v>
      </c>
      <c r="AE164" s="302">
        <f t="shared" si="36"/>
        <v>1.0832139517219885E-12</v>
      </c>
      <c r="AF164" s="303">
        <f t="shared" si="37"/>
        <v>4.1095731429212918E-5</v>
      </c>
      <c r="AG164" s="303">
        <f t="shared" si="38"/>
        <v>0</v>
      </c>
      <c r="AH164" s="303">
        <f t="shared" si="39"/>
        <v>0</v>
      </c>
      <c r="AI164" s="303">
        <f t="shared" si="40"/>
        <v>0</v>
      </c>
      <c r="AJ164" s="303">
        <f t="shared" si="41"/>
        <v>0</v>
      </c>
      <c r="AK164" s="303">
        <f t="shared" si="42"/>
        <v>1.0832139517219885E-12</v>
      </c>
      <c r="AL164" s="303">
        <f t="shared" si="43"/>
        <v>4.1095731429212918E-5</v>
      </c>
      <c r="AM164" s="304">
        <f t="shared" si="44"/>
        <v>0</v>
      </c>
      <c r="AN164" s="305">
        <f t="shared" si="45"/>
        <v>1.0832139517219885E-12</v>
      </c>
      <c r="AO164" s="306">
        <f t="shared" si="46"/>
        <v>4.1095731429212918E-5</v>
      </c>
    </row>
    <row r="165" spans="1:41" s="51" customFormat="1" ht="15" customHeight="1" x14ac:dyDescent="0.2">
      <c r="A165" s="68" t="str">
        <f>'36. Generic chemical products'!A28</f>
        <v>Antifoaming agent, average (3M Defoamer)</v>
      </c>
      <c r="B165" s="68" t="str">
        <f>'36. Generic chemical products'!B28</f>
        <v>Sodium hydroxide</v>
      </c>
      <c r="C165" s="68">
        <f>'36. Generic chemical products'!C28</f>
        <v>0.02</v>
      </c>
      <c r="D165" s="68" t="str">
        <f>'36. Generic chemical products'!D28</f>
        <v>kg</v>
      </c>
      <c r="E165" s="68" t="str">
        <f>'36. Generic chemical products'!E28</f>
        <v>MSDS</v>
      </c>
      <c r="F165" s="68">
        <f>'36. Generic chemical products'!F28</f>
        <v>0</v>
      </c>
      <c r="G165" s="68" t="str">
        <f>'36. Generic chemical products'!G28</f>
        <v>-</v>
      </c>
      <c r="H165" s="68">
        <f>'36. Generic chemical products'!H28</f>
        <v>0</v>
      </c>
      <c r="I165" s="68">
        <f>'36. Generic chemical products'!I28</f>
        <v>0</v>
      </c>
      <c r="J165" s="68">
        <f>'36. Generic chemical products'!J28</f>
        <v>0</v>
      </c>
      <c r="K165" s="68">
        <f>'36. Generic chemical products'!K28</f>
        <v>0</v>
      </c>
      <c r="L165" s="68">
        <f>'36. Generic chemical products'!L28</f>
        <v>0</v>
      </c>
      <c r="M165" s="68" t="str">
        <f>'36. Generic chemical products'!M28</f>
        <v>Sodium hydroxide</v>
      </c>
      <c r="N165" s="68" t="str">
        <f>'36. Generic chemical products'!N28</f>
        <v>river</v>
      </c>
      <c r="O165" s="68">
        <f>'36. Generic chemical products'!O28</f>
        <v>2E-3</v>
      </c>
      <c r="P165" s="68" t="str">
        <f>'36. Generic chemical products'!P28</f>
        <v>kg</v>
      </c>
      <c r="Q165" s="68">
        <f>'36. Generic chemical products'!Q28</f>
        <v>0</v>
      </c>
      <c r="R165" s="68">
        <f>'36. Generic chemical products'!R28</f>
        <v>0</v>
      </c>
      <c r="S165" s="68">
        <f>'36. Generic chemical products'!S28</f>
        <v>0</v>
      </c>
      <c r="T165" s="68" t="str">
        <f>'36. Generic chemical products'!T28</f>
        <v>1310-73-2</v>
      </c>
      <c r="U165" s="68">
        <f>'36. Generic chemical products'!U28</f>
        <v>0</v>
      </c>
      <c r="V165" s="68">
        <f>'36. Generic chemical products'!V28</f>
        <v>0</v>
      </c>
      <c r="W165" s="68">
        <f>'36. Generic chemical products'!W28</f>
        <v>0</v>
      </c>
      <c r="X165" s="68">
        <f>'36. Generic chemical products'!X28</f>
        <v>0</v>
      </c>
      <c r="Y165" s="68">
        <f>'36. Generic chemical products'!Y28</f>
        <v>164.24</v>
      </c>
      <c r="Z165" s="68">
        <f>'36. Generic chemical products'!Z28</f>
        <v>400.09</v>
      </c>
      <c r="AA165" s="68" t="str">
        <f>'36. Generic chemical products'!AA28</f>
        <v>COSMEDE</v>
      </c>
      <c r="AB165" s="300">
        <f>$C$24*I165</f>
        <v>0</v>
      </c>
      <c r="AC165" s="301">
        <f>$C$39*O165</f>
        <v>2.9999999999999997E-6</v>
      </c>
      <c r="AD165" s="302">
        <f t="shared" si="47"/>
        <v>0</v>
      </c>
      <c r="AE165" s="302">
        <f t="shared" si="36"/>
        <v>0</v>
      </c>
      <c r="AF165" s="303">
        <f t="shared" si="37"/>
        <v>1.2002699999999998E-3</v>
      </c>
      <c r="AG165" s="303">
        <f t="shared" si="38"/>
        <v>0</v>
      </c>
      <c r="AH165" s="303">
        <f t="shared" si="39"/>
        <v>0</v>
      </c>
      <c r="AI165" s="303">
        <f t="shared" si="40"/>
        <v>0</v>
      </c>
      <c r="AJ165" s="303">
        <f t="shared" si="41"/>
        <v>0</v>
      </c>
      <c r="AK165" s="303">
        <f t="shared" si="42"/>
        <v>0</v>
      </c>
      <c r="AL165" s="303">
        <f t="shared" si="43"/>
        <v>1.2002699999999998E-3</v>
      </c>
      <c r="AM165" s="304">
        <f t="shared" si="44"/>
        <v>0</v>
      </c>
      <c r="AN165" s="305">
        <f t="shared" si="45"/>
        <v>0</v>
      </c>
      <c r="AO165" s="306">
        <f t="shared" si="46"/>
        <v>1.2002699999999998E-3</v>
      </c>
    </row>
    <row r="166" spans="1:41" s="51" customFormat="1" ht="15" customHeight="1" x14ac:dyDescent="0.2">
      <c r="A166" s="68" t="str">
        <f>'36. Generic chemical products'!A29</f>
        <v>Antifoaming agent, average (3M Defoamer)</v>
      </c>
      <c r="B166" s="68" t="str">
        <f>'36. Generic chemical products'!B29</f>
        <v>Sodium lauryl sulphate</v>
      </c>
      <c r="C166" s="68">
        <f>'36. Generic chemical products'!C29</f>
        <v>1E-3</v>
      </c>
      <c r="D166" s="68" t="str">
        <f>'36. Generic chemical products'!D29</f>
        <v>kg</v>
      </c>
      <c r="E166" s="68" t="str">
        <f>'36. Generic chemical products'!E29</f>
        <v>MSDS</v>
      </c>
      <c r="F166" s="68">
        <f>'36. Generic chemical products'!F29</f>
        <v>0</v>
      </c>
      <c r="G166" s="68" t="str">
        <f>'36. Generic chemical products'!G29</f>
        <v>-</v>
      </c>
      <c r="H166" s="68">
        <f>'36. Generic chemical products'!H29</f>
        <v>0</v>
      </c>
      <c r="I166" s="68">
        <f>'36. Generic chemical products'!I29</f>
        <v>0</v>
      </c>
      <c r="J166" s="68">
        <f>'36. Generic chemical products'!J29</f>
        <v>0</v>
      </c>
      <c r="K166" s="68">
        <f>'36. Generic chemical products'!K29</f>
        <v>0</v>
      </c>
      <c r="L166" s="68">
        <f>'36. Generic chemical products'!L29</f>
        <v>0</v>
      </c>
      <c r="M166" s="68" t="str">
        <f>'36. Generic chemical products'!M29</f>
        <v>Sodium lauryl sulfate</v>
      </c>
      <c r="N166" s="68" t="str">
        <f>'36. Generic chemical products'!N29</f>
        <v>river</v>
      </c>
      <c r="O166" s="68">
        <f>'36. Generic chemical products'!O29</f>
        <v>1E-4</v>
      </c>
      <c r="P166" s="68" t="str">
        <f>'36. Generic chemical products'!P29</f>
        <v>kg</v>
      </c>
      <c r="Q166" s="68">
        <f>'36. Generic chemical products'!Q29</f>
        <v>0</v>
      </c>
      <c r="R166" s="68">
        <f>'36. Generic chemical products'!R29</f>
        <v>0</v>
      </c>
      <c r="S166" s="68">
        <f>'36. Generic chemical products'!S29</f>
        <v>0</v>
      </c>
      <c r="T166" s="68" t="str">
        <f>'36. Generic chemical products'!T29</f>
        <v>151-21-3</v>
      </c>
      <c r="U166" s="68">
        <f>'36. Generic chemical products'!U29</f>
        <v>0</v>
      </c>
      <c r="V166" s="68">
        <f>'36. Generic chemical products'!V29</f>
        <v>0</v>
      </c>
      <c r="W166" s="68">
        <f>'36. Generic chemical products'!W29</f>
        <v>0</v>
      </c>
      <c r="X166" s="68">
        <f>'36. Generic chemical products'!X29</f>
        <v>0</v>
      </c>
      <c r="Y166" s="68">
        <f>'36. Generic chemical products'!Y29</f>
        <v>306.24811854656059</v>
      </c>
      <c r="Z166" s="68">
        <f>'36. Generic chemical products'!Z29</f>
        <v>2239.9292193792821</v>
      </c>
      <c r="AA166" s="68" t="str">
        <f>'36. Generic chemical products'!AA29</f>
        <v>USEtox</v>
      </c>
      <c r="AB166" s="300">
        <f>$C$24*I166</f>
        <v>0</v>
      </c>
      <c r="AC166" s="301">
        <f>$C$39*O166</f>
        <v>1.4999999999999999E-7</v>
      </c>
      <c r="AD166" s="302">
        <f t="shared" si="47"/>
        <v>0</v>
      </c>
      <c r="AE166" s="302">
        <f t="shared" si="36"/>
        <v>0</v>
      </c>
      <c r="AF166" s="303">
        <f t="shared" si="37"/>
        <v>3.3598938290689231E-4</v>
      </c>
      <c r="AG166" s="303">
        <f t="shared" si="38"/>
        <v>0</v>
      </c>
      <c r="AH166" s="303">
        <f t="shared" si="39"/>
        <v>0</v>
      </c>
      <c r="AI166" s="303">
        <f t="shared" si="40"/>
        <v>0</v>
      </c>
      <c r="AJ166" s="303">
        <f t="shared" si="41"/>
        <v>0</v>
      </c>
      <c r="AK166" s="303">
        <f t="shared" si="42"/>
        <v>0</v>
      </c>
      <c r="AL166" s="303">
        <f t="shared" si="43"/>
        <v>3.3598938290689231E-4</v>
      </c>
      <c r="AM166" s="304">
        <f t="shared" si="44"/>
        <v>0</v>
      </c>
      <c r="AN166" s="305">
        <f t="shared" si="45"/>
        <v>0</v>
      </c>
      <c r="AO166" s="306">
        <f t="shared" si="46"/>
        <v>3.3598938290689231E-4</v>
      </c>
    </row>
    <row r="167" spans="1:41" s="51" customFormat="1" ht="15" customHeight="1" x14ac:dyDescent="0.2">
      <c r="A167" s="68" t="str">
        <f>'36. Generic chemical products'!A30</f>
        <v>Antifoaming agent, average (3M Defoamer)</v>
      </c>
      <c r="B167" s="68" t="str">
        <f>'36. Generic chemical products'!B30</f>
        <v>5-chloro-2-methyl-4-isothiazoline-3-one</v>
      </c>
      <c r="C167" s="68">
        <f>'36. Generic chemical products'!C30</f>
        <v>1E-3</v>
      </c>
      <c r="D167" s="68" t="str">
        <f>'36. Generic chemical products'!D30</f>
        <v>kg</v>
      </c>
      <c r="E167" s="68" t="str">
        <f>'36. Generic chemical products'!E30</f>
        <v>MSDS</v>
      </c>
      <c r="F167" s="68">
        <f>'36. Generic chemical products'!F30</f>
        <v>0</v>
      </c>
      <c r="G167" s="68" t="str">
        <f>'36. Generic chemical products'!G30</f>
        <v>-</v>
      </c>
      <c r="H167" s="68">
        <f>'36. Generic chemical products'!H30</f>
        <v>0</v>
      </c>
      <c r="I167" s="68">
        <f>'36. Generic chemical products'!I30</f>
        <v>0</v>
      </c>
      <c r="J167" s="68">
        <f>'36. Generic chemical products'!J30</f>
        <v>0</v>
      </c>
      <c r="K167" s="68">
        <f>'36. Generic chemical products'!K30</f>
        <v>0</v>
      </c>
      <c r="L167" s="68">
        <f>'36. Generic chemical products'!L30</f>
        <v>0</v>
      </c>
      <c r="M167" s="68" t="str">
        <f>'36. Generic chemical products'!M30</f>
        <v>5-chloro-2-methyl-4-isothiazolin-3-one</v>
      </c>
      <c r="N167" s="68" t="str">
        <f>'36. Generic chemical products'!N30</f>
        <v>river</v>
      </c>
      <c r="O167" s="68">
        <f>'36. Generic chemical products'!O30</f>
        <v>1E-4</v>
      </c>
      <c r="P167" s="68" t="str">
        <f>'36. Generic chemical products'!P30</f>
        <v>kg</v>
      </c>
      <c r="Q167" s="68">
        <f>'36. Generic chemical products'!Q30</f>
        <v>0</v>
      </c>
      <c r="R167" s="68">
        <f>'36. Generic chemical products'!R30</f>
        <v>0</v>
      </c>
      <c r="S167" s="68">
        <f>'36. Generic chemical products'!S30</f>
        <v>0</v>
      </c>
      <c r="T167" s="68" t="str">
        <f>'36. Generic chemical products'!T30</f>
        <v>26172-55-4</v>
      </c>
      <c r="U167" s="68">
        <f>'36. Generic chemical products'!U30</f>
        <v>0</v>
      </c>
      <c r="V167" s="68">
        <f>'36. Generic chemical products'!V30</f>
        <v>0</v>
      </c>
      <c r="W167" s="68">
        <f>'36. Generic chemical products'!W30</f>
        <v>0</v>
      </c>
      <c r="X167" s="68">
        <f>'36. Generic chemical products'!X30</f>
        <v>0</v>
      </c>
      <c r="Y167" s="68">
        <f>'36. Generic chemical products'!Y30</f>
        <v>6089.5109426939807</v>
      </c>
      <c r="Z167" s="68">
        <f>'36. Generic chemical products'!Z30</f>
        <v>54476.932420915044</v>
      </c>
      <c r="AA167" s="68" t="str">
        <f>'36. Generic chemical products'!AA30</f>
        <v>USEtox</v>
      </c>
      <c r="AB167" s="300">
        <f>$C$24*I167</f>
        <v>0</v>
      </c>
      <c r="AC167" s="301">
        <f>$C$39*O167</f>
        <v>1.4999999999999999E-7</v>
      </c>
      <c r="AD167" s="302">
        <f t="shared" si="47"/>
        <v>0</v>
      </c>
      <c r="AE167" s="302">
        <f t="shared" si="36"/>
        <v>0</v>
      </c>
      <c r="AF167" s="303">
        <f t="shared" si="37"/>
        <v>8.1715398631372563E-3</v>
      </c>
      <c r="AG167" s="303">
        <f t="shared" si="38"/>
        <v>0</v>
      </c>
      <c r="AH167" s="303">
        <f t="shared" si="39"/>
        <v>0</v>
      </c>
      <c r="AI167" s="303">
        <f t="shared" si="40"/>
        <v>0</v>
      </c>
      <c r="AJ167" s="303">
        <f t="shared" si="41"/>
        <v>0</v>
      </c>
      <c r="AK167" s="303">
        <f t="shared" si="42"/>
        <v>0</v>
      </c>
      <c r="AL167" s="303">
        <f t="shared" si="43"/>
        <v>8.1715398631372563E-3</v>
      </c>
      <c r="AM167" s="304">
        <f t="shared" si="44"/>
        <v>0</v>
      </c>
      <c r="AN167" s="305">
        <f t="shared" si="45"/>
        <v>0</v>
      </c>
      <c r="AO167" s="306">
        <f t="shared" si="46"/>
        <v>8.1715398631372563E-3</v>
      </c>
    </row>
    <row r="168" spans="1:41" s="139" customFormat="1" ht="15" customHeight="1" x14ac:dyDescent="0.2">
      <c r="A168" s="193" t="str">
        <f>'36. Generic chemical products'!A31</f>
        <v>Antifoaming agent, average (3M Defoamer)</v>
      </c>
      <c r="B168" s="193" t="str">
        <f>'36. Generic chemical products'!B31</f>
        <v>2-methyl-4-isothiazolin-3-one</v>
      </c>
      <c r="C168" s="193">
        <f>'36. Generic chemical products'!C31</f>
        <v>1E-3</v>
      </c>
      <c r="D168" s="193" t="str">
        <f>'36. Generic chemical products'!D31</f>
        <v>kg</v>
      </c>
      <c r="E168" s="193" t="str">
        <f>'36. Generic chemical products'!E31</f>
        <v>MSDS</v>
      </c>
      <c r="F168" s="193">
        <f>'36. Generic chemical products'!F31</f>
        <v>0</v>
      </c>
      <c r="G168" s="193" t="str">
        <f>'36. Generic chemical products'!G31</f>
        <v>-</v>
      </c>
      <c r="H168" s="193">
        <f>'36. Generic chemical products'!H31</f>
        <v>0</v>
      </c>
      <c r="I168" s="193">
        <f>'36. Generic chemical products'!I31</f>
        <v>0</v>
      </c>
      <c r="J168" s="193">
        <f>'36. Generic chemical products'!J31</f>
        <v>0</v>
      </c>
      <c r="K168" s="193">
        <f>'36. Generic chemical products'!K31</f>
        <v>0</v>
      </c>
      <c r="L168" s="193">
        <f>'36. Generic chemical products'!L31</f>
        <v>0</v>
      </c>
      <c r="M168" s="193" t="str">
        <f>'36. Generic chemical products'!M31</f>
        <v>2-methyl-4-isothiazolin-3-one</v>
      </c>
      <c r="N168" s="193" t="str">
        <f>'36. Generic chemical products'!N31</f>
        <v>river</v>
      </c>
      <c r="O168" s="193">
        <f>'36. Generic chemical products'!O31</f>
        <v>1E-4</v>
      </c>
      <c r="P168" s="193" t="str">
        <f>'36. Generic chemical products'!P31</f>
        <v>kg</v>
      </c>
      <c r="Q168" s="193">
        <f>'36. Generic chemical products'!Q31</f>
        <v>0</v>
      </c>
      <c r="R168" s="193">
        <f>'36. Generic chemical products'!R31</f>
        <v>0</v>
      </c>
      <c r="S168" s="193">
        <f>'36. Generic chemical products'!S31</f>
        <v>0</v>
      </c>
      <c r="T168" s="193" t="str">
        <f>'36. Generic chemical products'!T31</f>
        <v>2682-20-4</v>
      </c>
      <c r="U168" s="193">
        <f>'36. Generic chemical products'!U31</f>
        <v>0</v>
      </c>
      <c r="V168" s="193">
        <f>'36. Generic chemical products'!V31</f>
        <v>0</v>
      </c>
      <c r="W168" s="193">
        <f>'36. Generic chemical products'!W31</f>
        <v>0</v>
      </c>
      <c r="X168" s="193">
        <f>'36. Generic chemical products'!X31</f>
        <v>0</v>
      </c>
      <c r="Y168" s="193">
        <f>'36. Generic chemical products'!Y31</f>
        <v>15653.997644153058</v>
      </c>
      <c r="Z168" s="193">
        <f>'36. Generic chemical products'!Z31</f>
        <v>184815.26625319294</v>
      </c>
      <c r="AA168" s="193" t="str">
        <f>'36. Generic chemical products'!AA31</f>
        <v>USEtox</v>
      </c>
      <c r="AB168" s="307">
        <f>$C$24*I168</f>
        <v>0</v>
      </c>
      <c r="AC168" s="308">
        <f>$C$39*O168</f>
        <v>1.4999999999999999E-7</v>
      </c>
      <c r="AD168" s="309">
        <f t="shared" si="47"/>
        <v>0</v>
      </c>
      <c r="AE168" s="309">
        <f t="shared" si="36"/>
        <v>0</v>
      </c>
      <c r="AF168" s="310">
        <f t="shared" si="37"/>
        <v>2.7722289937978938E-2</v>
      </c>
      <c r="AG168" s="310">
        <f t="shared" si="38"/>
        <v>0</v>
      </c>
      <c r="AH168" s="310">
        <f t="shared" si="39"/>
        <v>0</v>
      </c>
      <c r="AI168" s="310">
        <f t="shared" si="40"/>
        <v>0</v>
      </c>
      <c r="AJ168" s="310">
        <f t="shared" si="41"/>
        <v>0</v>
      </c>
      <c r="AK168" s="310">
        <f t="shared" si="42"/>
        <v>0</v>
      </c>
      <c r="AL168" s="310">
        <f t="shared" si="43"/>
        <v>2.7722289937978938E-2</v>
      </c>
      <c r="AM168" s="311">
        <f t="shared" si="44"/>
        <v>0</v>
      </c>
      <c r="AN168" s="312">
        <f t="shared" si="45"/>
        <v>0</v>
      </c>
      <c r="AO168" s="313">
        <f t="shared" si="46"/>
        <v>2.7722289937978938E-2</v>
      </c>
    </row>
    <row r="169" spans="1:41" s="195" customFormat="1" ht="15" customHeight="1" x14ac:dyDescent="0.2">
      <c r="A169" s="194" t="str">
        <f>'36. Generic chemical products'!A32</f>
        <v>Base/Soda ash (Na2CO3), average</v>
      </c>
      <c r="B169" s="194" t="str">
        <f>'36. Generic chemical products'!B32</f>
        <v>Sodium carbonate (Na2CO3)</v>
      </c>
      <c r="C169" s="194">
        <f>'36. Generic chemical products'!C32</f>
        <v>1</v>
      </c>
      <c r="D169" s="194" t="str">
        <f>'36. Generic chemical products'!D32</f>
        <v>kg</v>
      </c>
      <c r="E169" s="194">
        <f>'36. Generic chemical products'!E32</f>
        <v>1</v>
      </c>
      <c r="F169" s="194">
        <f>'36. Generic chemical products'!F32</f>
        <v>0</v>
      </c>
      <c r="G169" s="194" t="str">
        <f>'36. Generic chemical products'!G32</f>
        <v>-</v>
      </c>
      <c r="H169" s="194">
        <f>'36. Generic chemical products'!H32</f>
        <v>0</v>
      </c>
      <c r="I169" s="194">
        <f>'36. Generic chemical products'!I32</f>
        <v>0</v>
      </c>
      <c r="J169" s="194">
        <f>'36. Generic chemical products'!J32</f>
        <v>0</v>
      </c>
      <c r="K169" s="194" t="str">
        <f>'36. Generic chemical products'!K32</f>
        <v>Worst case - mist carries substance</v>
      </c>
      <c r="L169" s="194">
        <f>'36. Generic chemical products'!L32</f>
        <v>0</v>
      </c>
      <c r="M169" s="194" t="str">
        <f>'36. Generic chemical products'!M32</f>
        <v>Sodium carbonate (Na2CO3)</v>
      </c>
      <c r="N169" s="194" t="str">
        <f>'36. Generic chemical products'!N32</f>
        <v>river</v>
      </c>
      <c r="O169" s="194">
        <f>'36. Generic chemical products'!O32</f>
        <v>0.1</v>
      </c>
      <c r="P169" s="194" t="str">
        <f>'36. Generic chemical products'!P32</f>
        <v>kg</v>
      </c>
      <c r="Q169" s="194">
        <f>'36. Generic chemical products'!Q32</f>
        <v>0</v>
      </c>
      <c r="R169" s="194">
        <f>'36. Generic chemical products'!R32</f>
        <v>0</v>
      </c>
      <c r="S169" s="194">
        <f>'36. Generic chemical products'!S32</f>
        <v>0</v>
      </c>
      <c r="T169" s="194" t="str">
        <f>'36. Generic chemical products'!T32</f>
        <v>497-19-8</v>
      </c>
      <c r="U169" s="194">
        <f>'36. Generic chemical products'!U32</f>
        <v>0</v>
      </c>
      <c r="V169" s="194">
        <f>'36. Generic chemical products'!V32</f>
        <v>0</v>
      </c>
      <c r="W169" s="194">
        <f>'36. Generic chemical products'!W32</f>
        <v>0</v>
      </c>
      <c r="X169" s="194">
        <f>'36. Generic chemical products'!X32</f>
        <v>0</v>
      </c>
      <c r="Y169" s="194">
        <f>'36. Generic chemical products'!Y32</f>
        <v>31</v>
      </c>
      <c r="Z169" s="194">
        <f>'36. Generic chemical products'!Z32</f>
        <v>73.7</v>
      </c>
      <c r="AA169" s="194" t="str">
        <f>'36. Generic chemical products'!AA32</f>
        <v>COSMEDE</v>
      </c>
      <c r="AB169" s="327">
        <f>$C$25*I169</f>
        <v>0</v>
      </c>
      <c r="AC169" s="328">
        <f>$C$40*O169</f>
        <v>2.5000000000000001E-4</v>
      </c>
      <c r="AD169" s="329">
        <f t="shared" si="47"/>
        <v>0</v>
      </c>
      <c r="AE169" s="329">
        <f t="shared" si="36"/>
        <v>0</v>
      </c>
      <c r="AF169" s="330">
        <f t="shared" si="37"/>
        <v>1.8425E-2</v>
      </c>
      <c r="AG169" s="330">
        <f t="shared" si="38"/>
        <v>0</v>
      </c>
      <c r="AH169" s="330">
        <f t="shared" si="39"/>
        <v>0</v>
      </c>
      <c r="AI169" s="330">
        <f t="shared" si="40"/>
        <v>0</v>
      </c>
      <c r="AJ169" s="330">
        <f t="shared" si="41"/>
        <v>0</v>
      </c>
      <c r="AK169" s="330">
        <f t="shared" si="42"/>
        <v>0</v>
      </c>
      <c r="AL169" s="330">
        <f t="shared" si="43"/>
        <v>1.8425E-2</v>
      </c>
      <c r="AM169" s="331">
        <f t="shared" si="44"/>
        <v>0</v>
      </c>
      <c r="AN169" s="332">
        <f t="shared" si="45"/>
        <v>0</v>
      </c>
      <c r="AO169" s="333">
        <f t="shared" si="46"/>
        <v>1.8425E-2</v>
      </c>
    </row>
    <row r="170" spans="1:41" s="195" customFormat="1" ht="15" customHeight="1" x14ac:dyDescent="0.2">
      <c r="A170" s="196" t="str">
        <f>'36. Generic chemical products'!A11</f>
        <v>Acid, formic acid, average</v>
      </c>
      <c r="B170" s="196" t="str">
        <f>'36. Generic chemical products'!B11</f>
        <v>Formic acid</v>
      </c>
      <c r="C170" s="196">
        <f>'36. Generic chemical products'!C11</f>
        <v>1</v>
      </c>
      <c r="D170" s="196" t="str">
        <f>'36. Generic chemical products'!D11</f>
        <v>kg</v>
      </c>
      <c r="E170" s="196">
        <f>'36. Generic chemical products'!E11</f>
        <v>1</v>
      </c>
      <c r="F170" s="196">
        <f>'36. Generic chemical products'!F11</f>
        <v>0</v>
      </c>
      <c r="G170" s="196" t="str">
        <f>'36. Generic chemical products'!G11</f>
        <v>Formic acid</v>
      </c>
      <c r="H170" s="196" t="str">
        <f>'36. Generic chemical products'!H11</f>
        <v>high. pop.</v>
      </c>
      <c r="I170" s="196">
        <f>'36. Generic chemical products'!I11</f>
        <v>1E-3</v>
      </c>
      <c r="J170" s="196" t="str">
        <f>'36. Generic chemical products'!J11</f>
        <v>kg</v>
      </c>
      <c r="K170" s="196">
        <f>'36. Generic chemical products'!K11</f>
        <v>0</v>
      </c>
      <c r="L170" s="196">
        <f>'36. Generic chemical products'!L11</f>
        <v>0</v>
      </c>
      <c r="M170" s="196" t="str">
        <f>'36. Generic chemical products'!M11</f>
        <v>Formic acid</v>
      </c>
      <c r="N170" s="196" t="str">
        <f>'36. Generic chemical products'!N11</f>
        <v>river</v>
      </c>
      <c r="O170" s="196">
        <f>'36. Generic chemical products'!O11</f>
        <v>0.1</v>
      </c>
      <c r="P170" s="196" t="str">
        <f>'36. Generic chemical products'!P11</f>
        <v>kg</v>
      </c>
      <c r="Q170" s="196">
        <f>'36. Generic chemical products'!Q11</f>
        <v>0</v>
      </c>
      <c r="R170" s="196">
        <f>'36. Generic chemical products'!R11</f>
        <v>0</v>
      </c>
      <c r="S170" s="196">
        <f>'36. Generic chemical products'!S11</f>
        <v>0</v>
      </c>
      <c r="T170" s="196" t="str">
        <f>'36. Generic chemical products'!T11</f>
        <v>64-18-6</v>
      </c>
      <c r="U170" s="196">
        <f>'36. Generic chemical products'!U11</f>
        <v>0</v>
      </c>
      <c r="V170" s="196">
        <f>'36. Generic chemical products'!V11</f>
        <v>0</v>
      </c>
      <c r="W170" s="196">
        <f>'36. Generic chemical products'!W11</f>
        <v>0</v>
      </c>
      <c r="X170" s="196">
        <f>'36. Generic chemical products'!X11</f>
        <v>0</v>
      </c>
      <c r="Y170" s="196">
        <f>'36. Generic chemical products'!Y11</f>
        <v>2.8072892978694037</v>
      </c>
      <c r="Z170" s="196">
        <f>'36. Generic chemical products'!Z11</f>
        <v>44.680467206809801</v>
      </c>
      <c r="AA170" s="196" t="str">
        <f>'36. Generic chemical products'!AA11</f>
        <v>USEtox</v>
      </c>
      <c r="AB170" s="327">
        <f>$C$26*I170</f>
        <v>1.5E-5</v>
      </c>
      <c r="AC170" s="328">
        <f>$C$41*O170</f>
        <v>1.5E-3</v>
      </c>
      <c r="AD170" s="329">
        <f t="shared" si="47"/>
        <v>0</v>
      </c>
      <c r="AE170" s="329">
        <f t="shared" si="36"/>
        <v>0</v>
      </c>
      <c r="AF170" s="330">
        <f t="shared" si="37"/>
        <v>6.7062810149682739E-2</v>
      </c>
      <c r="AG170" s="330">
        <f t="shared" si="38"/>
        <v>0</v>
      </c>
      <c r="AH170" s="330">
        <f t="shared" si="39"/>
        <v>0</v>
      </c>
      <c r="AI170" s="330">
        <f t="shared" si="40"/>
        <v>4.2109339468041059E-5</v>
      </c>
      <c r="AJ170" s="330">
        <f t="shared" si="41"/>
        <v>0</v>
      </c>
      <c r="AK170" s="330">
        <f t="shared" si="42"/>
        <v>0</v>
      </c>
      <c r="AL170" s="330">
        <f t="shared" si="43"/>
        <v>6.7020700810214703E-2</v>
      </c>
      <c r="AM170" s="331">
        <f t="shared" si="44"/>
        <v>0</v>
      </c>
      <c r="AN170" s="332">
        <f t="shared" si="45"/>
        <v>0</v>
      </c>
      <c r="AO170" s="333">
        <f t="shared" si="46"/>
        <v>6.7062810149682739E-2</v>
      </c>
    </row>
    <row r="171" spans="1:41" s="51" customFormat="1" ht="15" customHeight="1" x14ac:dyDescent="0.2">
      <c r="A171" s="54" t="str">
        <f>'36. Generic chemical products'!A23</f>
        <v>Wetting agent/Penetration agent, worst case (Cottoclarin ok 88 ECO)</v>
      </c>
      <c r="B171" s="54" t="str">
        <f>'36. Generic chemical products'!B23</f>
        <v>Fatty methylester sulfonates (R16) sodium salt</v>
      </c>
      <c r="C171" s="54">
        <f>'36. Generic chemical products'!C23</f>
        <v>0.6</v>
      </c>
      <c r="D171" s="54" t="str">
        <f>'36. Generic chemical products'!D23</f>
        <v>kg</v>
      </c>
      <c r="E171" s="54" t="str">
        <f>'36. Generic chemical products'!E23</f>
        <v>MSDS</v>
      </c>
      <c r="F171" s="54">
        <f>'36. Generic chemical products'!F23</f>
        <v>0</v>
      </c>
      <c r="G171" s="54" t="str">
        <f>'36. Generic chemical products'!G23</f>
        <v>-</v>
      </c>
      <c r="H171" s="54">
        <f>'36. Generic chemical products'!H23</f>
        <v>0</v>
      </c>
      <c r="I171" s="54">
        <f>'36. Generic chemical products'!I23</f>
        <v>0</v>
      </c>
      <c r="J171" s="54">
        <f>'36. Generic chemical products'!J23</f>
        <v>0</v>
      </c>
      <c r="K171" s="54">
        <f>'36. Generic chemical products'!K23</f>
        <v>0</v>
      </c>
      <c r="L171" s="54">
        <f>'36. Generic chemical products'!L23</f>
        <v>0</v>
      </c>
      <c r="M171" s="54" t="str">
        <f>'36. Generic chemical products'!M23</f>
        <v>Fatty methylester sulfonates</v>
      </c>
      <c r="N171" s="54" t="str">
        <f>'36. Generic chemical products'!N23</f>
        <v>river</v>
      </c>
      <c r="O171" s="54">
        <f>'36. Generic chemical products'!O23</f>
        <v>0.06</v>
      </c>
      <c r="P171" s="54" t="str">
        <f>'36. Generic chemical products'!P23</f>
        <v>kg</v>
      </c>
      <c r="Q171" s="54">
        <f>'36. Generic chemical products'!Q23</f>
        <v>0</v>
      </c>
      <c r="R171" s="54">
        <f>'36. Generic chemical products'!R23</f>
        <v>0</v>
      </c>
      <c r="S171" s="54">
        <f>'36. Generic chemical products'!S23</f>
        <v>0</v>
      </c>
      <c r="T171" s="54" t="str">
        <f>'36. Generic chemical products'!T23</f>
        <v>93348-22-2</v>
      </c>
      <c r="U171" s="54">
        <f>'36. Generic chemical products'!U23</f>
        <v>0</v>
      </c>
      <c r="V171" s="54">
        <f>'36. Generic chemical products'!V23</f>
        <v>1.6437731647150863E-6</v>
      </c>
      <c r="W171" s="54">
        <f>'36. Generic chemical products'!W23</f>
        <v>0</v>
      </c>
      <c r="X171" s="54">
        <f>'36. Generic chemical products'!X23</f>
        <v>9.8891167609639291E-6</v>
      </c>
      <c r="Y171" s="54">
        <f>'36. Generic chemical products'!Y23</f>
        <v>25539.178143122717</v>
      </c>
      <c r="Z171" s="54">
        <f>'36. Generic chemical products'!Z23</f>
        <v>766743.80504211958</v>
      </c>
      <c r="AA171" s="54" t="str">
        <f>'36. Generic chemical products'!AA23</f>
        <v>Roos 2017</v>
      </c>
      <c r="AB171" s="300">
        <f>$C$27*I171</f>
        <v>0</v>
      </c>
      <c r="AC171" s="301">
        <f>$C$42*O171</f>
        <v>5.9999999999999995E-4</v>
      </c>
      <c r="AD171" s="302">
        <f t="shared" si="47"/>
        <v>0</v>
      </c>
      <c r="AE171" s="302">
        <f t="shared" si="36"/>
        <v>5.9334700565783567E-9</v>
      </c>
      <c r="AF171" s="303">
        <f t="shared" si="37"/>
        <v>460.04628302527169</v>
      </c>
      <c r="AG171" s="303">
        <f t="shared" si="38"/>
        <v>0</v>
      </c>
      <c r="AH171" s="303">
        <f t="shared" si="39"/>
        <v>0</v>
      </c>
      <c r="AI171" s="303">
        <f t="shared" si="40"/>
        <v>0</v>
      </c>
      <c r="AJ171" s="303">
        <f t="shared" si="41"/>
        <v>0</v>
      </c>
      <c r="AK171" s="303">
        <f t="shared" si="42"/>
        <v>5.9334700565783567E-9</v>
      </c>
      <c r="AL171" s="303">
        <f t="shared" si="43"/>
        <v>460.04628302527169</v>
      </c>
      <c r="AM171" s="304">
        <f t="shared" si="44"/>
        <v>0</v>
      </c>
      <c r="AN171" s="305">
        <f t="shared" si="45"/>
        <v>5.9334700565783567E-9</v>
      </c>
      <c r="AO171" s="306">
        <f t="shared" si="46"/>
        <v>460.04628302527169</v>
      </c>
    </row>
    <row r="172" spans="1:41" s="51" customFormat="1" ht="15" customHeight="1" x14ac:dyDescent="0.2">
      <c r="A172" s="54" t="str">
        <f>'36. Generic chemical products'!A24</f>
        <v>Wetting agent/Penetration agent, worst case (Cottoclarin ok 88 ECO)</v>
      </c>
      <c r="B172" s="54" t="str">
        <f>'36. Generic chemical products'!B24</f>
        <v>Iso-octyl alcohol</v>
      </c>
      <c r="C172" s="54">
        <f>'36. Generic chemical products'!C24</f>
        <v>0.2</v>
      </c>
      <c r="D172" s="54" t="str">
        <f>'36. Generic chemical products'!D24</f>
        <v>kg</v>
      </c>
      <c r="E172" s="54" t="str">
        <f>'36. Generic chemical products'!E24</f>
        <v>MSDS</v>
      </c>
      <c r="F172" s="54">
        <f>'36. Generic chemical products'!F24</f>
        <v>0</v>
      </c>
      <c r="G172" s="54" t="str">
        <f>'36. Generic chemical products'!G24</f>
        <v>Iso-octyl alcohol</v>
      </c>
      <c r="H172" s="54" t="str">
        <f>'36. Generic chemical products'!H24</f>
        <v>high. pop.</v>
      </c>
      <c r="I172" s="54">
        <f>'36. Generic chemical products'!I24</f>
        <v>2.0000000000000001E-4</v>
      </c>
      <c r="J172" s="54" t="str">
        <f>'36. Generic chemical products'!J24</f>
        <v>kg</v>
      </c>
      <c r="K172" s="54">
        <f>'36. Generic chemical products'!K24</f>
        <v>0</v>
      </c>
      <c r="L172" s="54">
        <f>'36. Generic chemical products'!L24</f>
        <v>0</v>
      </c>
      <c r="M172" s="54" t="str">
        <f>'36. Generic chemical products'!M24</f>
        <v>Isooctyl alcohol</v>
      </c>
      <c r="N172" s="54" t="str">
        <f>'36. Generic chemical products'!N24</f>
        <v>river</v>
      </c>
      <c r="O172" s="54">
        <f>'36. Generic chemical products'!O24</f>
        <v>2.0000000000000004E-2</v>
      </c>
      <c r="P172" s="54" t="str">
        <f>'36. Generic chemical products'!P24</f>
        <v>kg</v>
      </c>
      <c r="Q172" s="54">
        <f>'36. Generic chemical products'!Q24</f>
        <v>0</v>
      </c>
      <c r="R172" s="54">
        <f>'36. Generic chemical products'!R24</f>
        <v>0</v>
      </c>
      <c r="S172" s="54">
        <f>'36. Generic chemical products'!S24</f>
        <v>0</v>
      </c>
      <c r="T172" s="54" t="str">
        <f>'36. Generic chemical products'!T24</f>
        <v>104-76-7</v>
      </c>
      <c r="U172" s="54">
        <f>'36. Generic chemical products'!U24</f>
        <v>3.1027213023718394E-8</v>
      </c>
      <c r="V172" s="54">
        <f>'36. Generic chemical products'!V24</f>
        <v>0</v>
      </c>
      <c r="W172" s="54">
        <f>'36. Generic chemical products'!W24</f>
        <v>1.7206281348183625E-8</v>
      </c>
      <c r="X172" s="54">
        <f>'36. Generic chemical products'!X24</f>
        <v>0</v>
      </c>
      <c r="Y172" s="54">
        <f>'36. Generic chemical products'!Y24</f>
        <v>2.6323079574736696</v>
      </c>
      <c r="Z172" s="54">
        <f>'36. Generic chemical products'!Z24</f>
        <v>191.63613931032927</v>
      </c>
      <c r="AA172" s="54" t="str">
        <f>'36. Generic chemical products'!AA24</f>
        <v>USEtox</v>
      </c>
      <c r="AB172" s="300">
        <f>$C$27*I172</f>
        <v>2.0000000000000003E-6</v>
      </c>
      <c r="AC172" s="301">
        <f>$C$42*O172</f>
        <v>2.0000000000000004E-4</v>
      </c>
      <c r="AD172" s="302">
        <f t="shared" si="47"/>
        <v>3.5033106956841625E-12</v>
      </c>
      <c r="AE172" s="302">
        <f t="shared" si="36"/>
        <v>0</v>
      </c>
      <c r="AF172" s="303">
        <f t="shared" si="37"/>
        <v>3.833249247798081E-2</v>
      </c>
      <c r="AG172" s="303">
        <f t="shared" si="38"/>
        <v>6.2054426047436803E-14</v>
      </c>
      <c r="AH172" s="303">
        <f t="shared" si="39"/>
        <v>0</v>
      </c>
      <c r="AI172" s="303">
        <f t="shared" si="40"/>
        <v>5.2646159149473397E-6</v>
      </c>
      <c r="AJ172" s="303">
        <f t="shared" si="41"/>
        <v>3.4412562696367258E-12</v>
      </c>
      <c r="AK172" s="303">
        <f t="shared" si="42"/>
        <v>0</v>
      </c>
      <c r="AL172" s="303">
        <f t="shared" si="43"/>
        <v>3.8327227862065862E-2</v>
      </c>
      <c r="AM172" s="304">
        <f t="shared" si="44"/>
        <v>3.5033106956841625E-12</v>
      </c>
      <c r="AN172" s="305">
        <f t="shared" si="45"/>
        <v>0</v>
      </c>
      <c r="AO172" s="306">
        <f t="shared" si="46"/>
        <v>3.833249247798081E-2</v>
      </c>
    </row>
    <row r="173" spans="1:41" s="51" customFormat="1" ht="15" customHeight="1" x14ac:dyDescent="0.2">
      <c r="A173" s="54" t="str">
        <f>'36. Generic chemical products'!A25</f>
        <v>Wetting agent/Penetration agent, worst case (Cottoclarin ok 88 ECO)</v>
      </c>
      <c r="B173" s="54" t="str">
        <f>'36. Generic chemical products'!B25</f>
        <v>Ethoxylated alcohol (NPEO)</v>
      </c>
      <c r="C173" s="54">
        <f>'36. Generic chemical products'!C25</f>
        <v>0.1</v>
      </c>
      <c r="D173" s="54" t="str">
        <f>'36. Generic chemical products'!D25</f>
        <v>kg</v>
      </c>
      <c r="E173" s="54" t="str">
        <f>'36. Generic chemical products'!E25</f>
        <v>MSDS</v>
      </c>
      <c r="F173" s="54">
        <f>'36. Generic chemical products'!F25</f>
        <v>0</v>
      </c>
      <c r="G173" s="54" t="str">
        <f>'36. Generic chemical products'!G25</f>
        <v>Nonylphenol ethoxylate (NPEO)</v>
      </c>
      <c r="H173" s="54" t="str">
        <f>'36. Generic chemical products'!H25</f>
        <v>high. pop.</v>
      </c>
      <c r="I173" s="54">
        <f>'36. Generic chemical products'!I25</f>
        <v>1E-4</v>
      </c>
      <c r="J173" s="54" t="str">
        <f>'36. Generic chemical products'!J25</f>
        <v>kg</v>
      </c>
      <c r="K173" s="54">
        <f>'36. Generic chemical products'!K25</f>
        <v>0</v>
      </c>
      <c r="L173" s="54">
        <f>'36. Generic chemical products'!L25</f>
        <v>0</v>
      </c>
      <c r="M173" s="54" t="str">
        <f>'36. Generic chemical products'!M25</f>
        <v>Nonylphenol ethoxylate (NPEO)</v>
      </c>
      <c r="N173" s="54" t="str">
        <f>'36. Generic chemical products'!N25</f>
        <v>river</v>
      </c>
      <c r="O173" s="54">
        <f>'36. Generic chemical products'!O25</f>
        <v>1.0000000000000002E-2</v>
      </c>
      <c r="P173" s="54" t="str">
        <f>'36. Generic chemical products'!P25</f>
        <v>kg</v>
      </c>
      <c r="Q173" s="54">
        <f>'36. Generic chemical products'!Q25</f>
        <v>0</v>
      </c>
      <c r="R173" s="54">
        <f>'36. Generic chemical products'!R25</f>
        <v>0</v>
      </c>
      <c r="S173" s="54">
        <f>'36. Generic chemical products'!S25</f>
        <v>0</v>
      </c>
      <c r="T173" s="54" t="str">
        <f>'36. Generic chemical products'!T25</f>
        <v>9016-45-9</v>
      </c>
      <c r="U173" s="54">
        <f>'36. Generic chemical products'!U25</f>
        <v>0</v>
      </c>
      <c r="V173" s="54">
        <f>'36. Generic chemical products'!V25</f>
        <v>0</v>
      </c>
      <c r="W173" s="54">
        <f>'36. Generic chemical products'!W25</f>
        <v>0</v>
      </c>
      <c r="X173" s="54">
        <f>'36. Generic chemical products'!X25</f>
        <v>0</v>
      </c>
      <c r="Y173" s="54">
        <f>'36. Generic chemical products'!Y25</f>
        <v>63</v>
      </c>
      <c r="Z173" s="54">
        <f>'36. Generic chemical products'!Z25</f>
        <v>2910</v>
      </c>
      <c r="AA173" s="54" t="str">
        <f>'36. Generic chemical products'!AA25</f>
        <v>COSMEDE</v>
      </c>
      <c r="AB173" s="300">
        <f>$C$27*I173</f>
        <v>1.0000000000000002E-6</v>
      </c>
      <c r="AC173" s="301">
        <f>$C$42*O173</f>
        <v>1.0000000000000002E-4</v>
      </c>
      <c r="AD173" s="302">
        <f t="shared" si="47"/>
        <v>0</v>
      </c>
      <c r="AE173" s="302">
        <f t="shared" si="36"/>
        <v>0</v>
      </c>
      <c r="AF173" s="303">
        <f t="shared" si="37"/>
        <v>0.29106300000000002</v>
      </c>
      <c r="AG173" s="303">
        <f t="shared" si="38"/>
        <v>0</v>
      </c>
      <c r="AH173" s="303">
        <f t="shared" si="39"/>
        <v>0</v>
      </c>
      <c r="AI173" s="303">
        <f t="shared" si="40"/>
        <v>6.3000000000000013E-5</v>
      </c>
      <c r="AJ173" s="303">
        <f t="shared" si="41"/>
        <v>0</v>
      </c>
      <c r="AK173" s="303">
        <f t="shared" si="42"/>
        <v>0</v>
      </c>
      <c r="AL173" s="303">
        <f t="shared" si="43"/>
        <v>0.29100000000000004</v>
      </c>
      <c r="AM173" s="304">
        <f t="shared" si="44"/>
        <v>0</v>
      </c>
      <c r="AN173" s="305">
        <f t="shared" si="45"/>
        <v>0</v>
      </c>
      <c r="AO173" s="306">
        <f t="shared" si="46"/>
        <v>0.29106300000000002</v>
      </c>
    </row>
    <row r="174" spans="1:41" s="139" customFormat="1" ht="15" customHeight="1" x14ac:dyDescent="0.2">
      <c r="A174" s="141" t="str">
        <f>'36. Generic chemical products'!A26</f>
        <v>Wetting agent/Penetration agent, worst case (Cottoclarin ok 88 ECO)</v>
      </c>
      <c r="B174" s="141" t="str">
        <f>'36. Generic chemical products'!B26</f>
        <v>Nonylphenol</v>
      </c>
      <c r="C174" s="141">
        <f>'36. Generic chemical products'!C26</f>
        <v>0</v>
      </c>
      <c r="D174" s="141">
        <f>'36. Generic chemical products'!D26</f>
        <v>0</v>
      </c>
      <c r="E174" s="141" t="str">
        <f>'36. Generic chemical products'!E26</f>
        <v>Breakdown product</v>
      </c>
      <c r="F174" s="141">
        <f>'36. Generic chemical products'!F26</f>
        <v>0</v>
      </c>
      <c r="G174" s="141" t="str">
        <f>'36. Generic chemical products'!G26</f>
        <v>-</v>
      </c>
      <c r="H174" s="141">
        <f>'36. Generic chemical products'!H26</f>
        <v>0</v>
      </c>
      <c r="I174" s="141">
        <f>'36. Generic chemical products'!I26</f>
        <v>0</v>
      </c>
      <c r="J174" s="141">
        <f>'36. Generic chemical products'!J26</f>
        <v>0</v>
      </c>
      <c r="K174" s="141">
        <f>'36. Generic chemical products'!K26</f>
        <v>0</v>
      </c>
      <c r="L174" s="141">
        <f>'36. Generic chemical products'!L26</f>
        <v>0</v>
      </c>
      <c r="M174" s="141" t="str">
        <f>'36. Generic chemical products'!M26</f>
        <v>Nonylphenol</v>
      </c>
      <c r="N174" s="141" t="str">
        <f>'36. Generic chemical products'!N26</f>
        <v>river</v>
      </c>
      <c r="O174" s="141">
        <f>'36. Generic chemical products'!O26</f>
        <v>1.0000000000000001E-5</v>
      </c>
      <c r="P174" s="141" t="str">
        <f>'36. Generic chemical products'!P26</f>
        <v>kg</v>
      </c>
      <c r="Q174" s="141" t="str">
        <f>'36. Generic chemical products'!Q26</f>
        <v>0.1 % of the content is degraded to common breakdown products.</v>
      </c>
      <c r="R174" s="141">
        <f>'36. Generic chemical products'!R26</f>
        <v>0</v>
      </c>
      <c r="S174" s="141">
        <f>'36. Generic chemical products'!S26</f>
        <v>0</v>
      </c>
      <c r="T174" s="141" t="str">
        <f>'36. Generic chemical products'!T26</f>
        <v>25154-52-3</v>
      </c>
      <c r="U174" s="141">
        <f>'36. Generic chemical products'!U26</f>
        <v>0</v>
      </c>
      <c r="V174" s="141">
        <f>'36. Generic chemical products'!V26</f>
        <v>0</v>
      </c>
      <c r="W174" s="141">
        <f>'36. Generic chemical products'!W26</f>
        <v>0</v>
      </c>
      <c r="X174" s="141">
        <f>'36. Generic chemical products'!X26</f>
        <v>0</v>
      </c>
      <c r="Y174" s="141">
        <f>'36. Generic chemical products'!Y26</f>
        <v>63.500038841149426</v>
      </c>
      <c r="Z174" s="141">
        <f>'36. Generic chemical products'!Z26</f>
        <v>10848.472578502809</v>
      </c>
      <c r="AA174" s="141" t="str">
        <f>'36. Generic chemical products'!AA26</f>
        <v>USEtox</v>
      </c>
      <c r="AB174" s="307">
        <f>$C$27*I174</f>
        <v>0</v>
      </c>
      <c r="AC174" s="308">
        <f>$C$42*O174</f>
        <v>1.0000000000000001E-7</v>
      </c>
      <c r="AD174" s="309">
        <f t="shared" si="47"/>
        <v>0</v>
      </c>
      <c r="AE174" s="309">
        <f t="shared" si="36"/>
        <v>0</v>
      </c>
      <c r="AF174" s="310">
        <f t="shared" si="37"/>
        <v>1.084847257850281E-3</v>
      </c>
      <c r="AG174" s="310">
        <f t="shared" si="38"/>
        <v>0</v>
      </c>
      <c r="AH174" s="310">
        <f t="shared" si="39"/>
        <v>0</v>
      </c>
      <c r="AI174" s="310">
        <f t="shared" si="40"/>
        <v>0</v>
      </c>
      <c r="AJ174" s="310">
        <f t="shared" si="41"/>
        <v>0</v>
      </c>
      <c r="AK174" s="310">
        <f t="shared" si="42"/>
        <v>0</v>
      </c>
      <c r="AL174" s="310">
        <f t="shared" si="43"/>
        <v>1.084847257850281E-3</v>
      </c>
      <c r="AM174" s="311">
        <f t="shared" si="44"/>
        <v>0</v>
      </c>
      <c r="AN174" s="312">
        <f t="shared" si="45"/>
        <v>0</v>
      </c>
      <c r="AO174" s="313">
        <f t="shared" si="46"/>
        <v>1.084847257850281E-3</v>
      </c>
    </row>
    <row r="175" spans="1:41" s="51" customFormat="1" ht="15" customHeight="1" x14ac:dyDescent="0.2">
      <c r="A175" s="68" t="str">
        <f>'36. Generic chemical products'!A33</f>
        <v>Dispergent, average (ALBAFLOW UNI-01)</v>
      </c>
      <c r="B175" s="68" t="str">
        <f>'36. Generic chemical products'!B33</f>
        <v>Isotridecanol ethoxylated</v>
      </c>
      <c r="C175" s="68">
        <f>'36. Generic chemical products'!C33</f>
        <v>0.1</v>
      </c>
      <c r="D175" s="68" t="str">
        <f>'36. Generic chemical products'!D33</f>
        <v>kg</v>
      </c>
      <c r="E175" s="68" t="str">
        <f>'36. Generic chemical products'!E33</f>
        <v>MSDS</v>
      </c>
      <c r="F175" s="68">
        <f>'36. Generic chemical products'!F33</f>
        <v>0</v>
      </c>
      <c r="G175" s="68" t="str">
        <f>'36. Generic chemical products'!G33</f>
        <v>Isotridecanol ethoxylated</v>
      </c>
      <c r="H175" s="68" t="str">
        <f>'36. Generic chemical products'!H33</f>
        <v>high. pop.</v>
      </c>
      <c r="I175" s="68">
        <f>'36. Generic chemical products'!I33</f>
        <v>1E-4</v>
      </c>
      <c r="J175" s="68" t="str">
        <f>'36. Generic chemical products'!J33</f>
        <v>kg</v>
      </c>
      <c r="K175" s="68">
        <f>'36. Generic chemical products'!K33</f>
        <v>0</v>
      </c>
      <c r="L175" s="68">
        <f>'36. Generic chemical products'!L33</f>
        <v>0</v>
      </c>
      <c r="M175" s="68" t="str">
        <f>'36. Generic chemical products'!M33</f>
        <v>Isotridecanol ethoxylated</v>
      </c>
      <c r="N175" s="68" t="str">
        <f>'36. Generic chemical products'!N33</f>
        <v>river</v>
      </c>
      <c r="O175" s="68">
        <f>'36. Generic chemical products'!O33</f>
        <v>1.0000000000000002E-2</v>
      </c>
      <c r="P175" s="68" t="str">
        <f>'36. Generic chemical products'!P33</f>
        <v>kg</v>
      </c>
      <c r="Q175" s="68">
        <f>'36. Generic chemical products'!Q33</f>
        <v>0</v>
      </c>
      <c r="R175" s="68">
        <f>'36. Generic chemical products'!R33</f>
        <v>0</v>
      </c>
      <c r="S175" s="68">
        <f>'36. Generic chemical products'!S33</f>
        <v>0</v>
      </c>
      <c r="T175" s="68" t="str">
        <f>'36. Generic chemical products'!T33</f>
        <v>69011-36-5</v>
      </c>
      <c r="U175" s="68">
        <f>'36. Generic chemical products'!U33</f>
        <v>0</v>
      </c>
      <c r="V175" s="68">
        <f>'36. Generic chemical products'!V33</f>
        <v>0</v>
      </c>
      <c r="W175" s="68">
        <f>'36. Generic chemical products'!W33</f>
        <v>0</v>
      </c>
      <c r="X175" s="68">
        <f>'36. Generic chemical products'!X33</f>
        <v>0</v>
      </c>
      <c r="Y175" s="68">
        <f>'36. Generic chemical products'!Y33</f>
        <v>47</v>
      </c>
      <c r="Z175" s="68">
        <f>'36. Generic chemical products'!Z33</f>
        <v>913</v>
      </c>
      <c r="AA175" s="68" t="str">
        <f>'36. Generic chemical products'!AA33</f>
        <v>COSMEDE</v>
      </c>
      <c r="AB175" s="300">
        <f>$C$28*I175</f>
        <v>1.5E-6</v>
      </c>
      <c r="AC175" s="301">
        <f>$C$43*O175</f>
        <v>1.5000000000000001E-4</v>
      </c>
      <c r="AD175" s="302">
        <f t="shared" si="47"/>
        <v>0</v>
      </c>
      <c r="AE175" s="302">
        <f t="shared" si="36"/>
        <v>0</v>
      </c>
      <c r="AF175" s="303">
        <f t="shared" si="37"/>
        <v>0.13702050000000002</v>
      </c>
      <c r="AG175" s="303">
        <f t="shared" si="38"/>
        <v>0</v>
      </c>
      <c r="AH175" s="303">
        <f t="shared" si="39"/>
        <v>0</v>
      </c>
      <c r="AI175" s="303">
        <f t="shared" si="40"/>
        <v>7.0500000000000006E-5</v>
      </c>
      <c r="AJ175" s="303">
        <f t="shared" si="41"/>
        <v>0</v>
      </c>
      <c r="AK175" s="303">
        <f t="shared" si="42"/>
        <v>0</v>
      </c>
      <c r="AL175" s="303">
        <f t="shared" si="43"/>
        <v>0.13695000000000002</v>
      </c>
      <c r="AM175" s="304">
        <f t="shared" si="44"/>
        <v>0</v>
      </c>
      <c r="AN175" s="305">
        <f t="shared" si="45"/>
        <v>0</v>
      </c>
      <c r="AO175" s="306">
        <f t="shared" si="46"/>
        <v>0.13702050000000002</v>
      </c>
    </row>
    <row r="176" spans="1:41" s="139" customFormat="1" ht="15" customHeight="1" x14ac:dyDescent="0.2">
      <c r="A176" s="193" t="str">
        <f>'36. Generic chemical products'!A34</f>
        <v>Dispergent, average (ALBAFLOW UNI-01)</v>
      </c>
      <c r="B176" s="193" t="str">
        <f>'36. Generic chemical products'!B34</f>
        <v>C9-11 Alkohol ethoxylate</v>
      </c>
      <c r="C176" s="193">
        <f>'36. Generic chemical products'!C34</f>
        <v>0.2</v>
      </c>
      <c r="D176" s="193" t="str">
        <f>'36. Generic chemical products'!D34</f>
        <v>kg</v>
      </c>
      <c r="E176" s="193" t="str">
        <f>'36. Generic chemical products'!E34</f>
        <v>MSDS</v>
      </c>
      <c r="F176" s="193">
        <f>'36. Generic chemical products'!F34</f>
        <v>0</v>
      </c>
      <c r="G176" s="193" t="str">
        <f>'36. Generic chemical products'!G34</f>
        <v>C9-11 Alkohol ethoxylate</v>
      </c>
      <c r="H176" s="193" t="str">
        <f>'36. Generic chemical products'!H34</f>
        <v>high. pop.</v>
      </c>
      <c r="I176" s="193">
        <f>'36. Generic chemical products'!I34</f>
        <v>2.0000000000000001E-4</v>
      </c>
      <c r="J176" s="193" t="str">
        <f>'36. Generic chemical products'!J34</f>
        <v>kg</v>
      </c>
      <c r="K176" s="193">
        <f>'36. Generic chemical products'!K34</f>
        <v>0</v>
      </c>
      <c r="L176" s="193">
        <f>'36. Generic chemical products'!L34</f>
        <v>0</v>
      </c>
      <c r="M176" s="193" t="str">
        <f>'36. Generic chemical products'!M34</f>
        <v>C9-11 Alkohol ethoxylate</v>
      </c>
      <c r="N176" s="193" t="str">
        <f>'36. Generic chemical products'!N34</f>
        <v>river</v>
      </c>
      <c r="O176" s="193">
        <f>'36. Generic chemical products'!O34</f>
        <v>2.0000000000000004E-2</v>
      </c>
      <c r="P176" s="193" t="str">
        <f>'36. Generic chemical products'!P34</f>
        <v>kg</v>
      </c>
      <c r="Q176" s="193">
        <f>'36. Generic chemical products'!Q34</f>
        <v>0</v>
      </c>
      <c r="R176" s="193">
        <f>'36. Generic chemical products'!R34</f>
        <v>0</v>
      </c>
      <c r="S176" s="193">
        <f>'36. Generic chemical products'!S34</f>
        <v>0</v>
      </c>
      <c r="T176" s="193" t="str">
        <f>'36. Generic chemical products'!T34</f>
        <v>68439-46-3</v>
      </c>
      <c r="U176" s="193">
        <f>'36. Generic chemical products'!U34</f>
        <v>0</v>
      </c>
      <c r="V176" s="193">
        <f>'36. Generic chemical products'!V34</f>
        <v>0</v>
      </c>
      <c r="W176" s="193">
        <f>'36. Generic chemical products'!W34</f>
        <v>0</v>
      </c>
      <c r="X176" s="193">
        <f>'36. Generic chemical products'!X34</f>
        <v>0</v>
      </c>
      <c r="Y176" s="193">
        <f>'36. Generic chemical products'!Y34</f>
        <v>53</v>
      </c>
      <c r="Z176" s="193">
        <f>'36. Generic chemical products'!Z34</f>
        <v>687</v>
      </c>
      <c r="AA176" s="193" t="str">
        <f>'36. Generic chemical products'!AA34</f>
        <v>COSMEDE</v>
      </c>
      <c r="AB176" s="307">
        <f>$C$28*I176</f>
        <v>3.0000000000000001E-6</v>
      </c>
      <c r="AC176" s="308">
        <f>$C$43*O176</f>
        <v>3.0000000000000003E-4</v>
      </c>
      <c r="AD176" s="309">
        <f t="shared" si="47"/>
        <v>0</v>
      </c>
      <c r="AE176" s="309">
        <f t="shared" si="36"/>
        <v>0</v>
      </c>
      <c r="AF176" s="310">
        <f t="shared" si="37"/>
        <v>0.206259</v>
      </c>
      <c r="AG176" s="310">
        <f t="shared" si="38"/>
        <v>0</v>
      </c>
      <c r="AH176" s="310">
        <f t="shared" si="39"/>
        <v>0</v>
      </c>
      <c r="AI176" s="310">
        <f t="shared" si="40"/>
        <v>1.5900000000000002E-4</v>
      </c>
      <c r="AJ176" s="310">
        <f t="shared" si="41"/>
        <v>0</v>
      </c>
      <c r="AK176" s="310">
        <f t="shared" si="42"/>
        <v>0</v>
      </c>
      <c r="AL176" s="310">
        <f t="shared" si="43"/>
        <v>0.20610000000000001</v>
      </c>
      <c r="AM176" s="311">
        <f t="shared" si="44"/>
        <v>0</v>
      </c>
      <c r="AN176" s="312">
        <f t="shared" si="45"/>
        <v>0</v>
      </c>
      <c r="AO176" s="313">
        <f t="shared" si="46"/>
        <v>0.206259</v>
      </c>
    </row>
    <row r="177" spans="1:41" s="195" customFormat="1" ht="15" customHeight="1" x14ac:dyDescent="0.2">
      <c r="A177" s="194" t="str">
        <f>'36. Generic chemical products'!A35</f>
        <v>Decalcifier ((NH4)2SO4), average</v>
      </c>
      <c r="B177" s="194" t="str">
        <f>'36. Generic chemical products'!B35</f>
        <v>Ammonium sulphate</v>
      </c>
      <c r="C177" s="194">
        <f>'36. Generic chemical products'!C35</f>
        <v>1</v>
      </c>
      <c r="D177" s="194" t="str">
        <f>'36. Generic chemical products'!D35</f>
        <v>kg</v>
      </c>
      <c r="E177" s="194">
        <f>'36. Generic chemical products'!E35</f>
        <v>1</v>
      </c>
      <c r="F177" s="194">
        <f>'36. Generic chemical products'!F35</f>
        <v>0</v>
      </c>
      <c r="G177" s="194" t="str">
        <f>'36. Generic chemical products'!G35</f>
        <v>-</v>
      </c>
      <c r="H177" s="194">
        <f>'36. Generic chemical products'!H35</f>
        <v>0</v>
      </c>
      <c r="I177" s="194">
        <f>'36. Generic chemical products'!I35</f>
        <v>0</v>
      </c>
      <c r="J177" s="194">
        <f>'36. Generic chemical products'!J35</f>
        <v>0</v>
      </c>
      <c r="K177" s="194">
        <f>'36. Generic chemical products'!K35</f>
        <v>0</v>
      </c>
      <c r="L177" s="194">
        <f>'36. Generic chemical products'!L35</f>
        <v>0</v>
      </c>
      <c r="M177" s="194" t="str">
        <f>'36. Generic chemical products'!M35</f>
        <v>Ammonium sulphate</v>
      </c>
      <c r="N177" s="194" t="str">
        <f>'36. Generic chemical products'!N35</f>
        <v>river</v>
      </c>
      <c r="O177" s="194">
        <f>'36. Generic chemical products'!O35</f>
        <v>0.1</v>
      </c>
      <c r="P177" s="194" t="str">
        <f>'36. Generic chemical products'!P35</f>
        <v>kg</v>
      </c>
      <c r="Q177" s="194">
        <f>'36. Generic chemical products'!Q35</f>
        <v>0</v>
      </c>
      <c r="R177" s="194">
        <f>'36. Generic chemical products'!R35</f>
        <v>0</v>
      </c>
      <c r="S177" s="194">
        <f>'36. Generic chemical products'!S35</f>
        <v>0</v>
      </c>
      <c r="T177" s="194" t="str">
        <f>'36. Generic chemical products'!T35</f>
        <v>7783-20-2</v>
      </c>
      <c r="U177" s="194">
        <f>'36. Generic chemical products'!U35</f>
        <v>0</v>
      </c>
      <c r="V177" s="194">
        <f>'36. Generic chemical products'!V35</f>
        <v>0</v>
      </c>
      <c r="W177" s="194">
        <f>'36. Generic chemical products'!W35</f>
        <v>0</v>
      </c>
      <c r="X177" s="194">
        <f>'36. Generic chemical products'!X35</f>
        <v>0</v>
      </c>
      <c r="Y177" s="194">
        <f>'36. Generic chemical products'!Y35</f>
        <v>4.9000000000000004</v>
      </c>
      <c r="Z177" s="194">
        <f>'36. Generic chemical products'!Z35</f>
        <v>100</v>
      </c>
      <c r="AA177" s="194" t="str">
        <f>'36. Generic chemical products'!AA35</f>
        <v>COSMEDE</v>
      </c>
      <c r="AB177" s="327">
        <f>$C$29*I177</f>
        <v>0</v>
      </c>
      <c r="AC177" s="328">
        <f>$C$44*O177</f>
        <v>1E-3</v>
      </c>
      <c r="AD177" s="329">
        <f t="shared" si="47"/>
        <v>0</v>
      </c>
      <c r="AE177" s="329">
        <f t="shared" si="36"/>
        <v>0</v>
      </c>
      <c r="AF177" s="330">
        <f t="shared" si="37"/>
        <v>0.1</v>
      </c>
      <c r="AG177" s="330">
        <f t="shared" si="38"/>
        <v>0</v>
      </c>
      <c r="AH177" s="330">
        <f t="shared" si="39"/>
        <v>0</v>
      </c>
      <c r="AI177" s="330">
        <f t="shared" si="40"/>
        <v>0</v>
      </c>
      <c r="AJ177" s="330">
        <f t="shared" si="41"/>
        <v>0</v>
      </c>
      <c r="AK177" s="330">
        <f t="shared" si="42"/>
        <v>0</v>
      </c>
      <c r="AL177" s="330">
        <f t="shared" si="43"/>
        <v>0.1</v>
      </c>
      <c r="AM177" s="331">
        <f t="shared" si="44"/>
        <v>0</v>
      </c>
      <c r="AN177" s="332">
        <f t="shared" si="45"/>
        <v>0</v>
      </c>
      <c r="AO177" s="333">
        <f t="shared" si="46"/>
        <v>0.1</v>
      </c>
    </row>
    <row r="178" spans="1:41" s="195" customFormat="1" ht="15" customHeight="1" x14ac:dyDescent="0.2">
      <c r="A178" s="196" t="str">
        <f>'36. Generic chemical products'!A36</f>
        <v>Antireduction agent (H2O2), average</v>
      </c>
      <c r="B178" s="196" t="str">
        <f>'36. Generic chemical products'!B36</f>
        <v>Hydrogen peroxide</v>
      </c>
      <c r="C178" s="196">
        <f>'36. Generic chemical products'!C36</f>
        <v>1</v>
      </c>
      <c r="D178" s="196" t="str">
        <f>'36. Generic chemical products'!D36</f>
        <v>kg</v>
      </c>
      <c r="E178" s="196">
        <f>'36. Generic chemical products'!E36</f>
        <v>1</v>
      </c>
      <c r="F178" s="196">
        <f>'36. Generic chemical products'!F36</f>
        <v>0</v>
      </c>
      <c r="G178" s="196" t="str">
        <f>'36. Generic chemical products'!G36</f>
        <v>Hydrogen peroxide</v>
      </c>
      <c r="H178" s="196" t="str">
        <f>'36. Generic chemical products'!H36</f>
        <v>high. pop.</v>
      </c>
      <c r="I178" s="196">
        <f>'36. Generic chemical products'!I36</f>
        <v>1E-3</v>
      </c>
      <c r="J178" s="196" t="str">
        <f>'36. Generic chemical products'!J36</f>
        <v>kg</v>
      </c>
      <c r="K178" s="196">
        <f>'36. Generic chemical products'!K36</f>
        <v>0</v>
      </c>
      <c r="L178" s="196">
        <f>'36. Generic chemical products'!L36</f>
        <v>0</v>
      </c>
      <c r="M178" s="196" t="str">
        <f>'36. Generic chemical products'!M36</f>
        <v>Hydrogen peroxide</v>
      </c>
      <c r="N178" s="196" t="str">
        <f>'36. Generic chemical products'!N36</f>
        <v>river</v>
      </c>
      <c r="O178" s="196">
        <f>'36. Generic chemical products'!O36</f>
        <v>1.0000000000000002E-2</v>
      </c>
      <c r="P178" s="196" t="str">
        <f>'36. Generic chemical products'!P36</f>
        <v>kg</v>
      </c>
      <c r="Q178" s="196" t="str">
        <f>'36. Generic chemical products'!Q36</f>
        <v>90% of reactive chemicals are degraded during operations.</v>
      </c>
      <c r="R178" s="196">
        <f>'36. Generic chemical products'!R36</f>
        <v>0</v>
      </c>
      <c r="S178" s="196">
        <f>'36. Generic chemical products'!S36</f>
        <v>0</v>
      </c>
      <c r="T178" s="196" t="str">
        <f>'36. Generic chemical products'!T36</f>
        <v>7722-84-1</v>
      </c>
      <c r="U178" s="196">
        <f>'36. Generic chemical products'!U36</f>
        <v>0</v>
      </c>
      <c r="V178" s="196">
        <f>'36. Generic chemical products'!V36</f>
        <v>0</v>
      </c>
      <c r="W178" s="196">
        <f>'36. Generic chemical products'!W36</f>
        <v>0</v>
      </c>
      <c r="X178" s="196">
        <f>'36. Generic chemical products'!X36</f>
        <v>0</v>
      </c>
      <c r="Y178" s="196">
        <f>'36. Generic chemical products'!Y36</f>
        <v>222</v>
      </c>
      <c r="Z178" s="196">
        <f>'36. Generic chemical products'!Z36</f>
        <v>53200</v>
      </c>
      <c r="AA178" s="196" t="str">
        <f>'36. Generic chemical products'!AA36</f>
        <v>COSMEDE</v>
      </c>
      <c r="AB178" s="327">
        <f>$C$30*I178</f>
        <v>1.5E-5</v>
      </c>
      <c r="AC178" s="328">
        <f>$C$45*O178</f>
        <v>1.5000000000000001E-4</v>
      </c>
      <c r="AD178" s="329">
        <f t="shared" si="47"/>
        <v>0</v>
      </c>
      <c r="AE178" s="329">
        <f t="shared" si="36"/>
        <v>0</v>
      </c>
      <c r="AF178" s="330">
        <f t="shared" si="37"/>
        <v>7.9833300000000005</v>
      </c>
      <c r="AG178" s="330">
        <f t="shared" si="38"/>
        <v>0</v>
      </c>
      <c r="AH178" s="330">
        <f t="shared" si="39"/>
        <v>0</v>
      </c>
      <c r="AI178" s="330">
        <f t="shared" si="40"/>
        <v>3.3300000000000001E-3</v>
      </c>
      <c r="AJ178" s="330">
        <f t="shared" si="41"/>
        <v>0</v>
      </c>
      <c r="AK178" s="330">
        <f t="shared" si="42"/>
        <v>0</v>
      </c>
      <c r="AL178" s="330">
        <f t="shared" si="43"/>
        <v>7.98</v>
      </c>
      <c r="AM178" s="331">
        <f t="shared" si="44"/>
        <v>0</v>
      </c>
      <c r="AN178" s="332">
        <f t="shared" si="45"/>
        <v>0</v>
      </c>
      <c r="AO178" s="333">
        <f t="shared" si="46"/>
        <v>7.9833300000000005</v>
      </c>
    </row>
    <row r="179" spans="1:41" s="195" customFormat="1" ht="15" customHeight="1" x14ac:dyDescent="0.2">
      <c r="A179" s="418" t="str">
        <f>'36. Generic chemical products'!A75</f>
        <v>Pigment (Terasil Black P-R liq.50%)</v>
      </c>
      <c r="B179" s="418" t="str">
        <f>'36. Generic chemical products'!B75</f>
        <v>C.I. Disperse Black 9</v>
      </c>
      <c r="C179" s="418">
        <f>'36. Generic chemical products'!C75</f>
        <v>0.5</v>
      </c>
      <c r="D179" s="418" t="str">
        <f>'36. Generic chemical products'!D75</f>
        <v>kg</v>
      </c>
      <c r="E179" s="418" t="str">
        <f>'36. Generic chemical products'!E75</f>
        <v>Selected from Colour Index database. Assumption..</v>
      </c>
      <c r="F179" s="418">
        <f>'36. Generic chemical products'!F75</f>
        <v>0</v>
      </c>
      <c r="G179" s="418" t="str">
        <f>'36. Generic chemical products'!G75</f>
        <v>C.I. Disperse Black 9</v>
      </c>
      <c r="H179" s="418" t="str">
        <f>'36. Generic chemical products'!H75</f>
        <v>high. pop.</v>
      </c>
      <c r="I179" s="418">
        <f>'36. Generic chemical products'!I75</f>
        <v>5.0000000000000001E-4</v>
      </c>
      <c r="J179" s="418" t="str">
        <f>'36. Generic chemical products'!J75</f>
        <v>kg</v>
      </c>
      <c r="K179" s="418">
        <f>'36. Generic chemical products'!K75</f>
        <v>0</v>
      </c>
      <c r="L179" s="418">
        <f>'36. Generic chemical products'!L75</f>
        <v>0</v>
      </c>
      <c r="M179" s="418" t="str">
        <f>'36. Generic chemical products'!M75</f>
        <v>C.I. Disperse Black 9</v>
      </c>
      <c r="N179" s="418" t="str">
        <f>'36. Generic chemical products'!N75</f>
        <v>river</v>
      </c>
      <c r="O179" s="418">
        <f>'36. Generic chemical products'!O75</f>
        <v>2.5000000000000005E-3</v>
      </c>
      <c r="P179" s="418" t="str">
        <f>'36. Generic chemical products'!P75</f>
        <v>kg</v>
      </c>
      <c r="Q179" s="418" t="str">
        <f>'36. Generic chemical products'!Q75</f>
        <v>95% on fabric</v>
      </c>
      <c r="R179" s="418">
        <f>'36. Generic chemical products'!R75</f>
        <v>0</v>
      </c>
      <c r="S179" s="418">
        <f>'36. Generic chemical products'!S75</f>
        <v>0</v>
      </c>
      <c r="T179" s="418" t="str">
        <f>'36. Generic chemical products'!T75</f>
        <v>20721-50-0/12222-69-4</v>
      </c>
      <c r="U179" s="418">
        <f>'36. Generic chemical products'!U75</f>
        <v>0</v>
      </c>
      <c r="V179" s="418">
        <f>'36. Generic chemical products'!V75</f>
        <v>1.1888893581402534E-5</v>
      </c>
      <c r="W179" s="418">
        <f>'36. Generic chemical products'!W75</f>
        <v>0</v>
      </c>
      <c r="X179" s="418">
        <f>'36. Generic chemical products'!X75</f>
        <v>7.0689535047744857E-6</v>
      </c>
      <c r="Y179" s="418">
        <f>'36. Generic chemical products'!Y75</f>
        <v>1492.7897822209411</v>
      </c>
      <c r="Z179" s="418">
        <f>'36. Generic chemical products'!Z75</f>
        <v>7112.796756402201</v>
      </c>
      <c r="AA179" s="418" t="str">
        <f>'36. Generic chemical products'!AA75</f>
        <v>Roos 2017</v>
      </c>
      <c r="AB179" s="327">
        <f>$C$31*I179</f>
        <v>2.5000000000000001E-5</v>
      </c>
      <c r="AC179" s="328">
        <f>$C$46*O179</f>
        <v>1.2500000000000003E-4</v>
      </c>
      <c r="AD179" s="329">
        <f t="shared" si="47"/>
        <v>0</v>
      </c>
      <c r="AE179" s="329">
        <f t="shared" si="36"/>
        <v>1.1808415276318744E-9</v>
      </c>
      <c r="AF179" s="330">
        <f t="shared" si="37"/>
        <v>0.92641933910579888</v>
      </c>
      <c r="AG179" s="330">
        <f t="shared" si="38"/>
        <v>0</v>
      </c>
      <c r="AH179" s="330">
        <f t="shared" si="39"/>
        <v>2.9722233953506335E-10</v>
      </c>
      <c r="AI179" s="330">
        <f t="shared" si="40"/>
        <v>3.7319744555523532E-2</v>
      </c>
      <c r="AJ179" s="330">
        <f t="shared" si="41"/>
        <v>0</v>
      </c>
      <c r="AK179" s="330">
        <f t="shared" si="42"/>
        <v>8.8361918809681096E-10</v>
      </c>
      <c r="AL179" s="330">
        <f t="shared" si="43"/>
        <v>0.88909959455027532</v>
      </c>
      <c r="AM179" s="331">
        <f t="shared" si="44"/>
        <v>0</v>
      </c>
      <c r="AN179" s="332">
        <f t="shared" si="45"/>
        <v>1.1808415276318744E-9</v>
      </c>
      <c r="AO179" s="333">
        <f t="shared" si="46"/>
        <v>0.92641933910579888</v>
      </c>
    </row>
    <row r="180" spans="1:41" s="195" customFormat="1" ht="15" customHeight="1" x14ac:dyDescent="0.2">
      <c r="A180" s="194" t="str">
        <f>'36. Generic chemical products'!A16</f>
        <v>Base (alkali) (NaOH), average</v>
      </c>
      <c r="B180" s="194" t="str">
        <f>'36. Generic chemical products'!B16</f>
        <v>Sodium hydroxide</v>
      </c>
      <c r="C180" s="194">
        <f>'36. Generic chemical products'!C16</f>
        <v>1</v>
      </c>
      <c r="D180" s="194" t="str">
        <f>'36. Generic chemical products'!D16</f>
        <v>kg</v>
      </c>
      <c r="E180" s="194">
        <f>'36. Generic chemical products'!E16</f>
        <v>1</v>
      </c>
      <c r="F180" s="194">
        <f>'36. Generic chemical products'!F16</f>
        <v>0</v>
      </c>
      <c r="G180" s="194" t="str">
        <f>'36. Generic chemical products'!G16</f>
        <v>-</v>
      </c>
      <c r="H180" s="194">
        <f>'36. Generic chemical products'!H16</f>
        <v>0</v>
      </c>
      <c r="I180" s="194">
        <f>'36. Generic chemical products'!I16</f>
        <v>0</v>
      </c>
      <c r="J180" s="194">
        <f>'36. Generic chemical products'!J16</f>
        <v>0</v>
      </c>
      <c r="K180" s="194" t="str">
        <f>'36. Generic chemical products'!K16</f>
        <v>Worst case - mist carries substance</v>
      </c>
      <c r="L180" s="194">
        <f>'36. Generic chemical products'!L16</f>
        <v>0</v>
      </c>
      <c r="M180" s="194" t="str">
        <f>'36. Generic chemical products'!M16</f>
        <v>Sodium hydroxide</v>
      </c>
      <c r="N180" s="194" t="str">
        <f>'36. Generic chemical products'!N16</f>
        <v>river</v>
      </c>
      <c r="O180" s="194">
        <f>'36. Generic chemical products'!O16</f>
        <v>0.1</v>
      </c>
      <c r="P180" s="194" t="str">
        <f>'36. Generic chemical products'!P16</f>
        <v>kg</v>
      </c>
      <c r="Q180" s="194">
        <f>'36. Generic chemical products'!Q16</f>
        <v>0</v>
      </c>
      <c r="R180" s="194">
        <f>'36. Generic chemical products'!R16</f>
        <v>0</v>
      </c>
      <c r="S180" s="194">
        <f>'36. Generic chemical products'!S16</f>
        <v>0</v>
      </c>
      <c r="T180" s="194" t="str">
        <f>'36. Generic chemical products'!T16</f>
        <v>1310-73-2</v>
      </c>
      <c r="U180" s="194">
        <f>'36. Generic chemical products'!U16</f>
        <v>0</v>
      </c>
      <c r="V180" s="194">
        <f>'36. Generic chemical products'!V16</f>
        <v>0</v>
      </c>
      <c r="W180" s="194">
        <f>'36. Generic chemical products'!W16</f>
        <v>0</v>
      </c>
      <c r="X180" s="194">
        <f>'36. Generic chemical products'!X16</f>
        <v>0</v>
      </c>
      <c r="Y180" s="194">
        <f>'36. Generic chemical products'!Y16</f>
        <v>164.24</v>
      </c>
      <c r="Z180" s="194">
        <f>'36. Generic chemical products'!Z16</f>
        <v>400.09</v>
      </c>
      <c r="AA180" s="194" t="str">
        <f>'36. Generic chemical products'!AA16</f>
        <v>COSMEDE</v>
      </c>
      <c r="AB180" s="327">
        <f>$C$32*I180</f>
        <v>0</v>
      </c>
      <c r="AC180" s="328">
        <f>$C$47*O180</f>
        <v>5.0000000000000001E-4</v>
      </c>
      <c r="AD180" s="329">
        <f t="shared" si="47"/>
        <v>0</v>
      </c>
      <c r="AE180" s="329">
        <f t="shared" si="36"/>
        <v>0</v>
      </c>
      <c r="AF180" s="330">
        <f t="shared" si="37"/>
        <v>0.200045</v>
      </c>
      <c r="AG180" s="330">
        <f t="shared" si="38"/>
        <v>0</v>
      </c>
      <c r="AH180" s="330">
        <f t="shared" si="39"/>
        <v>0</v>
      </c>
      <c r="AI180" s="330">
        <f t="shared" si="40"/>
        <v>0</v>
      </c>
      <c r="AJ180" s="330">
        <f t="shared" si="41"/>
        <v>0</v>
      </c>
      <c r="AK180" s="330">
        <f t="shared" si="42"/>
        <v>0</v>
      </c>
      <c r="AL180" s="330">
        <f t="shared" si="43"/>
        <v>0.200045</v>
      </c>
      <c r="AM180" s="331">
        <f t="shared" si="44"/>
        <v>0</v>
      </c>
      <c r="AN180" s="332">
        <f t="shared" si="45"/>
        <v>0</v>
      </c>
      <c r="AO180" s="333">
        <f t="shared" si="46"/>
        <v>0.200045</v>
      </c>
    </row>
    <row r="181" spans="1:41" s="51" customFormat="1" ht="15" customHeight="1" x14ac:dyDescent="0.2">
      <c r="A181" s="68" t="str">
        <f>'36. Generic chemical products'!A41</f>
        <v>Reducing agent, average</v>
      </c>
      <c r="B181" s="68" t="str">
        <f>'36. Generic chemical products'!B41</f>
        <v>Sodium dithionite</v>
      </c>
      <c r="C181" s="68">
        <f>'36. Generic chemical products'!C41</f>
        <v>0.9</v>
      </c>
      <c r="D181" s="68" t="str">
        <f>'36. Generic chemical products'!D41</f>
        <v>kg</v>
      </c>
      <c r="E181" s="68" t="str">
        <f>'36. Generic chemical products'!E41</f>
        <v>MSDS</v>
      </c>
      <c r="F181" s="68">
        <f>'36. Generic chemical products'!F41</f>
        <v>0</v>
      </c>
      <c r="G181" s="68" t="str">
        <f>'36. Generic chemical products'!G41</f>
        <v>-</v>
      </c>
      <c r="H181" s="68">
        <f>'36. Generic chemical products'!H41</f>
        <v>0</v>
      </c>
      <c r="I181" s="68">
        <f>'36. Generic chemical products'!I41</f>
        <v>0</v>
      </c>
      <c r="J181" s="68">
        <f>'36. Generic chemical products'!J41</f>
        <v>0</v>
      </c>
      <c r="K181" s="68">
        <f>'36. Generic chemical products'!K41</f>
        <v>0</v>
      </c>
      <c r="L181" s="68">
        <f>'36. Generic chemical products'!L41</f>
        <v>0</v>
      </c>
      <c r="M181" s="68" t="str">
        <f>'36. Generic chemical products'!M41</f>
        <v>Sodium dithionite</v>
      </c>
      <c r="N181" s="68" t="str">
        <f>'36. Generic chemical products'!N41</f>
        <v>river</v>
      </c>
      <c r="O181" s="68">
        <f>'36. Generic chemical products'!O41</f>
        <v>9.0000000000000011E-2</v>
      </c>
      <c r="P181" s="68" t="str">
        <f>'36. Generic chemical products'!P41</f>
        <v>kg</v>
      </c>
      <c r="Q181" s="68">
        <f>'36. Generic chemical products'!Q41</f>
        <v>0</v>
      </c>
      <c r="R181" s="68">
        <f>'36. Generic chemical products'!R41</f>
        <v>0</v>
      </c>
      <c r="S181" s="68">
        <f>'36. Generic chemical products'!S41</f>
        <v>0</v>
      </c>
      <c r="T181" s="68" t="str">
        <f>'36. Generic chemical products'!T41</f>
        <v>7775-14-6</v>
      </c>
      <c r="U181" s="68">
        <f>'36. Generic chemical products'!U41</f>
        <v>0</v>
      </c>
      <c r="V181" s="68">
        <f>'36. Generic chemical products'!V41</f>
        <v>0</v>
      </c>
      <c r="W181" s="68">
        <f>'36. Generic chemical products'!W41</f>
        <v>0</v>
      </c>
      <c r="X181" s="68">
        <f>'36. Generic chemical products'!X41</f>
        <v>0</v>
      </c>
      <c r="Y181" s="68">
        <f>'36. Generic chemical products'!Y41</f>
        <v>52.575000000000003</v>
      </c>
      <c r="Z181" s="68">
        <f>'36. Generic chemical products'!Z41</f>
        <v>125.31</v>
      </c>
      <c r="AA181" s="68" t="str">
        <f>'36. Generic chemical products'!AA41</f>
        <v>COSMEDE</v>
      </c>
      <c r="AB181" s="300">
        <f>$C$33*I181</f>
        <v>0</v>
      </c>
      <c r="AC181" s="301">
        <f>$C$48*O181</f>
        <v>4.5000000000000004E-4</v>
      </c>
      <c r="AD181" s="302">
        <f t="shared" si="47"/>
        <v>0</v>
      </c>
      <c r="AE181" s="302">
        <f t="shared" si="36"/>
        <v>0</v>
      </c>
      <c r="AF181" s="303">
        <f t="shared" si="37"/>
        <v>5.6389500000000009E-2</v>
      </c>
      <c r="AG181" s="303">
        <f t="shared" si="38"/>
        <v>0</v>
      </c>
      <c r="AH181" s="303">
        <f t="shared" si="39"/>
        <v>0</v>
      </c>
      <c r="AI181" s="303">
        <f t="shared" si="40"/>
        <v>0</v>
      </c>
      <c r="AJ181" s="303">
        <f t="shared" si="41"/>
        <v>0</v>
      </c>
      <c r="AK181" s="303">
        <f t="shared" si="42"/>
        <v>0</v>
      </c>
      <c r="AL181" s="303">
        <f t="shared" si="43"/>
        <v>5.6389500000000009E-2</v>
      </c>
      <c r="AM181" s="304">
        <f t="shared" si="44"/>
        <v>0</v>
      </c>
      <c r="AN181" s="305">
        <f t="shared" si="45"/>
        <v>0</v>
      </c>
      <c r="AO181" s="306">
        <f t="shared" si="46"/>
        <v>5.6389500000000009E-2</v>
      </c>
    </row>
    <row r="182" spans="1:41" s="51" customFormat="1" ht="15" customHeight="1" x14ac:dyDescent="0.2">
      <c r="A182" s="68" t="str">
        <f>'36. Generic chemical products'!A42</f>
        <v>Reducing agent, average</v>
      </c>
      <c r="B182" s="68" t="str">
        <f>'36. Generic chemical products'!B42</f>
        <v>Sodium disulfate</v>
      </c>
      <c r="C182" s="68">
        <f>'36. Generic chemical products'!C42</f>
        <v>0.08</v>
      </c>
      <c r="D182" s="68" t="str">
        <f>'36. Generic chemical products'!D42</f>
        <v>kg</v>
      </c>
      <c r="E182" s="68" t="str">
        <f>'36. Generic chemical products'!E42</f>
        <v>MSDS</v>
      </c>
      <c r="F182" s="68">
        <f>'36. Generic chemical products'!F42</f>
        <v>0</v>
      </c>
      <c r="G182" s="68" t="str">
        <f>'36. Generic chemical products'!G42</f>
        <v>-</v>
      </c>
      <c r="H182" s="68">
        <f>'36. Generic chemical products'!H42</f>
        <v>0</v>
      </c>
      <c r="I182" s="68">
        <f>'36. Generic chemical products'!I42</f>
        <v>0</v>
      </c>
      <c r="J182" s="68">
        <f>'36. Generic chemical products'!J42</f>
        <v>0</v>
      </c>
      <c r="K182" s="68">
        <f>'36. Generic chemical products'!K42</f>
        <v>0</v>
      </c>
      <c r="L182" s="68">
        <f>'36. Generic chemical products'!L42</f>
        <v>0</v>
      </c>
      <c r="M182" s="68" t="str">
        <f>'36. Generic chemical products'!M42</f>
        <v>Sodium disulfate</v>
      </c>
      <c r="N182" s="68" t="str">
        <f>'36. Generic chemical products'!N42</f>
        <v>river</v>
      </c>
      <c r="O182" s="68">
        <f>'36. Generic chemical products'!O42</f>
        <v>8.0000000000000002E-3</v>
      </c>
      <c r="P182" s="68" t="str">
        <f>'36. Generic chemical products'!P42</f>
        <v>kg</v>
      </c>
      <c r="Q182" s="68">
        <f>'36. Generic chemical products'!Q42</f>
        <v>0</v>
      </c>
      <c r="R182" s="68">
        <f>'36. Generic chemical products'!R42</f>
        <v>0</v>
      </c>
      <c r="S182" s="68">
        <f>'36. Generic chemical products'!S42</f>
        <v>0</v>
      </c>
      <c r="T182" s="68" t="str">
        <f>'36. Generic chemical products'!T42</f>
        <v>7681-57-4</v>
      </c>
      <c r="U182" s="68">
        <f>'36. Generic chemical products'!U42</f>
        <v>0</v>
      </c>
      <c r="V182" s="68">
        <f>'36. Generic chemical products'!V42</f>
        <v>0</v>
      </c>
      <c r="W182" s="68">
        <f>'36. Generic chemical products'!W42</f>
        <v>0</v>
      </c>
      <c r="X182" s="68">
        <f>'36. Generic chemical products'!X42</f>
        <v>0</v>
      </c>
      <c r="Y182" s="68">
        <f>'36. Generic chemical products'!Y42</f>
        <v>6.0401999999999996</v>
      </c>
      <c r="Z182" s="68">
        <f>'36. Generic chemical products'!Z42</f>
        <v>126.48</v>
      </c>
      <c r="AA182" s="68" t="str">
        <f>'36. Generic chemical products'!AA42</f>
        <v>COSMEDE</v>
      </c>
      <c r="AB182" s="300">
        <f>$C$33*I182</f>
        <v>0</v>
      </c>
      <c r="AC182" s="301">
        <f>$C$48*O182</f>
        <v>4.0000000000000003E-5</v>
      </c>
      <c r="AD182" s="302">
        <f t="shared" si="47"/>
        <v>0</v>
      </c>
      <c r="AE182" s="302">
        <f t="shared" si="36"/>
        <v>0</v>
      </c>
      <c r="AF182" s="303">
        <f t="shared" si="37"/>
        <v>5.0592000000000007E-3</v>
      </c>
      <c r="AG182" s="303">
        <f t="shared" si="38"/>
        <v>0</v>
      </c>
      <c r="AH182" s="303">
        <f t="shared" si="39"/>
        <v>0</v>
      </c>
      <c r="AI182" s="303">
        <f t="shared" si="40"/>
        <v>0</v>
      </c>
      <c r="AJ182" s="303">
        <f t="shared" si="41"/>
        <v>0</v>
      </c>
      <c r="AK182" s="303">
        <f t="shared" si="42"/>
        <v>0</v>
      </c>
      <c r="AL182" s="303">
        <f t="shared" si="43"/>
        <v>5.0592000000000007E-3</v>
      </c>
      <c r="AM182" s="304">
        <f t="shared" si="44"/>
        <v>0</v>
      </c>
      <c r="AN182" s="305">
        <f t="shared" si="45"/>
        <v>0</v>
      </c>
      <c r="AO182" s="306">
        <f t="shared" si="46"/>
        <v>5.0592000000000007E-3</v>
      </c>
    </row>
    <row r="183" spans="1:41" s="51" customFormat="1" ht="15" customHeight="1" x14ac:dyDescent="0.2">
      <c r="A183" s="68" t="str">
        <f>'36. Generic chemical products'!A43</f>
        <v>Reducing agent, average</v>
      </c>
      <c r="B183" s="68" t="str">
        <f>'36. Generic chemical products'!B43</f>
        <v>Sodium carbonate (Na2CO3)</v>
      </c>
      <c r="C183" s="68">
        <f>'36. Generic chemical products'!C43</f>
        <v>0.02</v>
      </c>
      <c r="D183" s="68" t="str">
        <f>'36. Generic chemical products'!D43</f>
        <v>kg</v>
      </c>
      <c r="E183" s="68" t="str">
        <f>'36. Generic chemical products'!E43</f>
        <v>MSDS</v>
      </c>
      <c r="F183" s="68">
        <f>'36. Generic chemical products'!F43</f>
        <v>0</v>
      </c>
      <c r="G183" s="68" t="str">
        <f>'36. Generic chemical products'!G43</f>
        <v>-</v>
      </c>
      <c r="H183" s="68">
        <f>'36. Generic chemical products'!H43</f>
        <v>0</v>
      </c>
      <c r="I183" s="68">
        <f>'36. Generic chemical products'!I43</f>
        <v>0</v>
      </c>
      <c r="J183" s="68">
        <f>'36. Generic chemical products'!J43</f>
        <v>0</v>
      </c>
      <c r="K183" s="68" t="str">
        <f>'36. Generic chemical products'!K43</f>
        <v>Worst case - mist carries substance</v>
      </c>
      <c r="L183" s="68">
        <f>'36. Generic chemical products'!L43</f>
        <v>0</v>
      </c>
      <c r="M183" s="68" t="str">
        <f>'36. Generic chemical products'!M43</f>
        <v>Sodium carbonate (Na2CO3)</v>
      </c>
      <c r="N183" s="68" t="str">
        <f>'36. Generic chemical products'!N43</f>
        <v>river</v>
      </c>
      <c r="O183" s="68">
        <f>'36. Generic chemical products'!O43</f>
        <v>2E-3</v>
      </c>
      <c r="P183" s="68" t="str">
        <f>'36. Generic chemical products'!P43</f>
        <v>kg</v>
      </c>
      <c r="Q183" s="68">
        <f>'36. Generic chemical products'!Q43</f>
        <v>0</v>
      </c>
      <c r="R183" s="68">
        <f>'36. Generic chemical products'!R43</f>
        <v>0</v>
      </c>
      <c r="S183" s="68">
        <f>'36. Generic chemical products'!S43</f>
        <v>0</v>
      </c>
      <c r="T183" s="68" t="str">
        <f>'36. Generic chemical products'!T43</f>
        <v>497-19-8</v>
      </c>
      <c r="U183" s="68">
        <f>'36. Generic chemical products'!U43</f>
        <v>0</v>
      </c>
      <c r="V183" s="68">
        <f>'36. Generic chemical products'!V43</f>
        <v>0</v>
      </c>
      <c r="W183" s="68">
        <f>'36. Generic chemical products'!W43</f>
        <v>0</v>
      </c>
      <c r="X183" s="68">
        <f>'36. Generic chemical products'!X43</f>
        <v>0</v>
      </c>
      <c r="Y183" s="68">
        <f>'36. Generic chemical products'!Y43</f>
        <v>31</v>
      </c>
      <c r="Z183" s="68">
        <f>'36. Generic chemical products'!Z43</f>
        <v>73.7</v>
      </c>
      <c r="AA183" s="68" t="str">
        <f>'36. Generic chemical products'!AA43</f>
        <v>COSMEDE</v>
      </c>
      <c r="AB183" s="300">
        <f>$C$33*I183</f>
        <v>0</v>
      </c>
      <c r="AC183" s="301">
        <f>$C$48*O183</f>
        <v>1.0000000000000001E-5</v>
      </c>
      <c r="AD183" s="302">
        <f t="shared" si="47"/>
        <v>0</v>
      </c>
      <c r="AE183" s="302">
        <f t="shared" si="36"/>
        <v>0</v>
      </c>
      <c r="AF183" s="303">
        <f t="shared" si="37"/>
        <v>7.3700000000000013E-4</v>
      </c>
      <c r="AG183" s="303">
        <f t="shared" si="38"/>
        <v>0</v>
      </c>
      <c r="AH183" s="303">
        <f t="shared" si="39"/>
        <v>0</v>
      </c>
      <c r="AI183" s="303">
        <f t="shared" si="40"/>
        <v>0</v>
      </c>
      <c r="AJ183" s="303">
        <f t="shared" si="41"/>
        <v>0</v>
      </c>
      <c r="AK183" s="303">
        <f t="shared" si="42"/>
        <v>0</v>
      </c>
      <c r="AL183" s="303">
        <f t="shared" si="43"/>
        <v>7.3700000000000013E-4</v>
      </c>
      <c r="AM183" s="304">
        <f t="shared" si="44"/>
        <v>0</v>
      </c>
      <c r="AN183" s="305">
        <f t="shared" si="45"/>
        <v>0</v>
      </c>
      <c r="AO183" s="306">
        <f t="shared" si="46"/>
        <v>7.3700000000000013E-4</v>
      </c>
    </row>
    <row r="184" spans="1:41" s="139" customFormat="1" ht="15" customHeight="1" x14ac:dyDescent="0.2">
      <c r="A184" s="193" t="str">
        <f>'36. Generic chemical products'!A44</f>
        <v>Reducing agent, average</v>
      </c>
      <c r="B184" s="193" t="str">
        <f>'36. Generic chemical products'!B44</f>
        <v xml:space="preserve"> </v>
      </c>
      <c r="C184" s="193">
        <f>'36. Generic chemical products'!C44</f>
        <v>0</v>
      </c>
      <c r="D184" s="193">
        <f>'36. Generic chemical products'!D44</f>
        <v>0</v>
      </c>
      <c r="E184" s="193" t="str">
        <f>'36. Generic chemical products'!E44</f>
        <v>MSDS</v>
      </c>
      <c r="F184" s="193">
        <f>'36. Generic chemical products'!F44</f>
        <v>0</v>
      </c>
      <c r="G184" s="193" t="str">
        <f>'36. Generic chemical products'!G44</f>
        <v>-</v>
      </c>
      <c r="H184" s="193">
        <f>'36. Generic chemical products'!H44</f>
        <v>0</v>
      </c>
      <c r="I184" s="193">
        <f>'36. Generic chemical products'!I44</f>
        <v>0</v>
      </c>
      <c r="J184" s="193">
        <f>'36. Generic chemical products'!J44</f>
        <v>0</v>
      </c>
      <c r="K184" s="193" t="str">
        <f>'36. Generic chemical products'!K44</f>
        <v>Worst case - mist carries substance</v>
      </c>
      <c r="L184" s="193">
        <f>'36. Generic chemical products'!L44</f>
        <v>0</v>
      </c>
      <c r="M184" s="193" t="str">
        <f>'36. Generic chemical products'!M44</f>
        <v>Thiosulfate</v>
      </c>
      <c r="N184" s="193" t="str">
        <f>'36. Generic chemical products'!N44</f>
        <v>river</v>
      </c>
      <c r="O184" s="193">
        <f>'36. Generic chemical products'!O44</f>
        <v>9.0000000000000019E-5</v>
      </c>
      <c r="P184" s="193" t="str">
        <f>'36. Generic chemical products'!P44</f>
        <v>kg</v>
      </c>
      <c r="Q184" s="193" t="str">
        <f>'36. Generic chemical products'!Q44</f>
        <v>0.1 % of the content is degraded to common breakdown products.</v>
      </c>
      <c r="R184" s="193">
        <f>'36. Generic chemical products'!R44</f>
        <v>0</v>
      </c>
      <c r="S184" s="193">
        <f>'36. Generic chemical products'!S44</f>
        <v>0</v>
      </c>
      <c r="T184" s="193" t="str">
        <f>'36. Generic chemical products'!T44</f>
        <v>7772-98-7/10102-17-7</v>
      </c>
      <c r="U184" s="193">
        <f>'36. Generic chemical products'!U44</f>
        <v>0</v>
      </c>
      <c r="V184" s="193">
        <f>'36. Generic chemical products'!V44</f>
        <v>0</v>
      </c>
      <c r="W184" s="193">
        <f>'36. Generic chemical products'!W44</f>
        <v>0</v>
      </c>
      <c r="X184" s="193">
        <f>'36. Generic chemical products'!X44</f>
        <v>0</v>
      </c>
      <c r="Y184" s="193">
        <f>'36. Generic chemical products'!Y44</f>
        <v>13</v>
      </c>
      <c r="Z184" s="193">
        <f>'36. Generic chemical products'!Z44</f>
        <v>31.7</v>
      </c>
      <c r="AA184" s="193" t="str">
        <f>'36. Generic chemical products'!AA44</f>
        <v>COSMEDE</v>
      </c>
      <c r="AB184" s="307">
        <f>$C$33*I184</f>
        <v>0</v>
      </c>
      <c r="AC184" s="308">
        <f>$C$48*O184</f>
        <v>4.5000000000000009E-7</v>
      </c>
      <c r="AD184" s="309">
        <f t="shared" si="47"/>
        <v>0</v>
      </c>
      <c r="AE184" s="309">
        <f t="shared" si="36"/>
        <v>0</v>
      </c>
      <c r="AF184" s="310">
        <f t="shared" si="37"/>
        <v>1.4265000000000003E-5</v>
      </c>
      <c r="AG184" s="310">
        <f t="shared" si="38"/>
        <v>0</v>
      </c>
      <c r="AH184" s="310">
        <f t="shared" si="39"/>
        <v>0</v>
      </c>
      <c r="AI184" s="310">
        <f t="shared" si="40"/>
        <v>0</v>
      </c>
      <c r="AJ184" s="310">
        <f t="shared" si="41"/>
        <v>0</v>
      </c>
      <c r="AK184" s="310">
        <f t="shared" si="42"/>
        <v>0</v>
      </c>
      <c r="AL184" s="310">
        <f t="shared" si="43"/>
        <v>1.4265000000000003E-5</v>
      </c>
      <c r="AM184" s="311">
        <f t="shared" si="44"/>
        <v>0</v>
      </c>
      <c r="AN184" s="312">
        <f t="shared" si="45"/>
        <v>0</v>
      </c>
      <c r="AO184" s="313">
        <f t="shared" si="46"/>
        <v>1.4265000000000003E-5</v>
      </c>
    </row>
    <row r="185" spans="1:41" s="195" customFormat="1" ht="15" customHeight="1" x14ac:dyDescent="0.2">
      <c r="A185" s="194" t="str">
        <f>'36. Generic chemical products'!A45</f>
        <v>Soda (CaCO3), average</v>
      </c>
      <c r="B185" s="194" t="str">
        <f>'36. Generic chemical products'!B45</f>
        <v>Calcium carbonate</v>
      </c>
      <c r="C185" s="194">
        <f>'36. Generic chemical products'!C45</f>
        <v>1</v>
      </c>
      <c r="D185" s="194" t="str">
        <f>'36. Generic chemical products'!D45</f>
        <v>kg</v>
      </c>
      <c r="E185" s="194">
        <f>'36. Generic chemical products'!E45</f>
        <v>1</v>
      </c>
      <c r="F185" s="194">
        <f>'36. Generic chemical products'!F45</f>
        <v>0</v>
      </c>
      <c r="G185" s="194" t="str">
        <f>'36. Generic chemical products'!G45</f>
        <v>-</v>
      </c>
      <c r="H185" s="194">
        <f>'36. Generic chemical products'!H45</f>
        <v>0</v>
      </c>
      <c r="I185" s="194">
        <f>'36. Generic chemical products'!I45</f>
        <v>0</v>
      </c>
      <c r="J185" s="194">
        <f>'36. Generic chemical products'!J45</f>
        <v>0</v>
      </c>
      <c r="K185" s="194">
        <f>'36. Generic chemical products'!K45</f>
        <v>0</v>
      </c>
      <c r="L185" s="194">
        <f>'36. Generic chemical products'!L45</f>
        <v>0</v>
      </c>
      <c r="M185" s="194" t="str">
        <f>'36. Generic chemical products'!M45</f>
        <v>Calcium carbonate</v>
      </c>
      <c r="N185" s="194" t="str">
        <f>'36. Generic chemical products'!N45</f>
        <v>river</v>
      </c>
      <c r="O185" s="194">
        <f>'36. Generic chemical products'!O45</f>
        <v>0.1</v>
      </c>
      <c r="P185" s="194" t="str">
        <f>'36. Generic chemical products'!P45</f>
        <v>kg</v>
      </c>
      <c r="Q185" s="194">
        <f>'36. Generic chemical products'!Q45</f>
        <v>0</v>
      </c>
      <c r="R185" s="194">
        <f>'36. Generic chemical products'!R45</f>
        <v>0</v>
      </c>
      <c r="S185" s="194">
        <f>'36. Generic chemical products'!S45</f>
        <v>0</v>
      </c>
      <c r="T185" s="194" t="str">
        <f>'36. Generic chemical products'!T45</f>
        <v>471-34-1</v>
      </c>
      <c r="U185" s="194">
        <f>'36. Generic chemical products'!U45</f>
        <v>0</v>
      </c>
      <c r="V185" s="194">
        <f>'36. Generic chemical products'!V45</f>
        <v>0</v>
      </c>
      <c r="W185" s="194">
        <f>'36. Generic chemical products'!W45</f>
        <v>0</v>
      </c>
      <c r="X185" s="194">
        <f>'36. Generic chemical products'!X45</f>
        <v>0</v>
      </c>
      <c r="Y185" s="194">
        <f>'36. Generic chemical products'!Y45</f>
        <v>22</v>
      </c>
      <c r="Z185" s="194">
        <f>'36. Generic chemical products'!Z45</f>
        <v>51.7</v>
      </c>
      <c r="AA185" s="194" t="str">
        <f>'36. Generic chemical products'!AA45</f>
        <v>COSMEDE</v>
      </c>
      <c r="AB185" s="327">
        <f>$C$34*I185</f>
        <v>0</v>
      </c>
      <c r="AC185" s="328">
        <f>$C$49*O185</f>
        <v>2E-3</v>
      </c>
      <c r="AD185" s="329">
        <f t="shared" si="47"/>
        <v>0</v>
      </c>
      <c r="AE185" s="329">
        <f t="shared" si="36"/>
        <v>0</v>
      </c>
      <c r="AF185" s="330">
        <f t="shared" si="37"/>
        <v>0.10340000000000001</v>
      </c>
      <c r="AG185" s="330">
        <f t="shared" si="38"/>
        <v>0</v>
      </c>
      <c r="AH185" s="330">
        <f t="shared" si="39"/>
        <v>0</v>
      </c>
      <c r="AI185" s="330">
        <f t="shared" si="40"/>
        <v>0</v>
      </c>
      <c r="AJ185" s="330">
        <f t="shared" si="41"/>
        <v>0</v>
      </c>
      <c r="AK185" s="330">
        <f t="shared" si="42"/>
        <v>0</v>
      </c>
      <c r="AL185" s="330">
        <f t="shared" si="43"/>
        <v>0.10340000000000001</v>
      </c>
      <c r="AM185" s="331">
        <f t="shared" si="44"/>
        <v>0</v>
      </c>
      <c r="AN185" s="332">
        <f t="shared" si="45"/>
        <v>0</v>
      </c>
      <c r="AO185" s="333">
        <f t="shared" si="46"/>
        <v>0.10340000000000001</v>
      </c>
    </row>
    <row r="186" spans="1:41" s="51" customFormat="1" ht="15" customHeight="1" x14ac:dyDescent="0.2">
      <c r="A186" s="68" t="str">
        <f>'36. Generic chemical products'!A5</f>
        <v>Detergent, average (Ultravon EL)</v>
      </c>
      <c r="B186" s="68" t="str">
        <f>'36. Generic chemical products'!B5</f>
        <v>Polyacrylic acid, sodium salt</v>
      </c>
      <c r="C186" s="68">
        <f>'36. Generic chemical products'!C5</f>
        <v>0.1</v>
      </c>
      <c r="D186" s="68" t="str">
        <f>'36. Generic chemical products'!D5</f>
        <v>kg</v>
      </c>
      <c r="E186" s="68" t="str">
        <f>'36. Generic chemical products'!E5</f>
        <v>MSDS</v>
      </c>
      <c r="F186" s="68">
        <f>'36. Generic chemical products'!F5</f>
        <v>0</v>
      </c>
      <c r="G186" s="68" t="str">
        <f>'36. Generic chemical products'!G5</f>
        <v>-</v>
      </c>
      <c r="H186" s="68">
        <f>'36. Generic chemical products'!H5</f>
        <v>0</v>
      </c>
      <c r="I186" s="68">
        <f>'36. Generic chemical products'!I5</f>
        <v>0</v>
      </c>
      <c r="J186" s="68">
        <f>'36. Generic chemical products'!J5</f>
        <v>0</v>
      </c>
      <c r="K186" s="68">
        <f>'36. Generic chemical products'!K5</f>
        <v>0</v>
      </c>
      <c r="L186" s="68">
        <f>'36. Generic chemical products'!L5</f>
        <v>0</v>
      </c>
      <c r="M186" s="68" t="str">
        <f>'36. Generic chemical products'!M5</f>
        <v>Polyacrylic acid, sodium salt</v>
      </c>
      <c r="N186" s="68" t="str">
        <f>'36. Generic chemical products'!N5</f>
        <v>river</v>
      </c>
      <c r="O186" s="68">
        <f>'36. Generic chemical products'!O5</f>
        <v>9.9000000000000008E-3</v>
      </c>
      <c r="P186" s="68" t="str">
        <f>'36. Generic chemical products'!P5</f>
        <v>kg</v>
      </c>
      <c r="Q186" s="68" t="str">
        <f>'36. Generic chemical products'!Q5</f>
        <v>1% of polymer content remains as monomers from the production process.</v>
      </c>
      <c r="R186" s="68">
        <f>'36. Generic chemical products'!R5</f>
        <v>0</v>
      </c>
      <c r="S186" s="68">
        <f>'36. Generic chemical products'!S5</f>
        <v>0</v>
      </c>
      <c r="T186" s="68" t="str">
        <f>'36. Generic chemical products'!T5</f>
        <v>9003-04-7</v>
      </c>
      <c r="U186" s="68">
        <f>'36. Generic chemical products'!U5</f>
        <v>0</v>
      </c>
      <c r="V186" s="68">
        <f>'36. Generic chemical products'!V5</f>
        <v>0</v>
      </c>
      <c r="W186" s="68">
        <f>'36. Generic chemical products'!W5</f>
        <v>0</v>
      </c>
      <c r="X186" s="68">
        <f>'36. Generic chemical products'!X5</f>
        <v>0</v>
      </c>
      <c r="Y186" s="68">
        <f>'36. Generic chemical products'!Y5</f>
        <v>7.06</v>
      </c>
      <c r="Z186" s="68">
        <f>'36. Generic chemical products'!Z5</f>
        <v>78.599999999999994</v>
      </c>
      <c r="AA186" s="68" t="str">
        <f>'36. Generic chemical products'!AA5</f>
        <v>COSMEDE</v>
      </c>
      <c r="AB186" s="300">
        <f t="shared" ref="AB186:AB191" si="48">$C$35*I186</f>
        <v>0</v>
      </c>
      <c r="AC186" s="301">
        <f t="shared" ref="AC186:AC191" si="49">$C$50*O186</f>
        <v>1.9800000000000002E-4</v>
      </c>
      <c r="AD186" s="302">
        <f t="shared" si="47"/>
        <v>0</v>
      </c>
      <c r="AE186" s="302">
        <f t="shared" si="36"/>
        <v>0</v>
      </c>
      <c r="AF186" s="303">
        <f t="shared" si="37"/>
        <v>1.55628E-2</v>
      </c>
      <c r="AG186" s="303">
        <f t="shared" si="38"/>
        <v>0</v>
      </c>
      <c r="AH186" s="303">
        <f t="shared" si="39"/>
        <v>0</v>
      </c>
      <c r="AI186" s="303">
        <f t="shared" si="40"/>
        <v>0</v>
      </c>
      <c r="AJ186" s="303">
        <f t="shared" si="41"/>
        <v>0</v>
      </c>
      <c r="AK186" s="303">
        <f t="shared" si="42"/>
        <v>0</v>
      </c>
      <c r="AL186" s="303">
        <f t="shared" si="43"/>
        <v>1.55628E-2</v>
      </c>
      <c r="AM186" s="304">
        <f t="shared" si="44"/>
        <v>0</v>
      </c>
      <c r="AN186" s="305">
        <f t="shared" si="45"/>
        <v>0</v>
      </c>
      <c r="AO186" s="306">
        <f t="shared" si="46"/>
        <v>1.55628E-2</v>
      </c>
    </row>
    <row r="187" spans="1:41" s="51" customFormat="1" ht="15" customHeight="1" x14ac:dyDescent="0.2">
      <c r="A187" s="68" t="str">
        <f>'36. Generic chemical products'!A6</f>
        <v>Detergent, average (Ultravon EL)</v>
      </c>
      <c r="B187" s="68" t="str">
        <f>'36. Generic chemical products'!B6</f>
        <v>Oxirane, methyl-, polymer with oxirane, decyl ether</v>
      </c>
      <c r="C187" s="68">
        <f>'36. Generic chemical products'!C6</f>
        <v>0.25</v>
      </c>
      <c r="D187" s="68" t="str">
        <f>'36. Generic chemical products'!D6</f>
        <v>kg</v>
      </c>
      <c r="E187" s="68" t="str">
        <f>'36. Generic chemical products'!E6</f>
        <v>MSDS</v>
      </c>
      <c r="F187" s="68">
        <f>'36. Generic chemical products'!F6</f>
        <v>0</v>
      </c>
      <c r="G187" s="68" t="str">
        <f>'36. Generic chemical products'!G6</f>
        <v>-</v>
      </c>
      <c r="H187" s="68">
        <f>'36. Generic chemical products'!H6</f>
        <v>0</v>
      </c>
      <c r="I187" s="68">
        <f>'36. Generic chemical products'!I6</f>
        <v>0</v>
      </c>
      <c r="J187" s="68">
        <f>'36. Generic chemical products'!J6</f>
        <v>0</v>
      </c>
      <c r="K187" s="68">
        <f>'36. Generic chemical products'!K6</f>
        <v>0</v>
      </c>
      <c r="L187" s="68">
        <f>'36. Generic chemical products'!L6</f>
        <v>0</v>
      </c>
      <c r="M187" s="68" t="str">
        <f>'36. Generic chemical products'!M6</f>
        <v>Oxirane, methyl-, polymer with oxirane, decyl ether</v>
      </c>
      <c r="N187" s="68" t="str">
        <f>'36. Generic chemical products'!N6</f>
        <v>river</v>
      </c>
      <c r="O187" s="68">
        <f>'36. Generic chemical products'!O6</f>
        <v>2.5000000000000001E-2</v>
      </c>
      <c r="P187" s="68" t="str">
        <f>'36. Generic chemical products'!P6</f>
        <v>kg</v>
      </c>
      <c r="Q187" s="68">
        <f>'36. Generic chemical products'!Q6</f>
        <v>0</v>
      </c>
      <c r="R187" s="68">
        <f>'36. Generic chemical products'!R6</f>
        <v>0</v>
      </c>
      <c r="S187" s="68">
        <f>'36. Generic chemical products'!S6</f>
        <v>0</v>
      </c>
      <c r="T187" s="68" t="str">
        <f>'36. Generic chemical products'!T6</f>
        <v>37251-67-5</v>
      </c>
      <c r="U187" s="68">
        <f>'36. Generic chemical products'!U6</f>
        <v>0</v>
      </c>
      <c r="V187" s="68">
        <f>'36. Generic chemical products'!V6</f>
        <v>1.2009414857886904E-7</v>
      </c>
      <c r="W187" s="68">
        <f>'36. Generic chemical products'!W6</f>
        <v>0</v>
      </c>
      <c r="X187" s="68">
        <f>'36. Generic chemical products'!X6</f>
        <v>3.2843909509658706E-7</v>
      </c>
      <c r="Y187" s="68">
        <f>'36. Generic chemical products'!Y6</f>
        <v>14.526941022240393</v>
      </c>
      <c r="Z187" s="68">
        <f>'36. Generic chemical products'!Z6</f>
        <v>111.251141519207</v>
      </c>
      <c r="AA187" s="68" t="str">
        <f>'36. Generic chemical products'!AA6</f>
        <v>Roos 2017</v>
      </c>
      <c r="AB187" s="300">
        <f t="shared" si="48"/>
        <v>0</v>
      </c>
      <c r="AC187" s="301">
        <f t="shared" si="49"/>
        <v>5.0000000000000001E-4</v>
      </c>
      <c r="AD187" s="302">
        <f t="shared" si="47"/>
        <v>0</v>
      </c>
      <c r="AE187" s="302">
        <f t="shared" si="36"/>
        <v>1.6421954754829352E-10</v>
      </c>
      <c r="AF187" s="303">
        <f t="shared" si="37"/>
        <v>5.5625570759603497E-2</v>
      </c>
      <c r="AG187" s="303">
        <f t="shared" si="38"/>
        <v>0</v>
      </c>
      <c r="AH187" s="303">
        <f t="shared" si="39"/>
        <v>0</v>
      </c>
      <c r="AI187" s="303">
        <f t="shared" si="40"/>
        <v>0</v>
      </c>
      <c r="AJ187" s="303">
        <f t="shared" si="41"/>
        <v>0</v>
      </c>
      <c r="AK187" s="303">
        <f t="shared" si="42"/>
        <v>1.6421954754829352E-10</v>
      </c>
      <c r="AL187" s="303">
        <f t="shared" si="43"/>
        <v>5.5625570759603497E-2</v>
      </c>
      <c r="AM187" s="304">
        <f t="shared" si="44"/>
        <v>0</v>
      </c>
      <c r="AN187" s="305">
        <f t="shared" si="45"/>
        <v>1.6421954754829352E-10</v>
      </c>
      <c r="AO187" s="306">
        <f t="shared" si="46"/>
        <v>5.5625570759603497E-2</v>
      </c>
    </row>
    <row r="188" spans="1:41" s="51" customFormat="1" ht="15" customHeight="1" x14ac:dyDescent="0.2">
      <c r="A188" s="68" t="str">
        <f>'36. Generic chemical products'!A7</f>
        <v>Detergent, average (Ultravon EL)</v>
      </c>
      <c r="B188" s="68" t="str">
        <f>'36. Generic chemical products'!B7</f>
        <v>Ethoxylated fatty alcohol (&gt;6 EO)</v>
      </c>
      <c r="C188" s="68">
        <f>'36. Generic chemical products'!C7</f>
        <v>0.1</v>
      </c>
      <c r="D188" s="68" t="str">
        <f>'36. Generic chemical products'!D7</f>
        <v>kg</v>
      </c>
      <c r="E188" s="68" t="str">
        <f>'36. Generic chemical products'!E7</f>
        <v>MSDS</v>
      </c>
      <c r="F188" s="68">
        <f>'36. Generic chemical products'!F7</f>
        <v>0</v>
      </c>
      <c r="G188" s="68" t="str">
        <f>'36. Generic chemical products'!G7</f>
        <v>-</v>
      </c>
      <c r="H188" s="68">
        <f>'36. Generic chemical products'!H7</f>
        <v>0</v>
      </c>
      <c r="I188" s="68">
        <f>'36. Generic chemical products'!I7</f>
        <v>0</v>
      </c>
      <c r="J188" s="68">
        <f>'36. Generic chemical products'!J7</f>
        <v>0</v>
      </c>
      <c r="K188" s="68">
        <f>'36. Generic chemical products'!K7</f>
        <v>0</v>
      </c>
      <c r="L188" s="68">
        <f>'36. Generic chemical products'!L7</f>
        <v>0</v>
      </c>
      <c r="M188" s="68" t="str">
        <f>'36. Generic chemical products'!M7</f>
        <v>Alcohols, c12-14, ethoxylated</v>
      </c>
      <c r="N188" s="68" t="str">
        <f>'36. Generic chemical products'!N7</f>
        <v>river</v>
      </c>
      <c r="O188" s="68">
        <f>'36. Generic chemical products'!O7</f>
        <v>1.0000000000000002E-2</v>
      </c>
      <c r="P188" s="68" t="str">
        <f>'36. Generic chemical products'!P7</f>
        <v>kg</v>
      </c>
      <c r="Q188" s="68">
        <f>'36. Generic chemical products'!Q7</f>
        <v>0</v>
      </c>
      <c r="R188" s="68">
        <f>'36. Generic chemical products'!R7</f>
        <v>0</v>
      </c>
      <c r="S188" s="68">
        <f>'36. Generic chemical products'!S7</f>
        <v>0</v>
      </c>
      <c r="T188" s="68" t="str">
        <f>'36. Generic chemical products'!T7</f>
        <v>69011-36-5</v>
      </c>
      <c r="U188" s="68">
        <f>'36. Generic chemical products'!U7</f>
        <v>0</v>
      </c>
      <c r="V188" s="68">
        <f>'36. Generic chemical products'!V7</f>
        <v>0</v>
      </c>
      <c r="W188" s="68">
        <f>'36. Generic chemical products'!W7</f>
        <v>0</v>
      </c>
      <c r="X188" s="68">
        <f>'36. Generic chemical products'!X7</f>
        <v>0</v>
      </c>
      <c r="Y188" s="68">
        <f>'36. Generic chemical products'!Y7</f>
        <v>47</v>
      </c>
      <c r="Z188" s="68">
        <f>'36. Generic chemical products'!Z7</f>
        <v>913</v>
      </c>
      <c r="AA188" s="68" t="str">
        <f>'36. Generic chemical products'!AA7</f>
        <v>COSMEDE</v>
      </c>
      <c r="AB188" s="300">
        <f t="shared" si="48"/>
        <v>0</v>
      </c>
      <c r="AC188" s="301">
        <f t="shared" si="49"/>
        <v>2.0000000000000004E-4</v>
      </c>
      <c r="AD188" s="302">
        <f t="shared" si="47"/>
        <v>0</v>
      </c>
      <c r="AE188" s="302">
        <f t="shared" si="36"/>
        <v>0</v>
      </c>
      <c r="AF188" s="303">
        <f t="shared" si="37"/>
        <v>0.18260000000000004</v>
      </c>
      <c r="AG188" s="303">
        <f t="shared" si="38"/>
        <v>0</v>
      </c>
      <c r="AH188" s="303">
        <f t="shared" si="39"/>
        <v>0</v>
      </c>
      <c r="AI188" s="303">
        <f t="shared" si="40"/>
        <v>0</v>
      </c>
      <c r="AJ188" s="303">
        <f t="shared" si="41"/>
        <v>0</v>
      </c>
      <c r="AK188" s="303">
        <f t="shared" si="42"/>
        <v>0</v>
      </c>
      <c r="AL188" s="303">
        <f t="shared" si="43"/>
        <v>0.18260000000000004</v>
      </c>
      <c r="AM188" s="304">
        <f t="shared" si="44"/>
        <v>0</v>
      </c>
      <c r="AN188" s="305">
        <f t="shared" si="45"/>
        <v>0</v>
      </c>
      <c r="AO188" s="306">
        <f t="shared" si="46"/>
        <v>0.18260000000000004</v>
      </c>
    </row>
    <row r="189" spans="1:41" s="51" customFormat="1" ht="15" customHeight="1" x14ac:dyDescent="0.2">
      <c r="A189" s="68" t="str">
        <f>'36. Generic chemical products'!A8</f>
        <v>Detergent, average (Ultravon EL)</v>
      </c>
      <c r="B189" s="68" t="str">
        <f>'36. Generic chemical products'!B8</f>
        <v>Sodium mono(2-ethylhexyl)estersulfate</v>
      </c>
      <c r="C189" s="68">
        <f>'36. Generic chemical products'!C8</f>
        <v>0.05</v>
      </c>
      <c r="D189" s="68" t="str">
        <f>'36. Generic chemical products'!D8</f>
        <v>kg</v>
      </c>
      <c r="E189" s="68" t="str">
        <f>'36. Generic chemical products'!E8</f>
        <v>MSDS</v>
      </c>
      <c r="F189" s="68">
        <f>'36. Generic chemical products'!F8</f>
        <v>0</v>
      </c>
      <c r="G189" s="68" t="str">
        <f>'36. Generic chemical products'!G8</f>
        <v>-</v>
      </c>
      <c r="H189" s="68">
        <f>'36. Generic chemical products'!H8</f>
        <v>0</v>
      </c>
      <c r="I189" s="68">
        <f>'36. Generic chemical products'!I8</f>
        <v>0</v>
      </c>
      <c r="J189" s="68">
        <f>'36. Generic chemical products'!J8</f>
        <v>0</v>
      </c>
      <c r="K189" s="68">
        <f>'36. Generic chemical products'!K8</f>
        <v>0</v>
      </c>
      <c r="L189" s="68">
        <f>'36. Generic chemical products'!L8</f>
        <v>0</v>
      </c>
      <c r="M189" s="68" t="str">
        <f>'36. Generic chemical products'!M8</f>
        <v>Sodium mono(2-ethylhexyl)estersulfate</v>
      </c>
      <c r="N189" s="68" t="str">
        <f>'36. Generic chemical products'!N8</f>
        <v>river</v>
      </c>
      <c r="O189" s="68">
        <f>'36. Generic chemical products'!O8</f>
        <v>5.000000000000001E-3</v>
      </c>
      <c r="P189" s="68" t="str">
        <f>'36. Generic chemical products'!P8</f>
        <v>kg</v>
      </c>
      <c r="Q189" s="68">
        <f>'36. Generic chemical products'!Q8</f>
        <v>0</v>
      </c>
      <c r="R189" s="68">
        <f>'36. Generic chemical products'!R8</f>
        <v>0</v>
      </c>
      <c r="S189" s="68">
        <f>'36. Generic chemical products'!S8</f>
        <v>0</v>
      </c>
      <c r="T189" s="68" t="str">
        <f>'36. Generic chemical products'!T8</f>
        <v>126-92-1</v>
      </c>
      <c r="U189" s="68">
        <f>'36. Generic chemical products'!U8</f>
        <v>0</v>
      </c>
      <c r="V189" s="68">
        <f>'36. Generic chemical products'!V8</f>
        <v>0</v>
      </c>
      <c r="W189" s="68">
        <f>'36. Generic chemical products'!W8</f>
        <v>0</v>
      </c>
      <c r="X189" s="68">
        <f>'36. Generic chemical products'!X8</f>
        <v>0</v>
      </c>
      <c r="Y189" s="68">
        <f>'36. Generic chemical products'!Y8</f>
        <v>109.72</v>
      </c>
      <c r="Z189" s="68">
        <f>'36. Generic chemical products'!Z8</f>
        <v>110</v>
      </c>
      <c r="AA189" s="68" t="str">
        <f>'36. Generic chemical products'!AA8</f>
        <v>COSMEDE</v>
      </c>
      <c r="AB189" s="300">
        <f t="shared" si="48"/>
        <v>0</v>
      </c>
      <c r="AC189" s="301">
        <f t="shared" si="49"/>
        <v>1.0000000000000002E-4</v>
      </c>
      <c r="AD189" s="302">
        <f t="shared" si="47"/>
        <v>0</v>
      </c>
      <c r="AE189" s="302">
        <f t="shared" si="36"/>
        <v>0</v>
      </c>
      <c r="AF189" s="303">
        <f t="shared" si="37"/>
        <v>1.1000000000000003E-2</v>
      </c>
      <c r="AG189" s="303">
        <f t="shared" si="38"/>
        <v>0</v>
      </c>
      <c r="AH189" s="303">
        <f t="shared" si="39"/>
        <v>0</v>
      </c>
      <c r="AI189" s="303">
        <f t="shared" si="40"/>
        <v>0</v>
      </c>
      <c r="AJ189" s="303">
        <f t="shared" si="41"/>
        <v>0</v>
      </c>
      <c r="AK189" s="303">
        <f t="shared" si="42"/>
        <v>0</v>
      </c>
      <c r="AL189" s="303">
        <f t="shared" si="43"/>
        <v>1.1000000000000003E-2</v>
      </c>
      <c r="AM189" s="304">
        <f t="shared" si="44"/>
        <v>0</v>
      </c>
      <c r="AN189" s="305">
        <f t="shared" si="45"/>
        <v>0</v>
      </c>
      <c r="AO189" s="306">
        <f t="shared" si="46"/>
        <v>1.1000000000000003E-2</v>
      </c>
    </row>
    <row r="190" spans="1:41" s="51" customFormat="1" ht="15" customHeight="1" x14ac:dyDescent="0.2">
      <c r="A190" s="68" t="str">
        <f>'36. Generic chemical products'!A9</f>
        <v>Detergent, average (Ultravon EL)</v>
      </c>
      <c r="B190" s="68" t="str">
        <f>'36. Generic chemical products'!B9</f>
        <v>Ethylene oxide</v>
      </c>
      <c r="C190" s="68">
        <f>'36. Generic chemical products'!C9</f>
        <v>0</v>
      </c>
      <c r="D190" s="68">
        <f>'36. Generic chemical products'!D9</f>
        <v>0</v>
      </c>
      <c r="E190" s="68" t="str">
        <f>'36. Generic chemical products'!E9</f>
        <v>&lt;= 0.1% in alcohol ethoxylates</v>
      </c>
      <c r="F190" s="68">
        <f>'36. Generic chemical products'!F9</f>
        <v>0</v>
      </c>
      <c r="G190" s="68" t="str">
        <f>'36. Generic chemical products'!G9</f>
        <v>Ethylene oxide</v>
      </c>
      <c r="H190" s="68" t="str">
        <f>'36. Generic chemical products'!H9</f>
        <v>high. pop.</v>
      </c>
      <c r="I190" s="68">
        <f>'36. Generic chemical products'!I9</f>
        <v>1.0000000000000001E-7</v>
      </c>
      <c r="J190" s="68" t="str">
        <f>'36. Generic chemical products'!J9</f>
        <v>kg</v>
      </c>
      <c r="K190" s="68">
        <f>'36. Generic chemical products'!K9</f>
        <v>0</v>
      </c>
      <c r="L190" s="68">
        <f>'36. Generic chemical products'!L9</f>
        <v>0</v>
      </c>
      <c r="M190" s="68" t="str">
        <f>'36. Generic chemical products'!M9</f>
        <v>Ethylene oxide</v>
      </c>
      <c r="N190" s="68" t="str">
        <f>'36. Generic chemical products'!N9</f>
        <v>river</v>
      </c>
      <c r="O190" s="68">
        <f>'36. Generic chemical products'!O9</f>
        <v>1.0000000000000001E-5</v>
      </c>
      <c r="P190" s="68" t="str">
        <f>'36. Generic chemical products'!P9</f>
        <v>kg</v>
      </c>
      <c r="Q190" s="68" t="str">
        <f>'36. Generic chemical products'!Q9</f>
        <v>&lt;= 0.001 in alcohol ethoxylates</v>
      </c>
      <c r="R190" s="68">
        <f>'36. Generic chemical products'!R9</f>
        <v>0</v>
      </c>
      <c r="S190" s="68">
        <f>'36. Generic chemical products'!S9</f>
        <v>0</v>
      </c>
      <c r="T190" s="68" t="str">
        <f>'36. Generic chemical products'!T9</f>
        <v>75-21-8</v>
      </c>
      <c r="U190" s="68">
        <f>'36. Generic chemical products'!U9</f>
        <v>1.0252176328593382E-6</v>
      </c>
      <c r="V190" s="68">
        <f>'36. Generic chemical products'!V9</f>
        <v>0</v>
      </c>
      <c r="W190" s="68">
        <f>'36. Generic chemical products'!W9</f>
        <v>8.6533271568247147E-7</v>
      </c>
      <c r="X190" s="68">
        <f>'36. Generic chemical products'!X9</f>
        <v>0</v>
      </c>
      <c r="Y190" s="68">
        <f>'36. Generic chemical products'!Y9</f>
        <v>0.65406517859613422</v>
      </c>
      <c r="Z190" s="68">
        <f>'36. Generic chemical products'!Z9</f>
        <v>11.248588270889815</v>
      </c>
      <c r="AA190" s="68" t="str">
        <f>'36. Generic chemical products'!AA9</f>
        <v>USEtox</v>
      </c>
      <c r="AB190" s="300">
        <f t="shared" si="48"/>
        <v>2.0000000000000001E-9</v>
      </c>
      <c r="AC190" s="301">
        <f t="shared" si="49"/>
        <v>2.0000000000000002E-7</v>
      </c>
      <c r="AD190" s="302">
        <f t="shared" si="47"/>
        <v>1.7511697840221298E-13</v>
      </c>
      <c r="AE190" s="302">
        <f t="shared" si="36"/>
        <v>0</v>
      </c>
      <c r="AF190" s="303">
        <f t="shared" si="37"/>
        <v>2.2510257845351559E-6</v>
      </c>
      <c r="AG190" s="303">
        <f t="shared" si="38"/>
        <v>2.0504352657186766E-15</v>
      </c>
      <c r="AH190" s="303">
        <f t="shared" si="39"/>
        <v>0</v>
      </c>
      <c r="AI190" s="303">
        <f t="shared" si="40"/>
        <v>1.3081303571922684E-9</v>
      </c>
      <c r="AJ190" s="303">
        <f t="shared" si="41"/>
        <v>1.730665431364943E-13</v>
      </c>
      <c r="AK190" s="303">
        <f t="shared" si="42"/>
        <v>0</v>
      </c>
      <c r="AL190" s="303">
        <f t="shared" si="43"/>
        <v>2.2497176541779634E-6</v>
      </c>
      <c r="AM190" s="304">
        <f t="shared" si="44"/>
        <v>1.7511697840221298E-13</v>
      </c>
      <c r="AN190" s="305">
        <f t="shared" si="45"/>
        <v>0</v>
      </c>
      <c r="AO190" s="306">
        <f t="shared" si="46"/>
        <v>2.2510257845351559E-6</v>
      </c>
    </row>
    <row r="191" spans="1:41" s="139" customFormat="1" ht="15" customHeight="1" x14ac:dyDescent="0.2">
      <c r="A191" s="193" t="str">
        <f>'36. Generic chemical products'!A10</f>
        <v>Detergent, average (Ultravon EL)</v>
      </c>
      <c r="B191" s="193" t="str">
        <f>'36. Generic chemical products'!B10</f>
        <v xml:space="preserve"> </v>
      </c>
      <c r="C191" s="193">
        <f>'36. Generic chemical products'!C10</f>
        <v>0</v>
      </c>
      <c r="D191" s="193">
        <f>'36. Generic chemical products'!D10</f>
        <v>0</v>
      </c>
      <c r="E191" s="193" t="str">
        <f>'36. Generic chemical products'!E10</f>
        <v>Common breakdown product of of acrylics, 0.001 % assumed</v>
      </c>
      <c r="F191" s="193">
        <f>'36. Generic chemical products'!F10</f>
        <v>0</v>
      </c>
      <c r="G191" s="193" t="str">
        <f>'36. Generic chemical products'!G10</f>
        <v>Formaldehyde</v>
      </c>
      <c r="H191" s="193" t="str">
        <f>'36. Generic chemical products'!H10</f>
        <v>high. pop.</v>
      </c>
      <c r="I191" s="193">
        <f>'36. Generic chemical products'!I10</f>
        <v>1.0000000000000001E-7</v>
      </c>
      <c r="J191" s="193" t="str">
        <f>'36. Generic chemical products'!J10</f>
        <v>kg</v>
      </c>
      <c r="K191" s="193">
        <f>'36. Generic chemical products'!K10</f>
        <v>0</v>
      </c>
      <c r="L191" s="193">
        <f>'36. Generic chemical products'!L10</f>
        <v>0</v>
      </c>
      <c r="M191" s="193" t="str">
        <f>'36. Generic chemical products'!M10</f>
        <v>Formaldehyde</v>
      </c>
      <c r="N191" s="193" t="str">
        <f>'36. Generic chemical products'!N10</f>
        <v>river</v>
      </c>
      <c r="O191" s="193">
        <f>'36. Generic chemical products'!O10</f>
        <v>1.0000000000000002E-6</v>
      </c>
      <c r="P191" s="193" t="str">
        <f>'36. Generic chemical products'!P10</f>
        <v>kg</v>
      </c>
      <c r="Q191" s="193" t="str">
        <f>'36. Generic chemical products'!Q10</f>
        <v xml:space="preserve">0.1 % of the content is degraded to common breakdown products. 90% of reactive chemicals are degraded during operations. </v>
      </c>
      <c r="R191" s="193">
        <f>'36. Generic chemical products'!R10</f>
        <v>0</v>
      </c>
      <c r="S191" s="193">
        <f>'36. Generic chemical products'!S10</f>
        <v>0</v>
      </c>
      <c r="T191" s="193" t="str">
        <f>'36. Generic chemical products'!T10</f>
        <v>50-00-0</v>
      </c>
      <c r="U191" s="193">
        <f>'36. Generic chemical products'!U10</f>
        <v>2.5208446330720887E-5</v>
      </c>
      <c r="V191" s="193">
        <f>'36. Generic chemical products'!V10</f>
        <v>2.6504960021309262E-7</v>
      </c>
      <c r="W191" s="193">
        <f>'36. Generic chemical products'!W10</f>
        <v>1.4222228897488039E-7</v>
      </c>
      <c r="X191" s="193">
        <f>'36. Generic chemical products'!X10</f>
        <v>3.170874313501273E-7</v>
      </c>
      <c r="Y191" s="193">
        <f>'36. Generic chemical products'!Y10</f>
        <v>17.989178582912412</v>
      </c>
      <c r="Z191" s="193">
        <f>'36. Generic chemical products'!Z10</f>
        <v>290.05086067463066</v>
      </c>
      <c r="AA191" s="193" t="str">
        <f>'36. Generic chemical products'!AA10</f>
        <v>USEtox</v>
      </c>
      <c r="AB191" s="307">
        <f t="shared" si="48"/>
        <v>2.0000000000000001E-9</v>
      </c>
      <c r="AC191" s="308">
        <f t="shared" si="49"/>
        <v>2.0000000000000004E-8</v>
      </c>
      <c r="AD191" s="309">
        <f t="shared" si="47"/>
        <v>5.3261338440939386E-14</v>
      </c>
      <c r="AE191" s="309">
        <f t="shared" si="36"/>
        <v>6.8718478274287326E-15</v>
      </c>
      <c r="AF191" s="310">
        <f t="shared" si="37"/>
        <v>5.8369955706584394E-6</v>
      </c>
      <c r="AG191" s="310">
        <f t="shared" si="38"/>
        <v>5.0416892661441775E-14</v>
      </c>
      <c r="AH191" s="310">
        <f t="shared" si="39"/>
        <v>5.3009920042618528E-16</v>
      </c>
      <c r="AI191" s="310">
        <f t="shared" si="40"/>
        <v>3.5978357165824829E-8</v>
      </c>
      <c r="AJ191" s="310">
        <f t="shared" si="41"/>
        <v>2.8444457794976083E-15</v>
      </c>
      <c r="AK191" s="310">
        <f t="shared" si="42"/>
        <v>6.3417486270025475E-15</v>
      </c>
      <c r="AL191" s="310">
        <f t="shared" si="43"/>
        <v>5.8010172134926146E-6</v>
      </c>
      <c r="AM191" s="311">
        <f t="shared" si="44"/>
        <v>5.3261338440939386E-14</v>
      </c>
      <c r="AN191" s="312">
        <f t="shared" si="45"/>
        <v>6.8718478274287326E-15</v>
      </c>
      <c r="AO191" s="313">
        <f t="shared" si="46"/>
        <v>5.8369955706584394E-6</v>
      </c>
    </row>
    <row r="192" spans="1:41" s="51" customFormat="1" ht="15" customHeight="1" x14ac:dyDescent="0.2">
      <c r="A192" s="70" t="str">
        <f>'36. Generic chemical products'!A20</f>
        <v>Softener, average (Sapamine SFC)</v>
      </c>
      <c r="B192" s="70" t="str">
        <f>'36. Generic chemical products'!B20</f>
        <v>Octadecanoic acid</v>
      </c>
      <c r="C192" s="70">
        <f>'36. Generic chemical products'!C20</f>
        <v>0.2</v>
      </c>
      <c r="D192" s="70" t="str">
        <f>'36. Generic chemical products'!D20</f>
        <v>kg</v>
      </c>
      <c r="E192" s="70" t="str">
        <f>'36. Generic chemical products'!E20</f>
        <v>MSDS</v>
      </c>
      <c r="F192" s="70">
        <f>'36. Generic chemical products'!F20</f>
        <v>0</v>
      </c>
      <c r="G192" s="70" t="str">
        <f>'36. Generic chemical products'!G20</f>
        <v>-</v>
      </c>
      <c r="H192" s="70">
        <f>'36. Generic chemical products'!H20</f>
        <v>0</v>
      </c>
      <c r="I192" s="70">
        <f>'36. Generic chemical products'!I20</f>
        <v>0</v>
      </c>
      <c r="J192" s="70">
        <f>'36. Generic chemical products'!J20</f>
        <v>0</v>
      </c>
      <c r="K192" s="70">
        <f>'36. Generic chemical products'!K20</f>
        <v>0</v>
      </c>
      <c r="L192" s="70">
        <f>'36. Generic chemical products'!L20</f>
        <v>0</v>
      </c>
      <c r="M192" s="70" t="str">
        <f>'36. Generic chemical products'!M20</f>
        <v>Octadecanoic acid</v>
      </c>
      <c r="N192" s="70" t="str">
        <f>'36. Generic chemical products'!N20</f>
        <v>river</v>
      </c>
      <c r="O192" s="70">
        <f>'36. Generic chemical products'!O20</f>
        <v>1.0000000000000002E-3</v>
      </c>
      <c r="P192" s="70" t="str">
        <f>'36. Generic chemical products'!P20</f>
        <v>kg</v>
      </c>
      <c r="Q192" s="70" t="str">
        <f>'36. Generic chemical products'!Q20</f>
        <v>95% on fabric</v>
      </c>
      <c r="R192" s="70">
        <f>'36. Generic chemical products'!R20</f>
        <v>0</v>
      </c>
      <c r="S192" s="70">
        <f>'36. Generic chemical products'!S20</f>
        <v>0</v>
      </c>
      <c r="T192" s="70" t="str">
        <f>'36. Generic chemical products'!T20</f>
        <v>57-11-4</v>
      </c>
      <c r="U192" s="70">
        <f>'36. Generic chemical products'!U20</f>
        <v>0</v>
      </c>
      <c r="V192" s="70">
        <f>'36. Generic chemical products'!V20</f>
        <v>0</v>
      </c>
      <c r="W192" s="70">
        <f>'36. Generic chemical products'!W20</f>
        <v>0</v>
      </c>
      <c r="X192" s="70">
        <f>'36. Generic chemical products'!X20</f>
        <v>0</v>
      </c>
      <c r="Y192" s="70">
        <f>'36. Generic chemical products'!Y20</f>
        <v>9.2999999999999999E-2</v>
      </c>
      <c r="Z192" s="70">
        <f>'36. Generic chemical products'!Z20</f>
        <v>33.799999999999997</v>
      </c>
      <c r="AA192" s="70" t="str">
        <f>'36. Generic chemical products'!AA20</f>
        <v>COSMEDE</v>
      </c>
      <c r="AB192" s="300">
        <f>$C$36*I192</f>
        <v>0</v>
      </c>
      <c r="AC192" s="301">
        <f>$C$51*O192</f>
        <v>2.0000000000000006E-4</v>
      </c>
      <c r="AD192" s="302">
        <f t="shared" si="47"/>
        <v>0</v>
      </c>
      <c r="AE192" s="302">
        <f t="shared" si="36"/>
        <v>0</v>
      </c>
      <c r="AF192" s="303">
        <f t="shared" si="37"/>
        <v>6.7600000000000013E-3</v>
      </c>
      <c r="AG192" s="303">
        <f t="shared" si="38"/>
        <v>0</v>
      </c>
      <c r="AH192" s="303">
        <f t="shared" si="39"/>
        <v>0</v>
      </c>
      <c r="AI192" s="303">
        <f t="shared" si="40"/>
        <v>0</v>
      </c>
      <c r="AJ192" s="303">
        <f t="shared" si="41"/>
        <v>0</v>
      </c>
      <c r="AK192" s="303">
        <f t="shared" si="42"/>
        <v>0</v>
      </c>
      <c r="AL192" s="303">
        <f t="shared" si="43"/>
        <v>6.7600000000000013E-3</v>
      </c>
      <c r="AM192" s="304">
        <f t="shared" si="44"/>
        <v>0</v>
      </c>
      <c r="AN192" s="305">
        <f t="shared" si="45"/>
        <v>0</v>
      </c>
      <c r="AO192" s="306">
        <f t="shared" si="46"/>
        <v>6.7600000000000013E-3</v>
      </c>
    </row>
    <row r="193" spans="1:41" s="139" customFormat="1" ht="15" customHeight="1" x14ac:dyDescent="0.2">
      <c r="A193" s="136" t="str">
        <f>'36. Generic chemical products'!A21</f>
        <v>Softener, average (Sapamine SFC)</v>
      </c>
      <c r="B193" s="136" t="str">
        <f>'36. Generic chemical products'!B21</f>
        <v>Diethanolamine</v>
      </c>
      <c r="C193" s="136">
        <f>'36. Generic chemical products'!C21</f>
        <v>0.03</v>
      </c>
      <c r="D193" s="136" t="str">
        <f>'36. Generic chemical products'!D21</f>
        <v>kg</v>
      </c>
      <c r="E193" s="136" t="str">
        <f>'36. Generic chemical products'!E21</f>
        <v>MSDS</v>
      </c>
      <c r="F193" s="136">
        <f>'36. Generic chemical products'!F21</f>
        <v>0</v>
      </c>
      <c r="G193" s="136" t="str">
        <f>'36. Generic chemical products'!G21</f>
        <v>-</v>
      </c>
      <c r="H193" s="136">
        <f>'36. Generic chemical products'!H21</f>
        <v>0</v>
      </c>
      <c r="I193" s="136">
        <f>'36. Generic chemical products'!I21</f>
        <v>0</v>
      </c>
      <c r="J193" s="136">
        <f>'36. Generic chemical products'!J21</f>
        <v>0</v>
      </c>
      <c r="K193" s="136">
        <f>'36. Generic chemical products'!K21</f>
        <v>0</v>
      </c>
      <c r="L193" s="136">
        <f>'36. Generic chemical products'!L21</f>
        <v>0</v>
      </c>
      <c r="M193" s="136" t="str">
        <f>'36. Generic chemical products'!M21</f>
        <v>Diethanolamine</v>
      </c>
      <c r="N193" s="136" t="str">
        <f>'36. Generic chemical products'!N21</f>
        <v>river</v>
      </c>
      <c r="O193" s="136">
        <f>'36. Generic chemical products'!O21</f>
        <v>1.5000000000000001E-4</v>
      </c>
      <c r="P193" s="136" t="str">
        <f>'36. Generic chemical products'!P21</f>
        <v>kg</v>
      </c>
      <c r="Q193" s="136" t="str">
        <f>'36. Generic chemical products'!Q21</f>
        <v>95% on fabric</v>
      </c>
      <c r="R193" s="136">
        <f>'36. Generic chemical products'!R21</f>
        <v>0</v>
      </c>
      <c r="S193" s="136">
        <f>'36. Generic chemical products'!S21</f>
        <v>0</v>
      </c>
      <c r="T193" s="136" t="str">
        <f>'36. Generic chemical products'!T21</f>
        <v>111-42-2</v>
      </c>
      <c r="U193" s="136">
        <f>'36. Generic chemical products'!U21</f>
        <v>0</v>
      </c>
      <c r="V193" s="136">
        <f>'36. Generic chemical products'!V21</f>
        <v>0</v>
      </c>
      <c r="W193" s="136">
        <f>'36. Generic chemical products'!W21</f>
        <v>0</v>
      </c>
      <c r="X193" s="136">
        <f>'36. Generic chemical products'!X21</f>
        <v>0</v>
      </c>
      <c r="Y193" s="136">
        <f>'36. Generic chemical products'!Y21</f>
        <v>0.92690099117499369</v>
      </c>
      <c r="Z193" s="136">
        <f>'36. Generic chemical products'!Z21</f>
        <v>47.139947928233759</v>
      </c>
      <c r="AA193" s="136" t="str">
        <f>'36. Generic chemical products'!AA21</f>
        <v>USEtox</v>
      </c>
      <c r="AB193" s="307">
        <f>$C$36*I193</f>
        <v>0</v>
      </c>
      <c r="AC193" s="308">
        <f>$C$51*O193</f>
        <v>3.0000000000000004E-5</v>
      </c>
      <c r="AD193" s="309">
        <f t="shared" si="47"/>
        <v>0</v>
      </c>
      <c r="AE193" s="309">
        <f t="shared" si="36"/>
        <v>0</v>
      </c>
      <c r="AF193" s="310">
        <f t="shared" si="37"/>
        <v>1.414198437847013E-3</v>
      </c>
      <c r="AG193" s="310">
        <f t="shared" si="38"/>
        <v>0</v>
      </c>
      <c r="AH193" s="310">
        <f t="shared" si="39"/>
        <v>0</v>
      </c>
      <c r="AI193" s="310">
        <f t="shared" si="40"/>
        <v>0</v>
      </c>
      <c r="AJ193" s="310">
        <f t="shared" si="41"/>
        <v>0</v>
      </c>
      <c r="AK193" s="310">
        <f t="shared" si="42"/>
        <v>0</v>
      </c>
      <c r="AL193" s="310">
        <f t="shared" si="43"/>
        <v>1.414198437847013E-3</v>
      </c>
      <c r="AM193" s="311">
        <f t="shared" si="44"/>
        <v>0</v>
      </c>
      <c r="AN193" s="312">
        <f t="shared" si="45"/>
        <v>0</v>
      </c>
      <c r="AO193" s="313">
        <f t="shared" si="46"/>
        <v>1.414198437847013E-3</v>
      </c>
    </row>
    <row r="194" spans="1:41" s="51" customFormat="1" ht="15" customHeight="1" x14ac:dyDescent="0.2">
      <c r="A194" s="244"/>
      <c r="B194" s="54"/>
      <c r="C194" s="74"/>
      <c r="E194" s="64"/>
      <c r="H194" s="69"/>
      <c r="M194" s="69"/>
      <c r="P194" s="54"/>
      <c r="Q194" s="115"/>
      <c r="R194" s="115"/>
      <c r="S194" s="115"/>
      <c r="T194" s="115"/>
      <c r="U194" s="115"/>
      <c r="V194" s="115"/>
      <c r="W194" s="115"/>
      <c r="X194" s="283"/>
      <c r="Y194" s="314"/>
      <c r="Z194" s="315"/>
      <c r="AA194" s="315"/>
      <c r="AB194" s="283"/>
      <c r="AC194" s="283"/>
      <c r="AD194" s="417">
        <f>SUM(AD157:AD193)</f>
        <v>4.5881077006891362E-12</v>
      </c>
      <c r="AE194" s="177">
        <f>SUM(AE157:AE193)</f>
        <v>7.8992948358059155E-9</v>
      </c>
      <c r="AF194" s="177">
        <f>SUM(AF157:AF193)</f>
        <v>471.75608611044254</v>
      </c>
      <c r="AG194" s="177">
        <f t="shared" ref="AG194" si="50">SUM(AG157:AG193)</f>
        <v>3.1127423370144897E-13</v>
      </c>
      <c r="AH194" s="177">
        <f>SUM(AH157:AH193)</f>
        <v>2.9737860314016623E-10</v>
      </c>
      <c r="AI194" s="177">
        <f>SUM(AI157:AI193)</f>
        <v>4.1564162589366939E-2</v>
      </c>
      <c r="AJ194" s="177">
        <f t="shared" ref="AJ194" si="51">SUM(AJ157:AJ193)</f>
        <v>4.2768334669876875E-12</v>
      </c>
      <c r="AK194" s="177">
        <f>SUM(AK157:AK193)</f>
        <v>7.6019162326657485E-9</v>
      </c>
      <c r="AL194" s="177">
        <f>SUM(AL157:AL193)</f>
        <v>471.7145219478532</v>
      </c>
      <c r="AO194" s="313">
        <f>AI194+AL194</f>
        <v>471.75608611044254</v>
      </c>
    </row>
    <row r="195" spans="1:41" x14ac:dyDescent="0.2">
      <c r="AC195" s="366" t="s">
        <v>1040</v>
      </c>
      <c r="AD195" s="367">
        <f>AD194*2-AD179</f>
        <v>9.1762154013782723E-12</v>
      </c>
    </row>
    <row r="203" spans="1:41" x14ac:dyDescent="0.2">
      <c r="A203" s="35" t="s">
        <v>687</v>
      </c>
    </row>
    <row r="204" spans="1:41" x14ac:dyDescent="0.2">
      <c r="A204" s="244" t="s">
        <v>1102</v>
      </c>
    </row>
    <row r="205" spans="1:41" x14ac:dyDescent="0.2">
      <c r="A205" s="244" t="s">
        <v>1103</v>
      </c>
    </row>
    <row r="206" spans="1:41" x14ac:dyDescent="0.2">
      <c r="A206" t="s">
        <v>1068</v>
      </c>
    </row>
    <row r="207" spans="1:41" x14ac:dyDescent="0.2">
      <c r="A207" s="244" t="s">
        <v>1083</v>
      </c>
    </row>
    <row r="208" spans="1:41" x14ac:dyDescent="0.2">
      <c r="A208" s="244" t="s">
        <v>1104</v>
      </c>
    </row>
    <row r="209" spans="1:1" x14ac:dyDescent="0.2">
      <c r="A209" s="244" t="s">
        <v>1087</v>
      </c>
    </row>
    <row r="210" spans="1:1" x14ac:dyDescent="0.2">
      <c r="A210" s="244" t="s">
        <v>1105</v>
      </c>
    </row>
    <row r="211" spans="1:1" x14ac:dyDescent="0.2">
      <c r="A211" s="244" t="s">
        <v>1106</v>
      </c>
    </row>
    <row r="212" spans="1:1" x14ac:dyDescent="0.2">
      <c r="A212" s="244" t="s">
        <v>1097</v>
      </c>
    </row>
    <row r="213" spans="1:1" x14ac:dyDescent="0.2">
      <c r="A213" s="244" t="s">
        <v>1162</v>
      </c>
    </row>
    <row r="214" spans="1:1" x14ac:dyDescent="0.2">
      <c r="A214" s="244" t="s">
        <v>1091</v>
      </c>
    </row>
    <row r="215" spans="1:1" x14ac:dyDescent="0.2">
      <c r="A215" s="244" t="s">
        <v>1107</v>
      </c>
    </row>
    <row r="216" spans="1:1" x14ac:dyDescent="0.2">
      <c r="A216" t="s">
        <v>1098</v>
      </c>
    </row>
    <row r="217" spans="1:1" x14ac:dyDescent="0.2">
      <c r="A217" s="244" t="s">
        <v>1099</v>
      </c>
    </row>
    <row r="218" spans="1:1" x14ac:dyDescent="0.2">
      <c r="A218" s="244" t="s">
        <v>1070</v>
      </c>
    </row>
    <row r="219" spans="1:1" x14ac:dyDescent="0.2">
      <c r="A219" s="244" t="s">
        <v>1096</v>
      </c>
    </row>
    <row r="220" spans="1:1" x14ac:dyDescent="0.2">
      <c r="A220" s="244" t="s">
        <v>1108</v>
      </c>
    </row>
    <row r="221" spans="1:1" x14ac:dyDescent="0.2">
      <c r="A221" s="244" t="s">
        <v>1109</v>
      </c>
    </row>
    <row r="222" spans="1:1" x14ac:dyDescent="0.2">
      <c r="A222" s="244" t="s">
        <v>1072</v>
      </c>
    </row>
    <row r="223" spans="1:1" x14ac:dyDescent="0.2">
      <c r="A223" s="244" t="s">
        <v>1100</v>
      </c>
    </row>
    <row r="224" spans="1:1" x14ac:dyDescent="0.2">
      <c r="A224" s="244" t="s">
        <v>1101</v>
      </c>
    </row>
  </sheetData>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O114"/>
  <sheetViews>
    <sheetView zoomScale="60" zoomScaleNormal="60" workbookViewId="0">
      <selection activeCell="AA35" sqref="A35:AA48"/>
    </sheetView>
  </sheetViews>
  <sheetFormatPr defaultRowHeight="12.75" x14ac:dyDescent="0.2"/>
  <cols>
    <col min="1" max="1" width="45" style="34" customWidth="1"/>
    <col min="2" max="2" width="28.7109375" style="34" customWidth="1"/>
    <col min="3" max="3" width="14.7109375" style="34" customWidth="1"/>
    <col min="4" max="4" width="9.140625" style="34" customWidth="1"/>
    <col min="5" max="5" width="31.42578125" style="34" customWidth="1"/>
    <col min="6" max="6" width="9.140625" style="34" customWidth="1"/>
    <col min="7" max="7" width="34.140625" style="34" customWidth="1"/>
    <col min="8" max="8" width="28" style="34" customWidth="1"/>
    <col min="9" max="10" width="9.140625" style="34" customWidth="1"/>
    <col min="11" max="11" width="22.85546875" style="34" customWidth="1"/>
    <col min="12" max="12" width="9.140625" style="34" customWidth="1"/>
    <col min="13" max="13" width="42" style="34" customWidth="1"/>
    <col min="14" max="14" width="18.85546875" style="34" customWidth="1"/>
    <col min="15" max="15" width="9.5703125" style="34" customWidth="1"/>
    <col min="16" max="16" width="10" style="34" customWidth="1"/>
    <col min="17" max="17" width="26.42578125" style="34" customWidth="1"/>
    <col min="18" max="18" width="20.140625" style="34" customWidth="1"/>
    <col min="19" max="19" width="42.85546875" style="34" customWidth="1"/>
    <col min="20" max="24" width="16.28515625" style="34" customWidth="1"/>
    <col min="25" max="25" width="11.5703125" style="40" customWidth="1"/>
    <col min="26" max="27" width="9.140625" style="40" customWidth="1"/>
    <col min="28" max="29" width="9.140625" style="40"/>
    <col min="30" max="30" width="15.7109375" style="40" bestFit="1" customWidth="1"/>
    <col min="31" max="31" width="9.140625" style="40"/>
    <col min="32" max="32" width="18.28515625" style="40" customWidth="1"/>
    <col min="33" max="33" width="9.85546875" style="40" bestFit="1" customWidth="1"/>
    <col min="34" max="34" width="9.140625" style="40"/>
    <col min="35" max="35" width="10.28515625" style="40" bestFit="1" customWidth="1"/>
    <col min="36" max="37" width="9.140625" style="40"/>
    <col min="38" max="38" width="10.5703125" style="34" bestFit="1" customWidth="1"/>
    <col min="39" max="16384" width="9.140625" style="34"/>
  </cols>
  <sheetData>
    <row r="1" spans="1:37" ht="16.5" thickBot="1" x14ac:dyDescent="0.3">
      <c r="A1" s="82" t="s">
        <v>566</v>
      </c>
      <c r="B1" s="83"/>
      <c r="C1" s="83" t="s">
        <v>217</v>
      </c>
      <c r="D1" s="83" t="s">
        <v>11</v>
      </c>
      <c r="E1" s="84" t="s">
        <v>180</v>
      </c>
      <c r="G1" s="92" t="s">
        <v>757</v>
      </c>
      <c r="H1" s="93"/>
      <c r="I1" s="93" t="s">
        <v>217</v>
      </c>
      <c r="J1" s="93" t="s">
        <v>11</v>
      </c>
      <c r="K1" s="94" t="s">
        <v>180</v>
      </c>
      <c r="M1" s="95" t="s">
        <v>758</v>
      </c>
      <c r="N1" s="96"/>
      <c r="O1" s="97" t="s">
        <v>217</v>
      </c>
      <c r="P1" s="97" t="s">
        <v>11</v>
      </c>
      <c r="Q1" s="98" t="s">
        <v>180</v>
      </c>
      <c r="S1" s="44" t="s">
        <v>759</v>
      </c>
      <c r="T1" s="45"/>
      <c r="U1" s="45" t="s">
        <v>217</v>
      </c>
      <c r="V1" s="45" t="s">
        <v>11</v>
      </c>
      <c r="W1" s="46" t="s">
        <v>180</v>
      </c>
      <c r="Y1" s="41" t="s">
        <v>760</v>
      </c>
      <c r="Z1" s="42"/>
      <c r="AA1" s="42" t="s">
        <v>217</v>
      </c>
      <c r="AB1" s="42" t="s">
        <v>11</v>
      </c>
      <c r="AC1" s="43" t="s">
        <v>180</v>
      </c>
      <c r="AF1" s="48" t="s">
        <v>710</v>
      </c>
      <c r="AJ1" s="34"/>
      <c r="AK1" s="34"/>
    </row>
    <row r="2" spans="1:37" x14ac:dyDescent="0.2">
      <c r="A2" s="85" t="s">
        <v>218</v>
      </c>
      <c r="B2" s="86"/>
      <c r="C2" s="86"/>
      <c r="D2" s="86"/>
      <c r="E2" s="87"/>
      <c r="G2" s="85" t="s">
        <v>218</v>
      </c>
      <c r="H2" s="86"/>
      <c r="I2" s="86"/>
      <c r="J2" s="86"/>
      <c r="K2" s="87"/>
      <c r="M2" s="85" t="s">
        <v>218</v>
      </c>
      <c r="N2" s="86"/>
      <c r="O2" s="86"/>
      <c r="P2" s="86"/>
      <c r="Q2" s="87"/>
      <c r="S2" s="85" t="s">
        <v>218</v>
      </c>
      <c r="T2" s="86"/>
      <c r="U2" s="86"/>
      <c r="V2" s="86"/>
      <c r="W2" s="87"/>
      <c r="Y2" s="85" t="s">
        <v>218</v>
      </c>
      <c r="Z2" s="86"/>
      <c r="AA2" s="86"/>
      <c r="AB2" s="86"/>
      <c r="AC2" s="87"/>
      <c r="AF2" s="34" t="s">
        <v>950</v>
      </c>
      <c r="AG2" s="40" t="s">
        <v>709</v>
      </c>
      <c r="AI2" s="34"/>
      <c r="AJ2" s="34"/>
      <c r="AK2" s="34"/>
    </row>
    <row r="3" spans="1:37" x14ac:dyDescent="0.2">
      <c r="A3" s="88" t="s">
        <v>761</v>
      </c>
      <c r="B3" s="89"/>
      <c r="C3" s="89">
        <v>1</v>
      </c>
      <c r="D3" s="89" t="s">
        <v>2</v>
      </c>
      <c r="E3" s="90"/>
      <c r="G3" s="88" t="s">
        <v>761</v>
      </c>
      <c r="H3" s="89"/>
      <c r="I3" s="89">
        <v>1</v>
      </c>
      <c r="J3" s="89" t="s">
        <v>2</v>
      </c>
      <c r="K3" s="90"/>
      <c r="M3" s="88" t="s">
        <v>761</v>
      </c>
      <c r="N3" s="89"/>
      <c r="O3" s="89">
        <v>1</v>
      </c>
      <c r="P3" s="89" t="s">
        <v>2</v>
      </c>
      <c r="Q3" s="90"/>
      <c r="S3" s="88" t="s">
        <v>761</v>
      </c>
      <c r="T3" s="89"/>
      <c r="U3" s="89">
        <v>1</v>
      </c>
      <c r="V3" s="89" t="s">
        <v>2</v>
      </c>
      <c r="W3" s="90"/>
      <c r="Y3" s="88" t="s">
        <v>761</v>
      </c>
      <c r="Z3" s="89"/>
      <c r="AA3" s="89">
        <v>1</v>
      </c>
      <c r="AB3" s="89" t="s">
        <v>2</v>
      </c>
      <c r="AC3" s="90"/>
      <c r="AE3" s="40" t="s">
        <v>260</v>
      </c>
      <c r="AF3" s="227">
        <v>0.81785742130392503</v>
      </c>
      <c r="AJ3" s="34"/>
      <c r="AK3" s="34"/>
    </row>
    <row r="4" spans="1:37" s="35" customFormat="1" x14ac:dyDescent="0.2">
      <c r="A4" s="85" t="s">
        <v>183</v>
      </c>
      <c r="B4" s="86"/>
      <c r="C4" s="86"/>
      <c r="D4" s="86"/>
      <c r="E4" s="87"/>
      <c r="G4" s="85" t="s">
        <v>183</v>
      </c>
      <c r="H4" s="86"/>
      <c r="I4" s="86"/>
      <c r="J4" s="86"/>
      <c r="K4" s="87"/>
      <c r="M4" s="85" t="s">
        <v>183</v>
      </c>
      <c r="N4" s="86"/>
      <c r="O4" s="86"/>
      <c r="P4" s="86"/>
      <c r="Q4" s="87"/>
      <c r="S4" s="85" t="s">
        <v>183</v>
      </c>
      <c r="T4" s="86"/>
      <c r="U4" s="86"/>
      <c r="V4" s="86"/>
      <c r="W4" s="87"/>
      <c r="Y4" s="85" t="s">
        <v>183</v>
      </c>
      <c r="Z4" s="86"/>
      <c r="AA4" s="86"/>
      <c r="AB4" s="86"/>
      <c r="AC4" s="87"/>
      <c r="AD4" s="99"/>
      <c r="AE4" s="40" t="s">
        <v>261</v>
      </c>
      <c r="AF4" s="226">
        <v>1.5663855541788E-4</v>
      </c>
      <c r="AG4" s="99"/>
      <c r="AH4" s="99"/>
      <c r="AI4" s="99"/>
    </row>
    <row r="5" spans="1:37" x14ac:dyDescent="0.2">
      <c r="A5" s="88" t="s">
        <v>184</v>
      </c>
      <c r="B5" s="89"/>
      <c r="C5" s="89">
        <v>0.06</v>
      </c>
      <c r="D5" s="89" t="s">
        <v>185</v>
      </c>
      <c r="E5" s="90" t="s">
        <v>186</v>
      </c>
      <c r="F5" s="34" t="s">
        <v>179</v>
      </c>
      <c r="G5" s="88" t="s">
        <v>184</v>
      </c>
      <c r="H5" s="89"/>
      <c r="I5" s="89">
        <v>0.03</v>
      </c>
      <c r="J5" s="89" t="s">
        <v>185</v>
      </c>
      <c r="K5" s="90" t="s">
        <v>282</v>
      </c>
      <c r="L5" s="34" t="s">
        <v>87</v>
      </c>
      <c r="M5" s="88" t="s">
        <v>184</v>
      </c>
      <c r="N5" s="89"/>
      <c r="O5" s="89">
        <v>0.12</v>
      </c>
      <c r="P5" s="89" t="s">
        <v>185</v>
      </c>
      <c r="Q5" s="90" t="s">
        <v>284</v>
      </c>
      <c r="R5" s="34" t="s">
        <v>87</v>
      </c>
      <c r="S5" s="88" t="s">
        <v>184</v>
      </c>
      <c r="T5" s="89"/>
      <c r="U5" s="89">
        <v>0.06</v>
      </c>
      <c r="V5" s="89" t="s">
        <v>185</v>
      </c>
      <c r="W5" s="90" t="s">
        <v>186</v>
      </c>
      <c r="X5" s="34" t="s">
        <v>87</v>
      </c>
      <c r="Y5" s="88" t="s">
        <v>184</v>
      </c>
      <c r="Z5" s="89"/>
      <c r="AA5" s="89">
        <v>0.06</v>
      </c>
      <c r="AB5" s="89" t="s">
        <v>185</v>
      </c>
      <c r="AC5" s="90" t="s">
        <v>186</v>
      </c>
      <c r="AD5" s="40" t="s">
        <v>87</v>
      </c>
      <c r="AE5" s="40" t="s">
        <v>262</v>
      </c>
      <c r="AF5" s="227">
        <v>1.57220723862805E-3</v>
      </c>
      <c r="AJ5" s="34"/>
      <c r="AK5" s="34"/>
    </row>
    <row r="6" spans="1:37" s="35" customFormat="1" x14ac:dyDescent="0.2">
      <c r="A6" s="85" t="s">
        <v>187</v>
      </c>
      <c r="B6" s="86"/>
      <c r="C6" s="86"/>
      <c r="D6" s="86"/>
      <c r="E6" s="87"/>
      <c r="G6" s="85" t="s">
        <v>187</v>
      </c>
      <c r="H6" s="86"/>
      <c r="I6" s="86"/>
      <c r="J6" s="86"/>
      <c r="K6" s="87"/>
      <c r="M6" s="85" t="s">
        <v>187</v>
      </c>
      <c r="N6" s="86"/>
      <c r="O6" s="86"/>
      <c r="P6" s="86"/>
      <c r="Q6" s="87"/>
      <c r="S6" s="85" t="s">
        <v>187</v>
      </c>
      <c r="T6" s="86"/>
      <c r="U6" s="86"/>
      <c r="V6" s="86"/>
      <c r="W6" s="87"/>
      <c r="Y6" s="85" t="s">
        <v>187</v>
      </c>
      <c r="Z6" s="86"/>
      <c r="AA6" s="86"/>
      <c r="AB6" s="86"/>
      <c r="AC6" s="87"/>
      <c r="AD6" s="99"/>
      <c r="AE6" s="40" t="s">
        <v>263</v>
      </c>
      <c r="AF6" s="226">
        <v>9.3152281219289405E-4</v>
      </c>
      <c r="AG6" s="99"/>
      <c r="AH6" s="99"/>
      <c r="AI6" s="99"/>
    </row>
    <row r="7" spans="1:37" ht="15" x14ac:dyDescent="0.2">
      <c r="A7" s="88" t="s">
        <v>90</v>
      </c>
      <c r="B7" s="89"/>
      <c r="C7" s="89">
        <v>5.0000000000000001E-3</v>
      </c>
      <c r="D7" s="89" t="s">
        <v>2</v>
      </c>
      <c r="E7" s="90" t="s">
        <v>179</v>
      </c>
      <c r="F7" s="34" t="s">
        <v>179</v>
      </c>
      <c r="G7" s="88" t="s">
        <v>90</v>
      </c>
      <c r="H7" s="89"/>
      <c r="I7" s="89">
        <v>5.0000000000000001E-3</v>
      </c>
      <c r="J7" s="89" t="s">
        <v>2</v>
      </c>
      <c r="K7" s="90" t="s">
        <v>179</v>
      </c>
      <c r="M7" s="88" t="s">
        <v>90</v>
      </c>
      <c r="N7" s="89"/>
      <c r="O7" s="89">
        <v>5.0000000000000001E-3</v>
      </c>
      <c r="P7" s="89" t="s">
        <v>2</v>
      </c>
      <c r="Q7" s="90" t="s">
        <v>179</v>
      </c>
      <c r="S7" s="88" t="s">
        <v>1279</v>
      </c>
      <c r="T7" s="89"/>
      <c r="U7" s="89">
        <v>5.0000000000000001E-3</v>
      </c>
      <c r="V7" s="89" t="s">
        <v>2</v>
      </c>
      <c r="W7" s="90" t="s">
        <v>179</v>
      </c>
      <c r="Y7" s="88" t="s">
        <v>1282</v>
      </c>
      <c r="Z7" s="89"/>
      <c r="AA7" s="89">
        <v>5.0000000000000001E-3</v>
      </c>
      <c r="AB7" s="89" t="s">
        <v>2</v>
      </c>
      <c r="AC7" s="90" t="s">
        <v>179</v>
      </c>
      <c r="AE7" s="40" t="s">
        <v>675</v>
      </c>
      <c r="AF7" s="227">
        <v>1.03785955360765E-2</v>
      </c>
      <c r="AJ7" s="34"/>
      <c r="AK7" s="34"/>
    </row>
    <row r="8" spans="1:37" x14ac:dyDescent="0.2">
      <c r="A8" s="88" t="s">
        <v>45</v>
      </c>
      <c r="B8" s="89"/>
      <c r="C8" s="89">
        <v>5.0000000000000001E-3</v>
      </c>
      <c r="D8" s="89" t="s">
        <v>2</v>
      </c>
      <c r="E8" s="90" t="s">
        <v>179</v>
      </c>
      <c r="F8" s="34" t="s">
        <v>179</v>
      </c>
      <c r="G8" s="88" t="s">
        <v>45</v>
      </c>
      <c r="H8" s="89"/>
      <c r="I8" s="89">
        <v>5.0000000000000001E-3</v>
      </c>
      <c r="J8" s="89" t="s">
        <v>2</v>
      </c>
      <c r="K8" s="90" t="s">
        <v>179</v>
      </c>
      <c r="M8" s="88" t="s">
        <v>45</v>
      </c>
      <c r="N8" s="89"/>
      <c r="O8" s="89">
        <v>5.0000000000000001E-3</v>
      </c>
      <c r="P8" s="89" t="s">
        <v>2</v>
      </c>
      <c r="Q8" s="90" t="s">
        <v>179</v>
      </c>
      <c r="S8" s="88" t="s">
        <v>152</v>
      </c>
      <c r="T8" s="89"/>
      <c r="U8" s="89">
        <v>5.0000000000000001E-3</v>
      </c>
      <c r="V8" s="89" t="s">
        <v>2</v>
      </c>
      <c r="W8" s="90" t="s">
        <v>179</v>
      </c>
      <c r="Y8" s="88" t="s">
        <v>1136</v>
      </c>
      <c r="Z8" s="89"/>
      <c r="AA8" s="89">
        <v>5.0000000000000001E-3</v>
      </c>
      <c r="AB8" s="89" t="s">
        <v>2</v>
      </c>
      <c r="AC8" s="90" t="s">
        <v>179</v>
      </c>
      <c r="AE8" s="40" t="s">
        <v>264</v>
      </c>
      <c r="AF8" s="227">
        <v>0.41955945270553002</v>
      </c>
      <c r="AJ8" s="34"/>
      <c r="AK8" s="34"/>
    </row>
    <row r="9" spans="1:37" x14ac:dyDescent="0.2">
      <c r="A9" s="88" t="s">
        <v>88</v>
      </c>
      <c r="B9" s="89"/>
      <c r="C9" s="89">
        <v>5.0000000000000001E-3</v>
      </c>
      <c r="D9" s="89" t="s">
        <v>2</v>
      </c>
      <c r="E9" s="90" t="s">
        <v>179</v>
      </c>
      <c r="F9" s="34" t="s">
        <v>179</v>
      </c>
      <c r="G9" s="88" t="s">
        <v>88</v>
      </c>
      <c r="H9" s="89"/>
      <c r="I9" s="89">
        <v>5.0000000000000001E-3</v>
      </c>
      <c r="J9" s="89" t="s">
        <v>2</v>
      </c>
      <c r="K9" s="90" t="s">
        <v>179</v>
      </c>
      <c r="M9" s="88" t="s">
        <v>88</v>
      </c>
      <c r="N9" s="89"/>
      <c r="O9" s="89">
        <v>5.0000000000000001E-3</v>
      </c>
      <c r="P9" s="89" t="s">
        <v>2</v>
      </c>
      <c r="Q9" s="90" t="s">
        <v>179</v>
      </c>
      <c r="S9" s="88" t="s">
        <v>1256</v>
      </c>
      <c r="T9" s="89"/>
      <c r="U9" s="89">
        <v>5.0000000000000001E-3</v>
      </c>
      <c r="V9" s="89" t="s">
        <v>2</v>
      </c>
      <c r="W9" s="90" t="s">
        <v>179</v>
      </c>
      <c r="Y9" s="88" t="s">
        <v>1174</v>
      </c>
      <c r="Z9" s="89"/>
      <c r="AA9" s="89">
        <v>5.0000000000000001E-3</v>
      </c>
      <c r="AB9" s="89" t="s">
        <v>2</v>
      </c>
      <c r="AC9" s="90" t="s">
        <v>179</v>
      </c>
      <c r="AE9" s="40" t="s">
        <v>266</v>
      </c>
      <c r="AF9" s="227">
        <v>1.2345317018701301E-7</v>
      </c>
      <c r="AG9" s="191">
        <f>AE49</f>
        <v>3.6422587054466669E-10</v>
      </c>
      <c r="AJ9" s="34"/>
      <c r="AK9" s="34"/>
    </row>
    <row r="10" spans="1:37" x14ac:dyDescent="0.2">
      <c r="A10" s="88" t="s">
        <v>168</v>
      </c>
      <c r="B10" s="89"/>
      <c r="C10" s="89">
        <v>5.0000000000000001E-3</v>
      </c>
      <c r="D10" s="89" t="s">
        <v>2</v>
      </c>
      <c r="E10" s="90"/>
      <c r="F10" s="34" t="s">
        <v>179</v>
      </c>
      <c r="G10" s="88" t="s">
        <v>168</v>
      </c>
      <c r="H10" s="89"/>
      <c r="I10" s="89">
        <v>5.0000000000000001E-3</v>
      </c>
      <c r="J10" s="89" t="s">
        <v>2</v>
      </c>
      <c r="K10" s="90"/>
      <c r="M10" s="88" t="s">
        <v>168</v>
      </c>
      <c r="N10" s="89"/>
      <c r="O10" s="89">
        <v>5.0000000000000001E-3</v>
      </c>
      <c r="P10" s="89" t="s">
        <v>2</v>
      </c>
      <c r="Q10" s="90"/>
      <c r="S10" s="88" t="s">
        <v>168</v>
      </c>
      <c r="T10" s="89"/>
      <c r="U10" s="89">
        <v>5.0000000000000001E-3</v>
      </c>
      <c r="V10" s="89" t="s">
        <v>2</v>
      </c>
      <c r="W10" s="90"/>
      <c r="Y10" s="88" t="s">
        <v>168</v>
      </c>
      <c r="Z10" s="89"/>
      <c r="AA10" s="89">
        <v>5.0000000000000001E-3</v>
      </c>
      <c r="AB10" s="89" t="s">
        <v>2</v>
      </c>
      <c r="AC10" s="90"/>
      <c r="AE10" s="40" t="s">
        <v>267</v>
      </c>
      <c r="AF10" s="227">
        <v>9.6466592073202399E-9</v>
      </c>
      <c r="AG10" s="191">
        <f>AD49</f>
        <v>1.5271277716707523E-9</v>
      </c>
      <c r="AJ10" s="34"/>
      <c r="AK10" s="34"/>
    </row>
    <row r="11" spans="1:37" x14ac:dyDescent="0.2">
      <c r="A11" s="88" t="s">
        <v>762</v>
      </c>
      <c r="B11" s="89"/>
      <c r="C11" s="89">
        <v>5.0000000000000001E-3</v>
      </c>
      <c r="D11" s="89" t="s">
        <v>2</v>
      </c>
      <c r="E11" s="90" t="s">
        <v>179</v>
      </c>
      <c r="F11" s="34" t="s">
        <v>179</v>
      </c>
      <c r="G11" s="88" t="s">
        <v>762</v>
      </c>
      <c r="H11" s="89"/>
      <c r="I11" s="89">
        <v>5.0000000000000001E-3</v>
      </c>
      <c r="J11" s="89" t="s">
        <v>2</v>
      </c>
      <c r="K11" s="324" t="s">
        <v>283</v>
      </c>
      <c r="M11" s="88" t="s">
        <v>762</v>
      </c>
      <c r="N11" s="89"/>
      <c r="O11" s="89">
        <v>5.0000000000000001E-3</v>
      </c>
      <c r="P11" s="89" t="s">
        <v>2</v>
      </c>
      <c r="Q11" s="324" t="s">
        <v>1237</v>
      </c>
      <c r="S11" s="88" t="s">
        <v>1280</v>
      </c>
      <c r="T11" s="89"/>
      <c r="U11" s="89">
        <v>5.0000000000000001E-3</v>
      </c>
      <c r="V11" s="89" t="s">
        <v>2</v>
      </c>
      <c r="W11" s="90" t="s">
        <v>179</v>
      </c>
      <c r="Y11" s="88" t="s">
        <v>1283</v>
      </c>
      <c r="Z11" s="89"/>
      <c r="AA11" s="89">
        <v>5.0000000000000001E-3</v>
      </c>
      <c r="AB11" s="89" t="s">
        <v>2</v>
      </c>
      <c r="AC11" s="90" t="s">
        <v>179</v>
      </c>
      <c r="AE11" s="40" t="s">
        <v>268</v>
      </c>
      <c r="AF11" s="227">
        <v>5.1656382919003496</v>
      </c>
      <c r="AG11" s="191">
        <f>AF49</f>
        <v>3.335461412593121</v>
      </c>
      <c r="AJ11" s="34"/>
      <c r="AK11" s="34"/>
    </row>
    <row r="12" spans="1:37" x14ac:dyDescent="0.2">
      <c r="A12" s="88" t="s">
        <v>191</v>
      </c>
      <c r="B12" s="89"/>
      <c r="C12" s="89">
        <v>5.0000000000000001E-3</v>
      </c>
      <c r="D12" s="89" t="s">
        <v>2</v>
      </c>
      <c r="E12" s="90" t="s">
        <v>179</v>
      </c>
      <c r="F12" s="34" t="s">
        <v>179</v>
      </c>
      <c r="G12" s="88" t="s">
        <v>191</v>
      </c>
      <c r="H12" s="89"/>
      <c r="I12" s="89">
        <v>5.0000000000000001E-3</v>
      </c>
      <c r="J12" s="89" t="s">
        <v>2</v>
      </c>
      <c r="K12" s="324" t="s">
        <v>283</v>
      </c>
      <c r="M12" s="88" t="s">
        <v>191</v>
      </c>
      <c r="N12" s="89"/>
      <c r="O12" s="89">
        <v>5.0000000000000001E-3</v>
      </c>
      <c r="P12" s="89" t="s">
        <v>2</v>
      </c>
      <c r="Q12" s="324" t="s">
        <v>1237</v>
      </c>
      <c r="S12" s="88" t="s">
        <v>285</v>
      </c>
      <c r="T12" s="89"/>
      <c r="U12" s="89">
        <v>5.0000000000000001E-3</v>
      </c>
      <c r="V12" s="89" t="s">
        <v>2</v>
      </c>
      <c r="W12" s="90" t="s">
        <v>179</v>
      </c>
      <c r="Y12" s="88" t="s">
        <v>1145</v>
      </c>
      <c r="Z12" s="89"/>
      <c r="AA12" s="89">
        <v>5.0000000000000001E-3</v>
      </c>
      <c r="AB12" s="89" t="s">
        <v>2</v>
      </c>
      <c r="AC12" s="90" t="s">
        <v>179</v>
      </c>
      <c r="AJ12" s="34"/>
      <c r="AK12" s="34"/>
    </row>
    <row r="13" spans="1:37" x14ac:dyDescent="0.2">
      <c r="A13" s="88" t="s">
        <v>231</v>
      </c>
      <c r="B13" s="89"/>
      <c r="C13" s="89">
        <v>5.0000000000000001E-3</v>
      </c>
      <c r="D13" s="89" t="s">
        <v>2</v>
      </c>
      <c r="E13" s="90" t="s">
        <v>179</v>
      </c>
      <c r="F13" s="34" t="s">
        <v>179</v>
      </c>
      <c r="G13" s="88" t="s">
        <v>231</v>
      </c>
      <c r="H13" s="89"/>
      <c r="I13" s="89">
        <v>5.0000000000000001E-3</v>
      </c>
      <c r="J13" s="89" t="s">
        <v>2</v>
      </c>
      <c r="K13" s="324" t="s">
        <v>283</v>
      </c>
      <c r="M13" s="88" t="s">
        <v>231</v>
      </c>
      <c r="N13" s="89"/>
      <c r="O13" s="89">
        <v>5.0000000000000001E-3</v>
      </c>
      <c r="P13" s="89" t="s">
        <v>2</v>
      </c>
      <c r="Q13" s="324" t="s">
        <v>1237</v>
      </c>
      <c r="S13" s="88" t="s">
        <v>1169</v>
      </c>
      <c r="T13" s="89"/>
      <c r="U13" s="89">
        <v>5.0000000000000001E-3</v>
      </c>
      <c r="V13" s="89" t="s">
        <v>2</v>
      </c>
      <c r="W13" s="90" t="s">
        <v>179</v>
      </c>
      <c r="Y13" s="88" t="s">
        <v>1177</v>
      </c>
      <c r="Z13" s="89"/>
      <c r="AA13" s="89">
        <v>5.0000000000000001E-3</v>
      </c>
      <c r="AB13" s="89" t="s">
        <v>2</v>
      </c>
      <c r="AC13" s="90" t="s">
        <v>179</v>
      </c>
      <c r="AJ13" s="34"/>
      <c r="AK13" s="34"/>
    </row>
    <row r="14" spans="1:37" x14ac:dyDescent="0.2">
      <c r="A14" s="88" t="s">
        <v>763</v>
      </c>
      <c r="B14" s="89"/>
      <c r="C14" s="89">
        <v>5.0000000000000001E-3</v>
      </c>
      <c r="D14" s="89" t="s">
        <v>2</v>
      </c>
      <c r="E14" s="90"/>
      <c r="F14" s="34" t="s">
        <v>179</v>
      </c>
      <c r="G14" s="88" t="s">
        <v>763</v>
      </c>
      <c r="H14" s="89"/>
      <c r="I14" s="89">
        <v>5.0000000000000001E-3</v>
      </c>
      <c r="J14" s="89" t="s">
        <v>2</v>
      </c>
      <c r="K14" s="324" t="s">
        <v>283</v>
      </c>
      <c r="M14" s="88" t="s">
        <v>763</v>
      </c>
      <c r="N14" s="89"/>
      <c r="O14" s="89">
        <v>5.0000000000000001E-3</v>
      </c>
      <c r="P14" s="89" t="s">
        <v>2</v>
      </c>
      <c r="Q14" s="324" t="s">
        <v>1237</v>
      </c>
      <c r="S14" s="88" t="s">
        <v>763</v>
      </c>
      <c r="T14" s="89"/>
      <c r="U14" s="89">
        <v>5.0000000000000001E-3</v>
      </c>
      <c r="V14" s="89" t="s">
        <v>2</v>
      </c>
      <c r="W14" s="90"/>
      <c r="Y14" s="88" t="s">
        <v>763</v>
      </c>
      <c r="Z14" s="89"/>
      <c r="AA14" s="89">
        <v>5.0000000000000001E-3</v>
      </c>
      <c r="AB14" s="89" t="s">
        <v>2</v>
      </c>
      <c r="AC14" s="90"/>
      <c r="AJ14" s="34"/>
      <c r="AK14" s="34"/>
    </row>
    <row r="15" spans="1:37" x14ac:dyDescent="0.2">
      <c r="A15" s="88" t="s">
        <v>764</v>
      </c>
      <c r="B15" s="89"/>
      <c r="C15" s="89">
        <v>5.0000000000000001E-3</v>
      </c>
      <c r="D15" s="89" t="s">
        <v>2</v>
      </c>
      <c r="E15" s="90" t="s">
        <v>179</v>
      </c>
      <c r="F15" s="34" t="s">
        <v>179</v>
      </c>
      <c r="G15" s="88" t="s">
        <v>764</v>
      </c>
      <c r="H15" s="89"/>
      <c r="I15" s="89">
        <v>5.0000000000000001E-3</v>
      </c>
      <c r="J15" s="89" t="s">
        <v>2</v>
      </c>
      <c r="K15" s="324" t="s">
        <v>283</v>
      </c>
      <c r="M15" s="88" t="s">
        <v>764</v>
      </c>
      <c r="N15" s="89"/>
      <c r="O15" s="89">
        <v>5.0000000000000001E-3</v>
      </c>
      <c r="P15" s="89" t="s">
        <v>2</v>
      </c>
      <c r="Q15" s="324" t="s">
        <v>1237</v>
      </c>
      <c r="S15" s="88" t="s">
        <v>1281</v>
      </c>
      <c r="T15" s="89"/>
      <c r="U15" s="89">
        <v>5.0000000000000001E-3</v>
      </c>
      <c r="V15" s="89" t="s">
        <v>2</v>
      </c>
      <c r="W15" s="90" t="s">
        <v>179</v>
      </c>
      <c r="Y15" s="88" t="s">
        <v>1284</v>
      </c>
      <c r="Z15" s="89"/>
      <c r="AA15" s="89">
        <v>5.0000000000000001E-3</v>
      </c>
      <c r="AB15" s="89" t="s">
        <v>2</v>
      </c>
      <c r="AC15" s="90" t="s">
        <v>179</v>
      </c>
      <c r="AJ15" s="34"/>
      <c r="AK15" s="34"/>
    </row>
    <row r="16" spans="1:37" x14ac:dyDescent="0.2">
      <c r="A16" s="88" t="s">
        <v>706</v>
      </c>
      <c r="B16" s="89"/>
      <c r="C16" s="89">
        <v>5.0000000000000001E-3</v>
      </c>
      <c r="D16" s="89" t="s">
        <v>2</v>
      </c>
      <c r="E16" s="90" t="s">
        <v>179</v>
      </c>
      <c r="F16" s="34" t="s">
        <v>179</v>
      </c>
      <c r="G16" s="88" t="s">
        <v>706</v>
      </c>
      <c r="H16" s="89"/>
      <c r="I16" s="89">
        <v>5.0000000000000001E-3</v>
      </c>
      <c r="J16" s="89" t="s">
        <v>2</v>
      </c>
      <c r="K16" s="324" t="s">
        <v>283</v>
      </c>
      <c r="M16" s="88" t="s">
        <v>706</v>
      </c>
      <c r="N16" s="89"/>
      <c r="O16" s="89">
        <v>5.0000000000000001E-3</v>
      </c>
      <c r="P16" s="89" t="s">
        <v>2</v>
      </c>
      <c r="Q16" s="324" t="s">
        <v>1237</v>
      </c>
      <c r="S16" s="88" t="s">
        <v>753</v>
      </c>
      <c r="T16" s="89"/>
      <c r="U16" s="89">
        <v>5.0000000000000001E-3</v>
      </c>
      <c r="V16" s="89" t="s">
        <v>2</v>
      </c>
      <c r="W16" s="90" t="s">
        <v>179</v>
      </c>
      <c r="Y16" s="88" t="s">
        <v>1180</v>
      </c>
      <c r="Z16" s="89"/>
      <c r="AA16" s="89">
        <v>5.0000000000000001E-3</v>
      </c>
      <c r="AB16" s="89" t="s">
        <v>2</v>
      </c>
      <c r="AC16" s="90" t="s">
        <v>179</v>
      </c>
      <c r="AJ16" s="34"/>
      <c r="AK16" s="34"/>
    </row>
    <row r="17" spans="1:37" x14ac:dyDescent="0.2">
      <c r="A17" s="88" t="s">
        <v>232</v>
      </c>
      <c r="B17" s="89"/>
      <c r="C17" s="89">
        <v>5.0000000000000001E-3</v>
      </c>
      <c r="D17" s="89" t="s">
        <v>2</v>
      </c>
      <c r="E17" s="90" t="s">
        <v>179</v>
      </c>
      <c r="F17" s="34" t="s">
        <v>179</v>
      </c>
      <c r="G17" s="88" t="s">
        <v>232</v>
      </c>
      <c r="H17" s="89"/>
      <c r="I17" s="89">
        <v>5.0000000000000001E-3</v>
      </c>
      <c r="J17" s="89" t="s">
        <v>2</v>
      </c>
      <c r="K17" s="324" t="s">
        <v>283</v>
      </c>
      <c r="M17" s="88" t="s">
        <v>232</v>
      </c>
      <c r="N17" s="89"/>
      <c r="O17" s="89">
        <v>5.0000000000000001E-3</v>
      </c>
      <c r="P17" s="89" t="s">
        <v>2</v>
      </c>
      <c r="Q17" s="324" t="s">
        <v>1237</v>
      </c>
      <c r="S17" s="88" t="s">
        <v>1171</v>
      </c>
      <c r="T17" s="89"/>
      <c r="U17" s="89">
        <v>5.0000000000000001E-3</v>
      </c>
      <c r="V17" s="89" t="s">
        <v>2</v>
      </c>
      <c r="W17" s="90" t="s">
        <v>179</v>
      </c>
      <c r="Y17" s="88" t="s">
        <v>1179</v>
      </c>
      <c r="Z17" s="89"/>
      <c r="AA17" s="89">
        <v>5.0000000000000001E-3</v>
      </c>
      <c r="AB17" s="89" t="s">
        <v>2</v>
      </c>
      <c r="AC17" s="90" t="s">
        <v>179</v>
      </c>
      <c r="AJ17" s="34"/>
      <c r="AK17" s="34"/>
    </row>
    <row r="18" spans="1:37" x14ac:dyDescent="0.2">
      <c r="A18" s="88" t="s">
        <v>765</v>
      </c>
      <c r="B18" s="89"/>
      <c r="C18" s="89">
        <v>5.0000000000000001E-3</v>
      </c>
      <c r="D18" s="89" t="s">
        <v>2</v>
      </c>
      <c r="E18" s="90"/>
      <c r="F18" s="34" t="s">
        <v>179</v>
      </c>
      <c r="G18" s="88" t="s">
        <v>765</v>
      </c>
      <c r="H18" s="89"/>
      <c r="I18" s="89">
        <v>5.0000000000000001E-3</v>
      </c>
      <c r="J18" s="89" t="s">
        <v>2</v>
      </c>
      <c r="K18" s="324" t="s">
        <v>283</v>
      </c>
      <c r="M18" s="88" t="s">
        <v>765</v>
      </c>
      <c r="N18" s="89"/>
      <c r="O18" s="89">
        <v>5.0000000000000001E-3</v>
      </c>
      <c r="P18" s="89" t="s">
        <v>2</v>
      </c>
      <c r="Q18" s="324" t="s">
        <v>1237</v>
      </c>
      <c r="S18" s="88" t="s">
        <v>765</v>
      </c>
      <c r="T18" s="89"/>
      <c r="U18" s="89">
        <v>5.0000000000000001E-3</v>
      </c>
      <c r="V18" s="89" t="s">
        <v>2</v>
      </c>
      <c r="W18" s="90"/>
      <c r="Y18" s="88" t="s">
        <v>765</v>
      </c>
      <c r="Z18" s="89"/>
      <c r="AA18" s="89">
        <v>5.0000000000000001E-3</v>
      </c>
      <c r="AB18" s="89" t="s">
        <v>2</v>
      </c>
      <c r="AC18" s="90"/>
      <c r="AJ18" s="34"/>
      <c r="AK18" s="34"/>
    </row>
    <row r="19" spans="1:37" s="35" customFormat="1" x14ac:dyDescent="0.2">
      <c r="A19" s="277" t="s">
        <v>205</v>
      </c>
      <c r="B19" s="278"/>
      <c r="C19" s="278"/>
      <c r="D19" s="278"/>
      <c r="E19" s="279"/>
      <c r="F19" s="1"/>
      <c r="G19" s="277" t="s">
        <v>205</v>
      </c>
      <c r="H19" s="278"/>
      <c r="I19" s="278"/>
      <c r="J19" s="278"/>
      <c r="K19" s="279"/>
      <c r="L19" s="1"/>
      <c r="M19" s="277" t="s">
        <v>205</v>
      </c>
      <c r="N19" s="278"/>
      <c r="O19" s="278"/>
      <c r="P19" s="278"/>
      <c r="Q19" s="279"/>
      <c r="R19" s="1"/>
      <c r="S19" s="277" t="s">
        <v>205</v>
      </c>
      <c r="T19" s="278"/>
      <c r="U19" s="278"/>
      <c r="V19" s="278"/>
      <c r="W19" s="279"/>
      <c r="X19" s="1"/>
      <c r="Y19" s="277" t="s">
        <v>205</v>
      </c>
      <c r="Z19" s="278"/>
      <c r="AA19" s="278"/>
      <c r="AB19" s="278"/>
      <c r="AC19" s="279"/>
      <c r="AD19" s="99"/>
      <c r="AE19" s="99"/>
      <c r="AF19" s="99"/>
      <c r="AG19" s="99"/>
      <c r="AH19" s="99"/>
      <c r="AI19" s="99"/>
      <c r="AJ19" s="99"/>
      <c r="AK19" s="99"/>
    </row>
    <row r="20" spans="1:37" x14ac:dyDescent="0.2">
      <c r="A20" s="280" t="s">
        <v>206</v>
      </c>
      <c r="B20" s="281"/>
      <c r="C20" s="288">
        <v>0.7</v>
      </c>
      <c r="D20" s="281" t="s">
        <v>207</v>
      </c>
      <c r="E20" s="373" t="s">
        <v>1076</v>
      </c>
      <c r="F20" s="244" t="s">
        <v>179</v>
      </c>
      <c r="G20" s="280" t="s">
        <v>206</v>
      </c>
      <c r="H20" s="281"/>
      <c r="I20" s="288">
        <f>0.0933*0.8</f>
        <v>7.4639999999999998E-2</v>
      </c>
      <c r="J20" s="281" t="s">
        <v>207</v>
      </c>
      <c r="K20" s="373" t="s">
        <v>1163</v>
      </c>
      <c r="L20" s="244"/>
      <c r="M20" s="280" t="s">
        <v>206</v>
      </c>
      <c r="N20" s="281"/>
      <c r="O20" s="288">
        <v>5.63</v>
      </c>
      <c r="P20" s="281" t="s">
        <v>207</v>
      </c>
      <c r="Q20" s="373" t="s">
        <v>1086</v>
      </c>
      <c r="R20" s="244"/>
      <c r="S20" s="280" t="s">
        <v>206</v>
      </c>
      <c r="T20" s="281"/>
      <c r="U20" s="288">
        <v>0.7</v>
      </c>
      <c r="V20" s="281" t="s">
        <v>207</v>
      </c>
      <c r="W20" s="373" t="s">
        <v>1076</v>
      </c>
      <c r="X20" s="244"/>
      <c r="Y20" s="280" t="s">
        <v>206</v>
      </c>
      <c r="Z20" s="281"/>
      <c r="AA20" s="288">
        <v>0.7</v>
      </c>
      <c r="AB20" s="281" t="s">
        <v>207</v>
      </c>
      <c r="AC20" s="373" t="s">
        <v>1076</v>
      </c>
    </row>
    <row r="21" spans="1:37" x14ac:dyDescent="0.2">
      <c r="A21" s="280" t="s">
        <v>208</v>
      </c>
      <c r="B21" s="281"/>
      <c r="C21" s="288">
        <f>30/3.6</f>
        <v>8.3333333333333339</v>
      </c>
      <c r="D21" s="281" t="s">
        <v>207</v>
      </c>
      <c r="E21" s="373"/>
      <c r="F21" s="244" t="s">
        <v>179</v>
      </c>
      <c r="G21" s="280" t="s">
        <v>208</v>
      </c>
      <c r="H21" s="281"/>
      <c r="I21" s="288">
        <f>123/350</f>
        <v>0.35142857142857142</v>
      </c>
      <c r="J21" s="281" t="s">
        <v>207</v>
      </c>
      <c r="K21" s="373"/>
      <c r="L21" s="244"/>
      <c r="M21" s="280" t="s">
        <v>208</v>
      </c>
      <c r="N21" s="281"/>
      <c r="O21" s="288">
        <v>0</v>
      </c>
      <c r="P21" s="281" t="s">
        <v>207</v>
      </c>
      <c r="Q21" s="373"/>
      <c r="R21" s="244"/>
      <c r="S21" s="280" t="s">
        <v>208</v>
      </c>
      <c r="T21" s="281"/>
      <c r="U21" s="288">
        <f>30/3.6</f>
        <v>8.3333333333333339</v>
      </c>
      <c r="V21" s="281" t="s">
        <v>207</v>
      </c>
      <c r="W21" s="373"/>
      <c r="X21" s="244"/>
      <c r="Y21" s="280" t="s">
        <v>208</v>
      </c>
      <c r="Z21" s="281"/>
      <c r="AA21" s="288">
        <f>30/3.6</f>
        <v>8.3333333333333339</v>
      </c>
      <c r="AB21" s="281" t="s">
        <v>207</v>
      </c>
      <c r="AC21" s="373"/>
    </row>
    <row r="22" spans="1:37" s="35" customFormat="1" x14ac:dyDescent="0.2">
      <c r="A22" s="277" t="s">
        <v>209</v>
      </c>
      <c r="B22" s="278"/>
      <c r="C22" s="278"/>
      <c r="D22" s="278"/>
      <c r="E22" s="279"/>
      <c r="F22" s="1"/>
      <c r="G22" s="277" t="s">
        <v>209</v>
      </c>
      <c r="H22" s="278"/>
      <c r="I22" s="278"/>
      <c r="J22" s="278"/>
      <c r="K22" s="279"/>
      <c r="L22" s="1"/>
      <c r="M22" s="277" t="s">
        <v>209</v>
      </c>
      <c r="N22" s="278"/>
      <c r="O22" s="278"/>
      <c r="P22" s="278"/>
      <c r="Q22" s="279"/>
      <c r="R22" s="1"/>
      <c r="S22" s="277" t="s">
        <v>209</v>
      </c>
      <c r="T22" s="278"/>
      <c r="U22" s="278"/>
      <c r="V22" s="278"/>
      <c r="W22" s="279"/>
      <c r="X22" s="1"/>
      <c r="Y22" s="277" t="s">
        <v>209</v>
      </c>
      <c r="Z22" s="278"/>
      <c r="AA22" s="278"/>
      <c r="AB22" s="278"/>
      <c r="AC22" s="279"/>
      <c r="AD22" s="99"/>
      <c r="AE22" s="99"/>
      <c r="AF22" s="99"/>
      <c r="AG22" s="99"/>
      <c r="AH22" s="99"/>
      <c r="AI22" s="99"/>
      <c r="AJ22" s="99"/>
      <c r="AK22" s="99"/>
    </row>
    <row r="23" spans="1:37" x14ac:dyDescent="0.2">
      <c r="A23" s="280" t="s">
        <v>210</v>
      </c>
      <c r="B23" s="281"/>
      <c r="C23" s="281">
        <v>2.0000000000000001E-4</v>
      </c>
      <c r="D23" s="281" t="s">
        <v>2</v>
      </c>
      <c r="E23" s="282" t="s">
        <v>211</v>
      </c>
      <c r="F23" s="244" t="s">
        <v>179</v>
      </c>
      <c r="G23" s="280" t="s">
        <v>210</v>
      </c>
      <c r="H23" s="281"/>
      <c r="I23" s="281">
        <v>2.0000000000000002E-5</v>
      </c>
      <c r="J23" s="281" t="s">
        <v>2</v>
      </c>
      <c r="K23" s="324" t="s">
        <v>283</v>
      </c>
      <c r="L23" t="s">
        <v>87</v>
      </c>
      <c r="M23" s="280" t="s">
        <v>210</v>
      </c>
      <c r="N23" s="281"/>
      <c r="O23" s="281">
        <v>2E-3</v>
      </c>
      <c r="P23" s="281" t="s">
        <v>2</v>
      </c>
      <c r="Q23" s="373" t="s">
        <v>1164</v>
      </c>
      <c r="R23" t="s">
        <v>87</v>
      </c>
      <c r="S23" s="280" t="s">
        <v>210</v>
      </c>
      <c r="T23" s="281"/>
      <c r="U23" s="281">
        <v>2.0000000000000001E-4</v>
      </c>
      <c r="V23" s="281" t="s">
        <v>2</v>
      </c>
      <c r="W23" s="282" t="s">
        <v>211</v>
      </c>
      <c r="X23" t="s">
        <v>87</v>
      </c>
      <c r="Y23" s="280" t="s">
        <v>210</v>
      </c>
      <c r="Z23" s="281"/>
      <c r="AA23" s="281">
        <v>2.0000000000000001E-4</v>
      </c>
      <c r="AB23" s="281" t="s">
        <v>2</v>
      </c>
      <c r="AC23" s="282" t="s">
        <v>211</v>
      </c>
      <c r="AD23" s="40" t="s">
        <v>87</v>
      </c>
    </row>
    <row r="24" spans="1:37" s="35" customFormat="1" x14ac:dyDescent="0.2">
      <c r="A24" s="85" t="s">
        <v>212</v>
      </c>
      <c r="B24" s="86"/>
      <c r="C24" s="86"/>
      <c r="D24" s="86"/>
      <c r="E24" s="87"/>
      <c r="G24" s="85" t="s">
        <v>212</v>
      </c>
      <c r="H24" s="86"/>
      <c r="I24" s="86"/>
      <c r="J24" s="86"/>
      <c r="K24" s="87"/>
      <c r="M24" s="85" t="s">
        <v>212</v>
      </c>
      <c r="N24" s="86"/>
      <c r="O24" s="86"/>
      <c r="P24" s="86"/>
      <c r="Q24" s="87"/>
      <c r="S24" s="85" t="s">
        <v>212</v>
      </c>
      <c r="T24" s="86"/>
      <c r="U24" s="86"/>
      <c r="V24" s="86"/>
      <c r="W24" s="87"/>
      <c r="Y24" s="85" t="s">
        <v>212</v>
      </c>
      <c r="Z24" s="86"/>
      <c r="AA24" s="86"/>
      <c r="AB24" s="86"/>
      <c r="AC24" s="87"/>
      <c r="AD24" s="99"/>
      <c r="AE24" s="99"/>
      <c r="AF24" s="99"/>
      <c r="AG24" s="99"/>
      <c r="AH24" s="99"/>
      <c r="AI24" s="99"/>
      <c r="AJ24" s="99"/>
      <c r="AK24" s="99"/>
    </row>
    <row r="25" spans="1:37" ht="13.5" thickBot="1" x14ac:dyDescent="0.25">
      <c r="A25" s="100" t="s">
        <v>213</v>
      </c>
      <c r="B25" s="101"/>
      <c r="C25" s="192">
        <v>0.5</v>
      </c>
      <c r="D25" s="101" t="s">
        <v>2</v>
      </c>
      <c r="E25" s="102" t="s">
        <v>214</v>
      </c>
      <c r="F25" s="34" t="s">
        <v>179</v>
      </c>
      <c r="G25" s="100" t="s">
        <v>213</v>
      </c>
      <c r="H25" s="101"/>
      <c r="I25" s="192">
        <v>0.5</v>
      </c>
      <c r="J25" s="101" t="s">
        <v>2</v>
      </c>
      <c r="K25" s="102" t="s">
        <v>214</v>
      </c>
      <c r="M25" s="100" t="s">
        <v>213</v>
      </c>
      <c r="N25" s="101"/>
      <c r="O25" s="192">
        <v>0.5</v>
      </c>
      <c r="P25" s="101" t="s">
        <v>2</v>
      </c>
      <c r="Q25" s="102" t="s">
        <v>214</v>
      </c>
      <c r="S25" s="100" t="s">
        <v>213</v>
      </c>
      <c r="T25" s="101"/>
      <c r="U25" s="192">
        <v>0.5</v>
      </c>
      <c r="V25" s="101" t="s">
        <v>2</v>
      </c>
      <c r="W25" s="102" t="s">
        <v>214</v>
      </c>
      <c r="Y25" s="100" t="s">
        <v>213</v>
      </c>
      <c r="Z25" s="101"/>
      <c r="AA25" s="192">
        <v>0.5</v>
      </c>
      <c r="AB25" s="101" t="s">
        <v>2</v>
      </c>
      <c r="AC25" s="102" t="s">
        <v>214</v>
      </c>
    </row>
    <row r="29" spans="1:37" x14ac:dyDescent="0.2">
      <c r="Y29" s="34"/>
      <c r="Z29" s="34"/>
    </row>
    <row r="30" spans="1:37" x14ac:dyDescent="0.2">
      <c r="A30" s="259" t="s">
        <v>1378</v>
      </c>
      <c r="Y30" s="34"/>
      <c r="Z30" s="34"/>
    </row>
    <row r="31" spans="1:37" x14ac:dyDescent="0.2">
      <c r="Y31" s="34"/>
      <c r="Z31" s="34"/>
    </row>
    <row r="32" spans="1:37" s="59" customFormat="1" x14ac:dyDescent="0.2">
      <c r="A32" s="58"/>
      <c r="B32" s="58"/>
    </row>
    <row r="33" spans="1:41" s="7" customFormat="1" x14ac:dyDescent="0.2">
      <c r="A33" s="17" t="s">
        <v>708</v>
      </c>
      <c r="U33" s="197" t="s">
        <v>550</v>
      </c>
      <c r="V33" s="198" t="s">
        <v>551</v>
      </c>
      <c r="W33" s="198" t="s">
        <v>550</v>
      </c>
      <c r="X33" s="198" t="s">
        <v>551</v>
      </c>
      <c r="Y33" s="199" t="s">
        <v>552</v>
      </c>
      <c r="Z33" s="200"/>
      <c r="AA33" s="201"/>
      <c r="AB33" s="17" t="s">
        <v>105</v>
      </c>
      <c r="AC33" s="17"/>
      <c r="AD33" s="148" t="s">
        <v>549</v>
      </c>
      <c r="AE33" s="149"/>
      <c r="AF33" s="149"/>
      <c r="AG33" s="149" t="s">
        <v>548</v>
      </c>
      <c r="AH33" s="149"/>
      <c r="AI33" s="149"/>
      <c r="AJ33" s="149" t="s">
        <v>547</v>
      </c>
      <c r="AK33" s="149"/>
      <c r="AL33" s="149"/>
      <c r="AM33" s="202" t="s">
        <v>553</v>
      </c>
      <c r="AN33" s="200"/>
      <c r="AO33" s="201"/>
    </row>
    <row r="34" spans="1:41" s="49" customFormat="1" ht="15" customHeight="1" x14ac:dyDescent="0.2">
      <c r="A34" s="57" t="s">
        <v>58</v>
      </c>
      <c r="B34" s="55" t="s">
        <v>289</v>
      </c>
      <c r="C34" s="56" t="s">
        <v>100</v>
      </c>
      <c r="D34" s="56" t="s">
        <v>11</v>
      </c>
      <c r="E34" s="63" t="s">
        <v>291</v>
      </c>
      <c r="F34" s="63"/>
      <c r="G34" s="66" t="s">
        <v>292</v>
      </c>
      <c r="H34" s="66" t="s">
        <v>8</v>
      </c>
      <c r="I34" s="66" t="s">
        <v>217</v>
      </c>
      <c r="J34" s="66" t="s">
        <v>11</v>
      </c>
      <c r="K34" s="66" t="s">
        <v>291</v>
      </c>
      <c r="L34" s="63"/>
      <c r="M34" s="67" t="s">
        <v>293</v>
      </c>
      <c r="N34" s="67" t="s">
        <v>8</v>
      </c>
      <c r="O34" s="67" t="s">
        <v>217</v>
      </c>
      <c r="P34" s="67" t="s">
        <v>11</v>
      </c>
      <c r="Q34" s="67" t="s">
        <v>291</v>
      </c>
      <c r="R34" s="67"/>
      <c r="S34" s="63"/>
      <c r="T34" s="79" t="s">
        <v>275</v>
      </c>
      <c r="U34" s="126" t="s">
        <v>530</v>
      </c>
      <c r="V34" s="114" t="s">
        <v>531</v>
      </c>
      <c r="W34" s="114" t="s">
        <v>532</v>
      </c>
      <c r="X34" s="114" t="s">
        <v>533</v>
      </c>
      <c r="Y34" s="114" t="s">
        <v>534</v>
      </c>
      <c r="Z34" s="114" t="s">
        <v>535</v>
      </c>
      <c r="AA34" s="131" t="s">
        <v>536</v>
      </c>
      <c r="AB34" s="22" t="s">
        <v>545</v>
      </c>
      <c r="AC34" s="23" t="s">
        <v>546</v>
      </c>
      <c r="AD34" s="148" t="s">
        <v>31</v>
      </c>
      <c r="AE34" s="149" t="s">
        <v>32</v>
      </c>
      <c r="AF34" s="150" t="s">
        <v>33</v>
      </c>
      <c r="AG34" s="148" t="s">
        <v>31</v>
      </c>
      <c r="AH34" s="149" t="s">
        <v>32</v>
      </c>
      <c r="AI34" s="150" t="s">
        <v>33</v>
      </c>
      <c r="AJ34" s="148" t="s">
        <v>31</v>
      </c>
      <c r="AK34" s="149" t="s">
        <v>32</v>
      </c>
      <c r="AL34" s="149" t="s">
        <v>33</v>
      </c>
      <c r="AM34" s="159"/>
      <c r="AN34" s="156"/>
      <c r="AO34" s="160"/>
    </row>
    <row r="35" spans="1:41" s="8" customFormat="1" ht="15" customHeight="1" x14ac:dyDescent="0.2">
      <c r="A35" s="73" t="str">
        <f>'36. Generic chemical products'!A2</f>
        <v>Lubricant, average (Albafluid CD)</v>
      </c>
      <c r="B35" s="73" t="str">
        <f>'36. Generic chemical products'!B2</f>
        <v>Acrylamide/sodium acrylate copolymer</v>
      </c>
      <c r="C35" s="73">
        <f>'36. Generic chemical products'!C2</f>
        <v>0.3</v>
      </c>
      <c r="D35" s="73" t="str">
        <f>'36. Generic chemical products'!D2</f>
        <v>kg</v>
      </c>
      <c r="E35" s="73" t="str">
        <f>'36. Generic chemical products'!E2</f>
        <v>MSDS + Expert estimation for concentration</v>
      </c>
      <c r="F35" s="73">
        <f>'36. Generic chemical products'!F2</f>
        <v>0</v>
      </c>
      <c r="G35" s="73" t="str">
        <f>'36. Generic chemical products'!G2</f>
        <v>-</v>
      </c>
      <c r="H35" s="73">
        <f>'36. Generic chemical products'!H2</f>
        <v>0</v>
      </c>
      <c r="I35" s="73">
        <f>'36. Generic chemical products'!I2</f>
        <v>0</v>
      </c>
      <c r="J35" s="73">
        <f>'36. Generic chemical products'!J2</f>
        <v>0</v>
      </c>
      <c r="K35" s="73">
        <f>'36. Generic chemical products'!K2</f>
        <v>0</v>
      </c>
      <c r="L35" s="73">
        <f>'36. Generic chemical products'!L2</f>
        <v>0</v>
      </c>
      <c r="M35" s="73" t="str">
        <f>'36. Generic chemical products'!M2</f>
        <v>Acrylamide/sodium acrylate copolymer</v>
      </c>
      <c r="N35" s="73" t="str">
        <f>'36. Generic chemical products'!N2</f>
        <v>river</v>
      </c>
      <c r="O35" s="73">
        <f>'36. Generic chemical products'!O2</f>
        <v>2.9700000000000001E-2</v>
      </c>
      <c r="P35" s="73" t="str">
        <f>'36. Generic chemical products'!P2</f>
        <v>kg</v>
      </c>
      <c r="Q35" s="73" t="str">
        <f>'36. Generic chemical products'!Q2</f>
        <v>1% of polymer content remains as monomers from the production process.</v>
      </c>
      <c r="R35" s="73">
        <f>'36. Generic chemical products'!R2</f>
        <v>0</v>
      </c>
      <c r="S35" s="73">
        <f>'36. Generic chemical products'!S2</f>
        <v>0</v>
      </c>
      <c r="T35" s="73" t="str">
        <f>'36. Generic chemical products'!T2</f>
        <v>25085-02-3</v>
      </c>
      <c r="U35" s="73">
        <f>'36. Generic chemical products'!U2</f>
        <v>0</v>
      </c>
      <c r="V35" s="73">
        <f>'36. Generic chemical products'!V2</f>
        <v>1.318367210059499E-10</v>
      </c>
      <c r="W35" s="73">
        <f>'36. Generic chemical products'!W2</f>
        <v>0</v>
      </c>
      <c r="X35" s="73">
        <f>'36. Generic chemical products'!X2</f>
        <v>1.3016448977650344E-10</v>
      </c>
      <c r="Y35" s="73">
        <f>'36. Generic chemical products'!Y2</f>
        <v>1.1181204517092254</v>
      </c>
      <c r="Z35" s="73">
        <f>'36. Generic chemical products'!Z2</f>
        <v>78.957506928451508</v>
      </c>
      <c r="AA35" s="73" t="str">
        <f>'36. Generic chemical products'!AA2</f>
        <v>Roos 2017</v>
      </c>
      <c r="AB35" s="27">
        <f>$C$11*I35</f>
        <v>0</v>
      </c>
      <c r="AC35" s="29">
        <f>$C$15*O35</f>
        <v>1.485E-4</v>
      </c>
      <c r="AD35" s="135">
        <f>AB35*U35+AC35*W35</f>
        <v>0</v>
      </c>
      <c r="AE35" s="135">
        <f t="shared" ref="AE35:AE48" si="0">AB35*V35+AC35*X35</f>
        <v>1.932942673181076E-14</v>
      </c>
      <c r="AF35" s="24">
        <f t="shared" ref="AF35:AF48" si="1">AB35*Y35+AC35*Z35</f>
        <v>1.172518977887505E-2</v>
      </c>
      <c r="AG35" s="24">
        <f t="shared" ref="AG35:AG48" si="2">AB35*U35</f>
        <v>0</v>
      </c>
      <c r="AH35" s="24">
        <f t="shared" ref="AH35:AH48" si="3">AB35*V35</f>
        <v>0</v>
      </c>
      <c r="AI35" s="24">
        <f t="shared" ref="AI35:AI48" si="4">AB35*Y35</f>
        <v>0</v>
      </c>
      <c r="AJ35" s="24">
        <f t="shared" ref="AJ35:AJ48" si="5">AC35*W35</f>
        <v>0</v>
      </c>
      <c r="AK35" s="24">
        <f t="shared" ref="AK35:AK48" si="6">AC35*X35</f>
        <v>1.932942673181076E-14</v>
      </c>
      <c r="AL35" s="24">
        <f t="shared" ref="AL35:AL48" si="7">AC35*Z35</f>
        <v>1.172518977887505E-2</v>
      </c>
      <c r="AM35" s="161">
        <f t="shared" ref="AM35:AO48" si="8">AG35+AJ35</f>
        <v>0</v>
      </c>
      <c r="AN35" s="157">
        <f t="shared" si="8"/>
        <v>1.932942673181076E-14</v>
      </c>
      <c r="AO35" s="162">
        <f t="shared" si="8"/>
        <v>1.172518977887505E-2</v>
      </c>
    </row>
    <row r="36" spans="1:41" s="8" customFormat="1" ht="15" customHeight="1" x14ac:dyDescent="0.2">
      <c r="A36" s="73" t="str">
        <f>'36. Generic chemical products'!A3</f>
        <v>Lubricant, average (Albafluid CD)</v>
      </c>
      <c r="B36" s="73" t="str">
        <f>'36. Generic chemical products'!B3</f>
        <v>Acrylamide</v>
      </c>
      <c r="C36" s="73">
        <f>'36. Generic chemical products'!C3</f>
        <v>0</v>
      </c>
      <c r="D36" s="73">
        <f>'36. Generic chemical products'!D3</f>
        <v>0</v>
      </c>
      <c r="E36" s="73" t="str">
        <f>'36. Generic chemical products'!E3</f>
        <v>Breakdown product (Caulfield, 2002)</v>
      </c>
      <c r="F36" s="73">
        <f>'36. Generic chemical products'!F3</f>
        <v>0</v>
      </c>
      <c r="G36" s="73" t="str">
        <f>'36. Generic chemical products'!G3</f>
        <v>Acrylamide</v>
      </c>
      <c r="H36" s="73" t="str">
        <f>'36. Generic chemical products'!H3</f>
        <v>high. pop.</v>
      </c>
      <c r="I36" s="73">
        <f>'36. Generic chemical products'!I3</f>
        <v>3.0000000000000001E-6</v>
      </c>
      <c r="J36" s="73" t="str">
        <f>'36. Generic chemical products'!J3</f>
        <v>kg</v>
      </c>
      <c r="K36" s="73">
        <f>'36. Generic chemical products'!K3</f>
        <v>0</v>
      </c>
      <c r="L36" s="73">
        <f>'36. Generic chemical products'!L3</f>
        <v>0</v>
      </c>
      <c r="M36" s="73" t="str">
        <f>'36. Generic chemical products'!M3</f>
        <v>Acrylamide</v>
      </c>
      <c r="N36" s="73" t="str">
        <f>'36. Generic chemical products'!N3</f>
        <v>river</v>
      </c>
      <c r="O36" s="73">
        <f>'36. Generic chemical products'!O3</f>
        <v>3.0000000000000004E-5</v>
      </c>
      <c r="P36" s="73" t="str">
        <f>'36. Generic chemical products'!P3</f>
        <v>kg</v>
      </c>
      <c r="Q36" s="73" t="str">
        <f>'36. Generic chemical products'!Q3</f>
        <v xml:space="preserve">90% of reactive chemicals are degraded during operations. </v>
      </c>
      <c r="R36" s="73">
        <f>'36. Generic chemical products'!R3</f>
        <v>0</v>
      </c>
      <c r="S36" s="73">
        <f>'36. Generic chemical products'!S3</f>
        <v>0</v>
      </c>
      <c r="T36" s="73" t="str">
        <f>'36. Generic chemical products'!T3</f>
        <v>79-06-1</v>
      </c>
      <c r="U36" s="73">
        <f>'36. Generic chemical products'!U3</f>
        <v>3.0023364753950555E-5</v>
      </c>
      <c r="V36" s="73">
        <f>'36. Generic chemical products'!V3</f>
        <v>1.2481126126868064E-4</v>
      </c>
      <c r="W36" s="73">
        <f>'36. Generic chemical products'!W3</f>
        <v>1.1959264101490567E-5</v>
      </c>
      <c r="X36" s="73">
        <f>'36. Generic chemical products'!X3</f>
        <v>4.9716307568620708E-5</v>
      </c>
      <c r="Y36" s="73">
        <f>'36. Generic chemical products'!Y3</f>
        <v>10.037499181426883</v>
      </c>
      <c r="Z36" s="73">
        <f>'36. Generic chemical products'!Z3</f>
        <v>119.14199796898779</v>
      </c>
      <c r="AA36" s="73" t="str">
        <f>'36. Generic chemical products'!AA3</f>
        <v>USEtox</v>
      </c>
      <c r="AB36" s="27">
        <f>$C$11*I36</f>
        <v>1.5000000000000002E-8</v>
      </c>
      <c r="AC36" s="29">
        <f>$C$15*O36</f>
        <v>1.5000000000000002E-7</v>
      </c>
      <c r="AD36" s="135">
        <f t="shared" ref="AD36:AD48" si="9">AB36*U36+AC36*W36</f>
        <v>2.2442400865328435E-12</v>
      </c>
      <c r="AE36" s="135">
        <f t="shared" si="0"/>
        <v>9.3296150543233168E-12</v>
      </c>
      <c r="AF36" s="24">
        <f t="shared" si="1"/>
        <v>1.8021862183069574E-5</v>
      </c>
      <c r="AG36" s="24">
        <f t="shared" si="2"/>
        <v>4.5035047130925836E-13</v>
      </c>
      <c r="AH36" s="24">
        <f t="shared" si="3"/>
        <v>1.8721689190302099E-12</v>
      </c>
      <c r="AI36" s="24">
        <f t="shared" si="4"/>
        <v>1.5056248772140326E-7</v>
      </c>
      <c r="AJ36" s="24">
        <f t="shared" si="5"/>
        <v>1.7938896152235852E-12</v>
      </c>
      <c r="AK36" s="24">
        <f t="shared" si="6"/>
        <v>7.4574461352931069E-12</v>
      </c>
      <c r="AL36" s="24">
        <f t="shared" si="7"/>
        <v>1.7871299695348171E-5</v>
      </c>
      <c r="AM36" s="161">
        <f t="shared" si="8"/>
        <v>2.2442400865328435E-12</v>
      </c>
      <c r="AN36" s="157">
        <f t="shared" si="8"/>
        <v>9.3296150543233168E-12</v>
      </c>
      <c r="AO36" s="162">
        <f t="shared" si="8"/>
        <v>1.8021862183069574E-5</v>
      </c>
    </row>
    <row r="37" spans="1:41" s="49" customFormat="1" ht="15" customHeight="1" x14ac:dyDescent="0.2">
      <c r="A37" s="168" t="str">
        <f>'36. Generic chemical products'!A4</f>
        <v>Lubricant, average (Albafluid CD)</v>
      </c>
      <c r="B37" s="168">
        <f>'36. Generic chemical products'!B4</f>
        <v>0</v>
      </c>
      <c r="C37" s="168">
        <f>'36. Generic chemical products'!C4</f>
        <v>0</v>
      </c>
      <c r="D37" s="168">
        <f>'36. Generic chemical products'!D4</f>
        <v>0</v>
      </c>
      <c r="E37" s="168" t="str">
        <f>'36. Generic chemical products'!E4</f>
        <v>Common breakdown product of of acrylics, 0.001 % assumed</v>
      </c>
      <c r="F37" s="168">
        <f>'36. Generic chemical products'!F4</f>
        <v>0</v>
      </c>
      <c r="G37" s="168" t="str">
        <f>'36. Generic chemical products'!G4</f>
        <v>Formaldehyde</v>
      </c>
      <c r="H37" s="168" t="str">
        <f>'36. Generic chemical products'!H4</f>
        <v>high. pop.</v>
      </c>
      <c r="I37" s="168">
        <f>'36. Generic chemical products'!I4</f>
        <v>2.9999999999999999E-7</v>
      </c>
      <c r="J37" s="168" t="str">
        <f>'36. Generic chemical products'!J4</f>
        <v>kg</v>
      </c>
      <c r="K37" s="168">
        <f>'36. Generic chemical products'!K4</f>
        <v>0</v>
      </c>
      <c r="L37" s="168">
        <f>'36. Generic chemical products'!L4</f>
        <v>0</v>
      </c>
      <c r="M37" s="168" t="str">
        <f>'36. Generic chemical products'!M4</f>
        <v>Formaldehyde</v>
      </c>
      <c r="N37" s="168" t="str">
        <f>'36. Generic chemical products'!N4</f>
        <v>river</v>
      </c>
      <c r="O37" s="168">
        <f>'36. Generic chemical products'!O4</f>
        <v>3.0000000000000001E-6</v>
      </c>
      <c r="P37" s="168" t="str">
        <f>'36. Generic chemical products'!P4</f>
        <v>kg</v>
      </c>
      <c r="Q37" s="168" t="str">
        <f>'36. Generic chemical products'!Q4</f>
        <v xml:space="preserve">0.1 % of the content is degraded to common breakdown products. 90% of reactive chemicals are degraded during operations. </v>
      </c>
      <c r="R37" s="168">
        <f>'36. Generic chemical products'!R4</f>
        <v>0</v>
      </c>
      <c r="S37" s="168">
        <f>'36. Generic chemical products'!S4</f>
        <v>0</v>
      </c>
      <c r="T37" s="168" t="str">
        <f>'36. Generic chemical products'!T4</f>
        <v>50-00-0</v>
      </c>
      <c r="U37" s="168">
        <f>'36. Generic chemical products'!U4</f>
        <v>2.5208446330720887E-5</v>
      </c>
      <c r="V37" s="168">
        <f>'36. Generic chemical products'!V4</f>
        <v>2.6504960021309262E-7</v>
      </c>
      <c r="W37" s="168">
        <f>'36. Generic chemical products'!W4</f>
        <v>1.4222228897488039E-7</v>
      </c>
      <c r="X37" s="168">
        <f>'36. Generic chemical products'!X4</f>
        <v>3.170874313501273E-7</v>
      </c>
      <c r="Y37" s="168">
        <f>'36. Generic chemical products'!Y4</f>
        <v>17.989178582912412</v>
      </c>
      <c r="Z37" s="168">
        <f>'36. Generic chemical products'!Z4</f>
        <v>290.05086067463066</v>
      </c>
      <c r="AA37" s="168" t="str">
        <f>'36. Generic chemical products'!AA4</f>
        <v>USEtox</v>
      </c>
      <c r="AB37" s="28">
        <f>$C$11*I37</f>
        <v>1.5E-9</v>
      </c>
      <c r="AC37" s="146">
        <f>$C$15*O37</f>
        <v>1.5000000000000002E-8</v>
      </c>
      <c r="AD37" s="147">
        <f t="shared" si="9"/>
        <v>3.9946003830704539E-14</v>
      </c>
      <c r="AE37" s="147">
        <f t="shared" si="0"/>
        <v>5.1538858705715492E-15</v>
      </c>
      <c r="AF37" s="25">
        <f t="shared" si="1"/>
        <v>4.3777466779938291E-6</v>
      </c>
      <c r="AG37" s="25">
        <f t="shared" si="2"/>
        <v>3.7812669496081331E-14</v>
      </c>
      <c r="AH37" s="25">
        <f t="shared" si="3"/>
        <v>3.9757440031963891E-16</v>
      </c>
      <c r="AI37" s="25">
        <f t="shared" si="4"/>
        <v>2.698376787436862E-8</v>
      </c>
      <c r="AJ37" s="25">
        <f t="shared" si="5"/>
        <v>2.133334334623206E-15</v>
      </c>
      <c r="AK37" s="25">
        <f t="shared" si="6"/>
        <v>4.75631147025191E-15</v>
      </c>
      <c r="AL37" s="25">
        <f t="shared" si="7"/>
        <v>4.3507629101194607E-6</v>
      </c>
      <c r="AM37" s="163">
        <f t="shared" si="8"/>
        <v>3.9946003830704539E-14</v>
      </c>
      <c r="AN37" s="164">
        <f t="shared" si="8"/>
        <v>5.1538858705715492E-15</v>
      </c>
      <c r="AO37" s="165">
        <f t="shared" si="8"/>
        <v>4.3777466779938291E-6</v>
      </c>
    </row>
    <row r="38" spans="1:41" s="8" customFormat="1" ht="15" customHeight="1" x14ac:dyDescent="0.2">
      <c r="A38" s="50" t="str">
        <f>'36. Generic chemical products'!A5</f>
        <v>Detergent, average (Ultravon EL)</v>
      </c>
      <c r="B38" s="50" t="str">
        <f>'36. Generic chemical products'!B5</f>
        <v>Polyacrylic acid, sodium salt</v>
      </c>
      <c r="C38" s="50">
        <f>'36. Generic chemical products'!C5</f>
        <v>0.1</v>
      </c>
      <c r="D38" s="50" t="str">
        <f>'36. Generic chemical products'!D5</f>
        <v>kg</v>
      </c>
      <c r="E38" s="50" t="str">
        <f>'36. Generic chemical products'!E5</f>
        <v>MSDS</v>
      </c>
      <c r="F38" s="50">
        <f>'36. Generic chemical products'!F5</f>
        <v>0</v>
      </c>
      <c r="G38" s="50" t="str">
        <f>'36. Generic chemical products'!G5</f>
        <v>-</v>
      </c>
      <c r="H38" s="50">
        <f>'36. Generic chemical products'!H5</f>
        <v>0</v>
      </c>
      <c r="I38" s="50">
        <f>'36. Generic chemical products'!I5</f>
        <v>0</v>
      </c>
      <c r="J38" s="50">
        <f>'36. Generic chemical products'!J5</f>
        <v>0</v>
      </c>
      <c r="K38" s="50">
        <f>'36. Generic chemical products'!K5</f>
        <v>0</v>
      </c>
      <c r="L38" s="50">
        <f>'36. Generic chemical products'!L5</f>
        <v>0</v>
      </c>
      <c r="M38" s="50" t="str">
        <f>'36. Generic chemical products'!M5</f>
        <v>Polyacrylic acid, sodium salt</v>
      </c>
      <c r="N38" s="50" t="str">
        <f>'36. Generic chemical products'!N5</f>
        <v>river</v>
      </c>
      <c r="O38" s="50">
        <f>'36. Generic chemical products'!O5</f>
        <v>9.9000000000000008E-3</v>
      </c>
      <c r="P38" s="50" t="str">
        <f>'36. Generic chemical products'!P5</f>
        <v>kg</v>
      </c>
      <c r="Q38" s="50" t="str">
        <f>'36. Generic chemical products'!Q5</f>
        <v>1% of polymer content remains as monomers from the production process.</v>
      </c>
      <c r="R38" s="50">
        <f>'36. Generic chemical products'!R5</f>
        <v>0</v>
      </c>
      <c r="S38" s="50">
        <f>'36. Generic chemical products'!S5</f>
        <v>0</v>
      </c>
      <c r="T38" s="50" t="str">
        <f>'36. Generic chemical products'!T5</f>
        <v>9003-04-7</v>
      </c>
      <c r="U38" s="50">
        <f>'36. Generic chemical products'!U5</f>
        <v>0</v>
      </c>
      <c r="V38" s="50">
        <f>'36. Generic chemical products'!V5</f>
        <v>0</v>
      </c>
      <c r="W38" s="50">
        <f>'36. Generic chemical products'!W5</f>
        <v>0</v>
      </c>
      <c r="X38" s="50">
        <f>'36. Generic chemical products'!X5</f>
        <v>0</v>
      </c>
      <c r="Y38" s="50">
        <f>'36. Generic chemical products'!Y5</f>
        <v>7.06</v>
      </c>
      <c r="Z38" s="50">
        <f>'36. Generic chemical products'!Z5</f>
        <v>78.599999999999994</v>
      </c>
      <c r="AA38" s="50" t="str">
        <f>'36. Generic chemical products'!AA5</f>
        <v>COSMEDE</v>
      </c>
      <c r="AB38" s="27">
        <f t="shared" ref="AB38:AB43" si="10">$C$12*I38</f>
        <v>0</v>
      </c>
      <c r="AC38" s="29">
        <f t="shared" ref="AC38:AC43" si="11">$C$16*O38</f>
        <v>4.9500000000000004E-5</v>
      </c>
      <c r="AD38" s="135">
        <f t="shared" si="9"/>
        <v>0</v>
      </c>
      <c r="AE38" s="135">
        <f t="shared" si="0"/>
        <v>0</v>
      </c>
      <c r="AF38" s="24">
        <f t="shared" si="1"/>
        <v>3.8907E-3</v>
      </c>
      <c r="AG38" s="24">
        <f t="shared" si="2"/>
        <v>0</v>
      </c>
      <c r="AH38" s="24">
        <f t="shared" si="3"/>
        <v>0</v>
      </c>
      <c r="AI38" s="24">
        <f t="shared" si="4"/>
        <v>0</v>
      </c>
      <c r="AJ38" s="24">
        <f t="shared" si="5"/>
        <v>0</v>
      </c>
      <c r="AK38" s="24">
        <f t="shared" si="6"/>
        <v>0</v>
      </c>
      <c r="AL38" s="24">
        <f t="shared" si="7"/>
        <v>3.8907E-3</v>
      </c>
      <c r="AM38" s="161">
        <f t="shared" si="8"/>
        <v>0</v>
      </c>
      <c r="AN38" s="157">
        <f t="shared" si="8"/>
        <v>0</v>
      </c>
      <c r="AO38" s="162">
        <f t="shared" si="8"/>
        <v>3.8907E-3</v>
      </c>
    </row>
    <row r="39" spans="1:41" s="8" customFormat="1" ht="15" customHeight="1" x14ac:dyDescent="0.2">
      <c r="A39" s="50" t="str">
        <f>'36. Generic chemical products'!A6</f>
        <v>Detergent, average (Ultravon EL)</v>
      </c>
      <c r="B39" s="50" t="str">
        <f>'36. Generic chemical products'!B6</f>
        <v>Oxirane, methyl-, polymer with oxirane, decyl ether</v>
      </c>
      <c r="C39" s="50">
        <f>'36. Generic chemical products'!C6</f>
        <v>0.25</v>
      </c>
      <c r="D39" s="50" t="str">
        <f>'36. Generic chemical products'!D6</f>
        <v>kg</v>
      </c>
      <c r="E39" s="50" t="str">
        <f>'36. Generic chemical products'!E6</f>
        <v>MSDS</v>
      </c>
      <c r="F39" s="50">
        <f>'36. Generic chemical products'!F6</f>
        <v>0</v>
      </c>
      <c r="G39" s="50" t="str">
        <f>'36. Generic chemical products'!G6</f>
        <v>-</v>
      </c>
      <c r="H39" s="50">
        <f>'36. Generic chemical products'!H6</f>
        <v>0</v>
      </c>
      <c r="I39" s="50">
        <f>'36. Generic chemical products'!I6</f>
        <v>0</v>
      </c>
      <c r="J39" s="50">
        <f>'36. Generic chemical products'!J6</f>
        <v>0</v>
      </c>
      <c r="K39" s="50">
        <f>'36. Generic chemical products'!K6</f>
        <v>0</v>
      </c>
      <c r="L39" s="50">
        <f>'36. Generic chemical products'!L6</f>
        <v>0</v>
      </c>
      <c r="M39" s="50" t="str">
        <f>'36. Generic chemical products'!M6</f>
        <v>Oxirane, methyl-, polymer with oxirane, decyl ether</v>
      </c>
      <c r="N39" s="50" t="str">
        <f>'36. Generic chemical products'!N6</f>
        <v>river</v>
      </c>
      <c r="O39" s="50">
        <f>'36. Generic chemical products'!O6</f>
        <v>2.5000000000000001E-2</v>
      </c>
      <c r="P39" s="50" t="str">
        <f>'36. Generic chemical products'!P6</f>
        <v>kg</v>
      </c>
      <c r="Q39" s="50">
        <f>'36. Generic chemical products'!Q6</f>
        <v>0</v>
      </c>
      <c r="R39" s="50">
        <f>'36. Generic chemical products'!R6</f>
        <v>0</v>
      </c>
      <c r="S39" s="50">
        <f>'36. Generic chemical products'!S6</f>
        <v>0</v>
      </c>
      <c r="T39" s="50" t="str">
        <f>'36. Generic chemical products'!T6</f>
        <v>37251-67-5</v>
      </c>
      <c r="U39" s="50">
        <f>'36. Generic chemical products'!U6</f>
        <v>0</v>
      </c>
      <c r="V39" s="50">
        <f>'36. Generic chemical products'!V6</f>
        <v>1.2009414857886904E-7</v>
      </c>
      <c r="W39" s="50">
        <f>'36. Generic chemical products'!W6</f>
        <v>0</v>
      </c>
      <c r="X39" s="50">
        <f>'36. Generic chemical products'!X6</f>
        <v>3.2843909509658706E-7</v>
      </c>
      <c r="Y39" s="50">
        <f>'36. Generic chemical products'!Y6</f>
        <v>14.526941022240393</v>
      </c>
      <c r="Z39" s="50">
        <f>'36. Generic chemical products'!Z6</f>
        <v>111.251141519207</v>
      </c>
      <c r="AA39" s="50" t="str">
        <f>'36. Generic chemical products'!AA6</f>
        <v>Roos 2017</v>
      </c>
      <c r="AB39" s="27">
        <f t="shared" si="10"/>
        <v>0</v>
      </c>
      <c r="AC39" s="29">
        <f t="shared" si="11"/>
        <v>1.25E-4</v>
      </c>
      <c r="AD39" s="135">
        <f t="shared" si="9"/>
        <v>0</v>
      </c>
      <c r="AE39" s="135">
        <f t="shared" si="0"/>
        <v>4.105488688707338E-11</v>
      </c>
      <c r="AF39" s="24">
        <f t="shared" si="1"/>
        <v>1.3906392689900874E-2</v>
      </c>
      <c r="AG39" s="24">
        <f t="shared" si="2"/>
        <v>0</v>
      </c>
      <c r="AH39" s="24">
        <f t="shared" si="3"/>
        <v>0</v>
      </c>
      <c r="AI39" s="24">
        <f t="shared" si="4"/>
        <v>0</v>
      </c>
      <c r="AJ39" s="24">
        <f t="shared" si="5"/>
        <v>0</v>
      </c>
      <c r="AK39" s="24">
        <f t="shared" si="6"/>
        <v>4.105488688707338E-11</v>
      </c>
      <c r="AL39" s="24">
        <f t="shared" si="7"/>
        <v>1.3906392689900874E-2</v>
      </c>
      <c r="AM39" s="161">
        <f t="shared" si="8"/>
        <v>0</v>
      </c>
      <c r="AN39" s="157">
        <f t="shared" si="8"/>
        <v>4.105488688707338E-11</v>
      </c>
      <c r="AO39" s="162">
        <f t="shared" si="8"/>
        <v>1.3906392689900874E-2</v>
      </c>
    </row>
    <row r="40" spans="1:41" s="8" customFormat="1" ht="15" customHeight="1" x14ac:dyDescent="0.2">
      <c r="A40" s="50" t="str">
        <f>'36. Generic chemical products'!A7</f>
        <v>Detergent, average (Ultravon EL)</v>
      </c>
      <c r="B40" s="50" t="str">
        <f>'36. Generic chemical products'!B7</f>
        <v>Ethoxylated fatty alcohol (&gt;6 EO)</v>
      </c>
      <c r="C40" s="50">
        <f>'36. Generic chemical products'!C7</f>
        <v>0.1</v>
      </c>
      <c r="D40" s="50" t="str">
        <f>'36. Generic chemical products'!D7</f>
        <v>kg</v>
      </c>
      <c r="E40" s="50" t="str">
        <f>'36. Generic chemical products'!E7</f>
        <v>MSDS</v>
      </c>
      <c r="F40" s="50">
        <f>'36. Generic chemical products'!F7</f>
        <v>0</v>
      </c>
      <c r="G40" s="50" t="str">
        <f>'36. Generic chemical products'!G7</f>
        <v>-</v>
      </c>
      <c r="H40" s="50">
        <f>'36. Generic chemical products'!H7</f>
        <v>0</v>
      </c>
      <c r="I40" s="50">
        <f>'36. Generic chemical products'!I7</f>
        <v>0</v>
      </c>
      <c r="J40" s="50">
        <f>'36. Generic chemical products'!J7</f>
        <v>0</v>
      </c>
      <c r="K40" s="50">
        <f>'36. Generic chemical products'!K7</f>
        <v>0</v>
      </c>
      <c r="L40" s="50">
        <f>'36. Generic chemical products'!L7</f>
        <v>0</v>
      </c>
      <c r="M40" s="50" t="str">
        <f>'36. Generic chemical products'!M7</f>
        <v>Alcohols, c12-14, ethoxylated</v>
      </c>
      <c r="N40" s="50" t="str">
        <f>'36. Generic chemical products'!N7</f>
        <v>river</v>
      </c>
      <c r="O40" s="50">
        <f>'36. Generic chemical products'!O7</f>
        <v>1.0000000000000002E-2</v>
      </c>
      <c r="P40" s="50" t="str">
        <f>'36. Generic chemical products'!P7</f>
        <v>kg</v>
      </c>
      <c r="Q40" s="50">
        <f>'36. Generic chemical products'!Q7</f>
        <v>0</v>
      </c>
      <c r="R40" s="50">
        <f>'36. Generic chemical products'!R7</f>
        <v>0</v>
      </c>
      <c r="S40" s="50">
        <f>'36. Generic chemical products'!S7</f>
        <v>0</v>
      </c>
      <c r="T40" s="50" t="str">
        <f>'36. Generic chemical products'!T7</f>
        <v>69011-36-5</v>
      </c>
      <c r="U40" s="50">
        <f>'36. Generic chemical products'!U7</f>
        <v>0</v>
      </c>
      <c r="V40" s="50">
        <f>'36. Generic chemical products'!V7</f>
        <v>0</v>
      </c>
      <c r="W40" s="50">
        <f>'36. Generic chemical products'!W7</f>
        <v>0</v>
      </c>
      <c r="X40" s="50">
        <f>'36. Generic chemical products'!X7</f>
        <v>0</v>
      </c>
      <c r="Y40" s="50">
        <f>'36. Generic chemical products'!Y7</f>
        <v>47</v>
      </c>
      <c r="Z40" s="50">
        <f>'36. Generic chemical products'!Z7</f>
        <v>913</v>
      </c>
      <c r="AA40" s="50" t="str">
        <f>'36. Generic chemical products'!AA7</f>
        <v>COSMEDE</v>
      </c>
      <c r="AB40" s="27">
        <f t="shared" si="10"/>
        <v>0</v>
      </c>
      <c r="AC40" s="29">
        <f t="shared" si="11"/>
        <v>5.0000000000000009E-5</v>
      </c>
      <c r="AD40" s="135">
        <f t="shared" si="9"/>
        <v>0</v>
      </c>
      <c r="AE40" s="135">
        <f t="shared" si="0"/>
        <v>0</v>
      </c>
      <c r="AF40" s="24">
        <f t="shared" si="1"/>
        <v>4.565000000000001E-2</v>
      </c>
      <c r="AG40" s="24">
        <f t="shared" si="2"/>
        <v>0</v>
      </c>
      <c r="AH40" s="24">
        <f t="shared" si="3"/>
        <v>0</v>
      </c>
      <c r="AI40" s="24">
        <f t="shared" si="4"/>
        <v>0</v>
      </c>
      <c r="AJ40" s="24">
        <f t="shared" si="5"/>
        <v>0</v>
      </c>
      <c r="AK40" s="24">
        <f t="shared" si="6"/>
        <v>0</v>
      </c>
      <c r="AL40" s="24">
        <f t="shared" si="7"/>
        <v>4.565000000000001E-2</v>
      </c>
      <c r="AM40" s="161">
        <f t="shared" si="8"/>
        <v>0</v>
      </c>
      <c r="AN40" s="157">
        <f t="shared" si="8"/>
        <v>0</v>
      </c>
      <c r="AO40" s="162">
        <f t="shared" si="8"/>
        <v>4.565000000000001E-2</v>
      </c>
    </row>
    <row r="41" spans="1:41" s="8" customFormat="1" ht="15" customHeight="1" x14ac:dyDescent="0.2">
      <c r="A41" s="50" t="str">
        <f>'36. Generic chemical products'!A8</f>
        <v>Detergent, average (Ultravon EL)</v>
      </c>
      <c r="B41" s="50" t="str">
        <f>'36. Generic chemical products'!B8</f>
        <v>Sodium mono(2-ethylhexyl)estersulfate</v>
      </c>
      <c r="C41" s="50">
        <f>'36. Generic chemical products'!C8</f>
        <v>0.05</v>
      </c>
      <c r="D41" s="50" t="str">
        <f>'36. Generic chemical products'!D8</f>
        <v>kg</v>
      </c>
      <c r="E41" s="50" t="str">
        <f>'36. Generic chemical products'!E8</f>
        <v>MSDS</v>
      </c>
      <c r="F41" s="50">
        <f>'36. Generic chemical products'!F8</f>
        <v>0</v>
      </c>
      <c r="G41" s="50" t="str">
        <f>'36. Generic chemical products'!G8</f>
        <v>-</v>
      </c>
      <c r="H41" s="50">
        <f>'36. Generic chemical products'!H8</f>
        <v>0</v>
      </c>
      <c r="I41" s="50">
        <f>'36. Generic chemical products'!I8</f>
        <v>0</v>
      </c>
      <c r="J41" s="50">
        <f>'36. Generic chemical products'!J8</f>
        <v>0</v>
      </c>
      <c r="K41" s="50">
        <f>'36. Generic chemical products'!K8</f>
        <v>0</v>
      </c>
      <c r="L41" s="50">
        <f>'36. Generic chemical products'!L8</f>
        <v>0</v>
      </c>
      <c r="M41" s="50" t="str">
        <f>'36. Generic chemical products'!M8</f>
        <v>Sodium mono(2-ethylhexyl)estersulfate</v>
      </c>
      <c r="N41" s="50" t="str">
        <f>'36. Generic chemical products'!N8</f>
        <v>river</v>
      </c>
      <c r="O41" s="50">
        <f>'36. Generic chemical products'!O8</f>
        <v>5.000000000000001E-3</v>
      </c>
      <c r="P41" s="50" t="str">
        <f>'36. Generic chemical products'!P8</f>
        <v>kg</v>
      </c>
      <c r="Q41" s="50">
        <f>'36. Generic chemical products'!Q8</f>
        <v>0</v>
      </c>
      <c r="R41" s="50">
        <f>'36. Generic chemical products'!R8</f>
        <v>0</v>
      </c>
      <c r="S41" s="50">
        <f>'36. Generic chemical products'!S8</f>
        <v>0</v>
      </c>
      <c r="T41" s="50" t="str">
        <f>'36. Generic chemical products'!T8</f>
        <v>126-92-1</v>
      </c>
      <c r="U41" s="50">
        <f>'36. Generic chemical products'!U8</f>
        <v>0</v>
      </c>
      <c r="V41" s="50">
        <f>'36. Generic chemical products'!V8</f>
        <v>0</v>
      </c>
      <c r="W41" s="50">
        <f>'36. Generic chemical products'!W8</f>
        <v>0</v>
      </c>
      <c r="X41" s="50">
        <f>'36. Generic chemical products'!X8</f>
        <v>0</v>
      </c>
      <c r="Y41" s="50">
        <f>'36. Generic chemical products'!Y8</f>
        <v>109.72</v>
      </c>
      <c r="Z41" s="50">
        <f>'36. Generic chemical products'!Z8</f>
        <v>110</v>
      </c>
      <c r="AA41" s="50" t="str">
        <f>'36. Generic chemical products'!AA8</f>
        <v>COSMEDE</v>
      </c>
      <c r="AB41" s="27">
        <f t="shared" si="10"/>
        <v>0</v>
      </c>
      <c r="AC41" s="29">
        <f t="shared" si="11"/>
        <v>2.5000000000000005E-5</v>
      </c>
      <c r="AD41" s="135">
        <f t="shared" si="9"/>
        <v>0</v>
      </c>
      <c r="AE41" s="135">
        <f t="shared" si="0"/>
        <v>0</v>
      </c>
      <c r="AF41" s="24">
        <f t="shared" si="1"/>
        <v>2.7500000000000007E-3</v>
      </c>
      <c r="AG41" s="24">
        <f t="shared" si="2"/>
        <v>0</v>
      </c>
      <c r="AH41" s="24">
        <f t="shared" si="3"/>
        <v>0</v>
      </c>
      <c r="AI41" s="24">
        <f t="shared" si="4"/>
        <v>0</v>
      </c>
      <c r="AJ41" s="24">
        <f t="shared" si="5"/>
        <v>0</v>
      </c>
      <c r="AK41" s="24">
        <f t="shared" si="6"/>
        <v>0</v>
      </c>
      <c r="AL41" s="24">
        <f t="shared" si="7"/>
        <v>2.7500000000000007E-3</v>
      </c>
      <c r="AM41" s="161">
        <f t="shared" si="8"/>
        <v>0</v>
      </c>
      <c r="AN41" s="157">
        <f t="shared" si="8"/>
        <v>0</v>
      </c>
      <c r="AO41" s="162">
        <f t="shared" si="8"/>
        <v>2.7500000000000007E-3</v>
      </c>
    </row>
    <row r="42" spans="1:41" s="8" customFormat="1" ht="15" customHeight="1" x14ac:dyDescent="0.2">
      <c r="A42" s="50" t="str">
        <f>'36. Generic chemical products'!A9</f>
        <v>Detergent, average (Ultravon EL)</v>
      </c>
      <c r="B42" s="50" t="str">
        <f>'36. Generic chemical products'!B9</f>
        <v>Ethylene oxide</v>
      </c>
      <c r="C42" s="50">
        <f>'36. Generic chemical products'!C9</f>
        <v>0</v>
      </c>
      <c r="D42" s="50">
        <f>'36. Generic chemical products'!D9</f>
        <v>0</v>
      </c>
      <c r="E42" s="50" t="str">
        <f>'36. Generic chemical products'!E9</f>
        <v>&lt;= 0.1% in alcohol ethoxylates</v>
      </c>
      <c r="F42" s="50">
        <f>'36. Generic chemical products'!F9</f>
        <v>0</v>
      </c>
      <c r="G42" s="50" t="str">
        <f>'36. Generic chemical products'!G9</f>
        <v>Ethylene oxide</v>
      </c>
      <c r="H42" s="50" t="str">
        <f>'36. Generic chemical products'!H9</f>
        <v>high. pop.</v>
      </c>
      <c r="I42" s="50">
        <f>'36. Generic chemical products'!I9</f>
        <v>1.0000000000000001E-7</v>
      </c>
      <c r="J42" s="50" t="str">
        <f>'36. Generic chemical products'!J9</f>
        <v>kg</v>
      </c>
      <c r="K42" s="50">
        <f>'36. Generic chemical products'!K9</f>
        <v>0</v>
      </c>
      <c r="L42" s="50">
        <f>'36. Generic chemical products'!L9</f>
        <v>0</v>
      </c>
      <c r="M42" s="50" t="str">
        <f>'36. Generic chemical products'!M9</f>
        <v>Ethylene oxide</v>
      </c>
      <c r="N42" s="50" t="str">
        <f>'36. Generic chemical products'!N9</f>
        <v>river</v>
      </c>
      <c r="O42" s="50">
        <f>'36. Generic chemical products'!O9</f>
        <v>1.0000000000000001E-5</v>
      </c>
      <c r="P42" s="50" t="str">
        <f>'36. Generic chemical products'!P9</f>
        <v>kg</v>
      </c>
      <c r="Q42" s="50" t="str">
        <f>'36. Generic chemical products'!Q9</f>
        <v>&lt;= 0.001 in alcohol ethoxylates</v>
      </c>
      <c r="R42" s="50">
        <f>'36. Generic chemical products'!R9</f>
        <v>0</v>
      </c>
      <c r="S42" s="50">
        <f>'36. Generic chemical products'!S9</f>
        <v>0</v>
      </c>
      <c r="T42" s="50" t="str">
        <f>'36. Generic chemical products'!T9</f>
        <v>75-21-8</v>
      </c>
      <c r="U42" s="50">
        <f>'36. Generic chemical products'!U9</f>
        <v>1.0252176328593382E-6</v>
      </c>
      <c r="V42" s="50">
        <f>'36. Generic chemical products'!V9</f>
        <v>0</v>
      </c>
      <c r="W42" s="50">
        <f>'36. Generic chemical products'!W9</f>
        <v>8.6533271568247147E-7</v>
      </c>
      <c r="X42" s="50">
        <f>'36. Generic chemical products'!X9</f>
        <v>0</v>
      </c>
      <c r="Y42" s="50">
        <f>'36. Generic chemical products'!Y9</f>
        <v>0.65406517859613422</v>
      </c>
      <c r="Z42" s="50">
        <f>'36. Generic chemical products'!Z9</f>
        <v>11.248588270889815</v>
      </c>
      <c r="AA42" s="50" t="str">
        <f>'36. Generic chemical products'!AA9</f>
        <v>USEtox</v>
      </c>
      <c r="AB42" s="27">
        <f t="shared" si="10"/>
        <v>5.0000000000000003E-10</v>
      </c>
      <c r="AC42" s="29">
        <f t="shared" si="11"/>
        <v>5.0000000000000004E-8</v>
      </c>
      <c r="AD42" s="135">
        <f t="shared" si="9"/>
        <v>4.3779244600553245E-14</v>
      </c>
      <c r="AE42" s="135">
        <f t="shared" si="0"/>
        <v>0</v>
      </c>
      <c r="AF42" s="24">
        <f t="shared" si="1"/>
        <v>5.6275644613378898E-7</v>
      </c>
      <c r="AG42" s="24">
        <f t="shared" si="2"/>
        <v>5.1260881642966916E-16</v>
      </c>
      <c r="AH42" s="24">
        <f t="shared" si="3"/>
        <v>0</v>
      </c>
      <c r="AI42" s="24">
        <f t="shared" si="4"/>
        <v>3.2703258929806711E-10</v>
      </c>
      <c r="AJ42" s="24">
        <f t="shared" si="5"/>
        <v>4.3266635784123576E-14</v>
      </c>
      <c r="AK42" s="24">
        <f t="shared" si="6"/>
        <v>0</v>
      </c>
      <c r="AL42" s="24">
        <f t="shared" si="7"/>
        <v>5.6242941354449086E-7</v>
      </c>
      <c r="AM42" s="161">
        <f t="shared" si="8"/>
        <v>4.3779244600553245E-14</v>
      </c>
      <c r="AN42" s="157">
        <f t="shared" si="8"/>
        <v>0</v>
      </c>
      <c r="AO42" s="162">
        <f t="shared" si="8"/>
        <v>5.6275644613378898E-7</v>
      </c>
    </row>
    <row r="43" spans="1:41" s="49" customFormat="1" ht="15" customHeight="1" x14ac:dyDescent="0.2">
      <c r="A43" s="364" t="str">
        <f>'36. Generic chemical products'!A10</f>
        <v>Detergent, average (Ultravon EL)</v>
      </c>
      <c r="B43" s="364" t="str">
        <f>'36. Generic chemical products'!B10</f>
        <v xml:space="preserve"> </v>
      </c>
      <c r="C43" s="364">
        <f>'36. Generic chemical products'!C10</f>
        <v>0</v>
      </c>
      <c r="D43" s="364">
        <f>'36. Generic chemical products'!D10</f>
        <v>0</v>
      </c>
      <c r="E43" s="364" t="str">
        <f>'36. Generic chemical products'!E10</f>
        <v>Common breakdown product of of acrylics, 0.001 % assumed</v>
      </c>
      <c r="F43" s="364">
        <f>'36. Generic chemical products'!F10</f>
        <v>0</v>
      </c>
      <c r="G43" s="364" t="str">
        <f>'36. Generic chemical products'!G10</f>
        <v>Formaldehyde</v>
      </c>
      <c r="H43" s="364" t="str">
        <f>'36. Generic chemical products'!H10</f>
        <v>high. pop.</v>
      </c>
      <c r="I43" s="364">
        <f>'36. Generic chemical products'!I10</f>
        <v>1.0000000000000001E-7</v>
      </c>
      <c r="J43" s="364" t="str">
        <f>'36. Generic chemical products'!J10</f>
        <v>kg</v>
      </c>
      <c r="K43" s="364">
        <f>'36. Generic chemical products'!K10</f>
        <v>0</v>
      </c>
      <c r="L43" s="364">
        <f>'36. Generic chemical products'!L10</f>
        <v>0</v>
      </c>
      <c r="M43" s="364" t="str">
        <f>'36. Generic chemical products'!M10</f>
        <v>Formaldehyde</v>
      </c>
      <c r="N43" s="364" t="str">
        <f>'36. Generic chemical products'!N10</f>
        <v>river</v>
      </c>
      <c r="O43" s="364">
        <f>'36. Generic chemical products'!O10</f>
        <v>1.0000000000000002E-6</v>
      </c>
      <c r="P43" s="364" t="str">
        <f>'36. Generic chemical products'!P10</f>
        <v>kg</v>
      </c>
      <c r="Q43" s="364" t="str">
        <f>'36. Generic chemical products'!Q10</f>
        <v xml:space="preserve">0.1 % of the content is degraded to common breakdown products. 90% of reactive chemicals are degraded during operations. </v>
      </c>
      <c r="R43" s="364">
        <f>'36. Generic chemical products'!R10</f>
        <v>0</v>
      </c>
      <c r="S43" s="364">
        <f>'36. Generic chemical products'!S10</f>
        <v>0</v>
      </c>
      <c r="T43" s="364" t="str">
        <f>'36. Generic chemical products'!T10</f>
        <v>50-00-0</v>
      </c>
      <c r="U43" s="364">
        <f>'36. Generic chemical products'!U10</f>
        <v>2.5208446330720887E-5</v>
      </c>
      <c r="V43" s="364">
        <f>'36. Generic chemical products'!V10</f>
        <v>2.6504960021309262E-7</v>
      </c>
      <c r="W43" s="364">
        <f>'36. Generic chemical products'!W10</f>
        <v>1.4222228897488039E-7</v>
      </c>
      <c r="X43" s="364">
        <f>'36. Generic chemical products'!X10</f>
        <v>3.170874313501273E-7</v>
      </c>
      <c r="Y43" s="364">
        <f>'36. Generic chemical products'!Y10</f>
        <v>17.989178582912412</v>
      </c>
      <c r="Z43" s="364">
        <f>'36. Generic chemical products'!Z10</f>
        <v>290.05086067463066</v>
      </c>
      <c r="AA43" s="364" t="str">
        <f>'36. Generic chemical products'!AA10</f>
        <v>USEtox</v>
      </c>
      <c r="AB43" s="28">
        <f t="shared" si="10"/>
        <v>5.0000000000000003E-10</v>
      </c>
      <c r="AC43" s="146">
        <f t="shared" si="11"/>
        <v>5.0000000000000009E-9</v>
      </c>
      <c r="AD43" s="147">
        <f t="shared" si="9"/>
        <v>1.3315334610234846E-14</v>
      </c>
      <c r="AE43" s="147">
        <f t="shared" si="0"/>
        <v>1.7179619568571831E-15</v>
      </c>
      <c r="AF43" s="25">
        <f t="shared" si="1"/>
        <v>1.4592488926646098E-6</v>
      </c>
      <c r="AG43" s="25">
        <f t="shared" si="2"/>
        <v>1.2604223165360444E-14</v>
      </c>
      <c r="AH43" s="25">
        <f t="shared" si="3"/>
        <v>1.3252480010654632E-16</v>
      </c>
      <c r="AI43" s="25">
        <f t="shared" si="4"/>
        <v>8.9945892914562072E-9</v>
      </c>
      <c r="AJ43" s="25">
        <f t="shared" si="5"/>
        <v>7.1111144487440207E-16</v>
      </c>
      <c r="AK43" s="25">
        <f t="shared" si="6"/>
        <v>1.5854371567506369E-15</v>
      </c>
      <c r="AL43" s="25">
        <f t="shared" si="7"/>
        <v>1.4502543033731536E-6</v>
      </c>
      <c r="AM43" s="163">
        <f t="shared" si="8"/>
        <v>1.3315334610234846E-14</v>
      </c>
      <c r="AN43" s="164">
        <f t="shared" si="8"/>
        <v>1.7179619568571831E-15</v>
      </c>
      <c r="AO43" s="165">
        <f t="shared" si="8"/>
        <v>1.4592488926646098E-6</v>
      </c>
    </row>
    <row r="44" spans="1:41" s="361" customFormat="1" ht="15" customHeight="1" x14ac:dyDescent="0.2">
      <c r="A44" s="196" t="str">
        <f>'36. Generic chemical products'!A22</f>
        <v>Sequestering agent/complex binder, average (Invatex)</v>
      </c>
      <c r="B44" s="196" t="str">
        <f>'36. Generic chemical products'!B22</f>
        <v>Phosphonic acid, disodium salt</v>
      </c>
      <c r="C44" s="196">
        <f>'36. Generic chemical products'!C22</f>
        <v>0.3</v>
      </c>
      <c r="D44" s="196" t="str">
        <f>'36. Generic chemical products'!D22</f>
        <v>kg</v>
      </c>
      <c r="E44" s="196" t="str">
        <f>'36. Generic chemical products'!E22</f>
        <v>MSDS</v>
      </c>
      <c r="F44" s="196">
        <f>'36. Generic chemical products'!F22</f>
        <v>0</v>
      </c>
      <c r="G44" s="196" t="str">
        <f>'36. Generic chemical products'!G22</f>
        <v>Phosphonic acid</v>
      </c>
      <c r="H44" s="196" t="str">
        <f>'36. Generic chemical products'!H22</f>
        <v>high. pop.</v>
      </c>
      <c r="I44" s="196">
        <f>'36. Generic chemical products'!I22</f>
        <v>2.9999999999999997E-4</v>
      </c>
      <c r="J44" s="196">
        <f>'36. Generic chemical products'!J22</f>
        <v>0</v>
      </c>
      <c r="K44" s="196">
        <f>'36. Generic chemical products'!K22</f>
        <v>0</v>
      </c>
      <c r="L44" s="196">
        <f>'36. Generic chemical products'!L22</f>
        <v>0</v>
      </c>
      <c r="M44" s="196" t="str">
        <f>'36. Generic chemical products'!M22</f>
        <v>Phosphonic acid</v>
      </c>
      <c r="N44" s="196" t="str">
        <f>'36. Generic chemical products'!N22</f>
        <v>river</v>
      </c>
      <c r="O44" s="196">
        <f>'36. Generic chemical products'!O22</f>
        <v>0.03</v>
      </c>
      <c r="P44" s="196" t="str">
        <f>'36. Generic chemical products'!P22</f>
        <v>kg</v>
      </c>
      <c r="Q44" s="196">
        <f>'36. Generic chemical products'!Q22</f>
        <v>0</v>
      </c>
      <c r="R44" s="196">
        <f>'36. Generic chemical products'!R22</f>
        <v>0</v>
      </c>
      <c r="S44" s="196">
        <f>'36. Generic chemical products'!S22</f>
        <v>0</v>
      </c>
      <c r="T44" s="196" t="str">
        <f>'36. Generic chemical products'!T22</f>
        <v>13708-85-5</v>
      </c>
      <c r="U44" s="196">
        <f>'36. Generic chemical products'!U22</f>
        <v>0</v>
      </c>
      <c r="V44" s="196">
        <f>'36. Generic chemical products'!V22</f>
        <v>2.5624272316803493E-8</v>
      </c>
      <c r="W44" s="196">
        <f>'36. Generic chemical products'!W22</f>
        <v>0</v>
      </c>
      <c r="X44" s="196">
        <f>'36. Generic chemical products'!X22</f>
        <v>6.1179997974786175E-9</v>
      </c>
      <c r="Y44" s="196">
        <f>'36. Generic chemical products'!Y22</f>
        <v>95.727827940780713</v>
      </c>
      <c r="Z44" s="196">
        <f>'36. Generic chemical products'!Z22</f>
        <v>451.93033608164546</v>
      </c>
      <c r="AA44" s="196" t="str">
        <f>'36. Generic chemical products'!AA22</f>
        <v>Roos 2017</v>
      </c>
      <c r="AB44" s="401">
        <f>$C$13*I44</f>
        <v>1.4999999999999998E-6</v>
      </c>
      <c r="AC44" s="362">
        <f>$C$17*O44</f>
        <v>1.4999999999999999E-4</v>
      </c>
      <c r="AD44" s="402">
        <f t="shared" si="9"/>
        <v>0</v>
      </c>
      <c r="AE44" s="402">
        <f t="shared" si="0"/>
        <v>9.5613637809699787E-13</v>
      </c>
      <c r="AF44" s="403">
        <f t="shared" si="1"/>
        <v>6.793314215415798E-2</v>
      </c>
      <c r="AG44" s="403">
        <f t="shared" si="2"/>
        <v>0</v>
      </c>
      <c r="AH44" s="403">
        <f t="shared" si="3"/>
        <v>3.8436408475205235E-14</v>
      </c>
      <c r="AI44" s="403">
        <f t="shared" si="4"/>
        <v>1.4359174191117105E-4</v>
      </c>
      <c r="AJ44" s="403">
        <f t="shared" si="5"/>
        <v>0</v>
      </c>
      <c r="AK44" s="403">
        <f t="shared" si="6"/>
        <v>9.1769996962179263E-13</v>
      </c>
      <c r="AL44" s="403">
        <f t="shared" si="7"/>
        <v>6.778955041224681E-2</v>
      </c>
      <c r="AM44" s="404">
        <f t="shared" si="8"/>
        <v>0</v>
      </c>
      <c r="AN44" s="405">
        <f t="shared" si="8"/>
        <v>9.5613637809699787E-13</v>
      </c>
      <c r="AO44" s="406">
        <f t="shared" si="8"/>
        <v>6.793314215415798E-2</v>
      </c>
    </row>
    <row r="45" spans="1:41" s="8" customFormat="1" ht="15" customHeight="1" x14ac:dyDescent="0.2">
      <c r="A45" s="70" t="str">
        <f>'36. Generic chemical products'!A46</f>
        <v>Wetting agent for better printability (Ultravon PRE)</v>
      </c>
      <c r="B45" s="70" t="str">
        <f>'36. Generic chemical products'!B46</f>
        <v>Ethoxylated fatty alcohol</v>
      </c>
      <c r="C45" s="70">
        <f>'36. Generic chemical products'!C46</f>
        <v>0.7</v>
      </c>
      <c r="D45" s="70" t="str">
        <f>'36. Generic chemical products'!D46</f>
        <v>kg</v>
      </c>
      <c r="E45" s="70" t="str">
        <f>'36. Generic chemical products'!E46</f>
        <v>MSDS</v>
      </c>
      <c r="F45" s="70">
        <f>'36. Generic chemical products'!F46</f>
        <v>0</v>
      </c>
      <c r="G45" s="70" t="str">
        <f>'36. Generic chemical products'!G46</f>
        <v>Alcohols, ethoxylated</v>
      </c>
      <c r="H45" s="70" t="str">
        <f>'36. Generic chemical products'!H46</f>
        <v>high. pop.</v>
      </c>
      <c r="I45" s="70">
        <f>'36. Generic chemical products'!I46</f>
        <v>6.9999999999999999E-4</v>
      </c>
      <c r="J45" s="70" t="str">
        <f>'36. Generic chemical products'!J46</f>
        <v>kg</v>
      </c>
      <c r="K45" s="70">
        <f>'36. Generic chemical products'!K46</f>
        <v>0</v>
      </c>
      <c r="L45" s="70">
        <f>'36. Generic chemical products'!L46</f>
        <v>0</v>
      </c>
      <c r="M45" s="70" t="str">
        <f>'36. Generic chemical products'!M46</f>
        <v>Alcohols, ethoxylated</v>
      </c>
      <c r="N45" s="70" t="str">
        <f>'36. Generic chemical products'!N46</f>
        <v>river</v>
      </c>
      <c r="O45" s="70">
        <f>'36. Generic chemical products'!O46</f>
        <v>6.9999999999999993E-2</v>
      </c>
      <c r="P45" s="70" t="str">
        <f>'36. Generic chemical products'!P46</f>
        <v>kg</v>
      </c>
      <c r="Q45" s="70">
        <f>'36. Generic chemical products'!Q46</f>
        <v>0</v>
      </c>
      <c r="R45" s="70">
        <f>'36. Generic chemical products'!R46</f>
        <v>0</v>
      </c>
      <c r="S45" s="70">
        <f>'36. Generic chemical products'!S46</f>
        <v>0</v>
      </c>
      <c r="T45" s="70" t="str">
        <f>'36. Generic chemical products'!T46</f>
        <v>61827-42-7</v>
      </c>
      <c r="U45" s="70">
        <f>'36. Generic chemical products'!U46</f>
        <v>0</v>
      </c>
      <c r="V45" s="70">
        <f>'36. Generic chemical products'!V46</f>
        <v>0</v>
      </c>
      <c r="W45" s="70">
        <f>'36. Generic chemical products'!W46</f>
        <v>0</v>
      </c>
      <c r="X45" s="70">
        <f>'36. Generic chemical products'!X46</f>
        <v>0</v>
      </c>
      <c r="Y45" s="70">
        <f>'36. Generic chemical products'!Y46</f>
        <v>87</v>
      </c>
      <c r="Z45" s="70">
        <f>'36. Generic chemical products'!Z46</f>
        <v>2740</v>
      </c>
      <c r="AA45" s="70" t="str">
        <f>'36. Generic chemical products'!AA46</f>
        <v>COSMEDE</v>
      </c>
      <c r="AB45" s="27">
        <f>$C$14*I45</f>
        <v>3.4999999999999999E-6</v>
      </c>
      <c r="AC45" s="29">
        <f>$C$18*O45</f>
        <v>3.5E-4</v>
      </c>
      <c r="AD45" s="135">
        <f t="shared" si="9"/>
        <v>0</v>
      </c>
      <c r="AE45" s="135">
        <f t="shared" si="0"/>
        <v>0</v>
      </c>
      <c r="AF45" s="24">
        <f t="shared" si="1"/>
        <v>0.9593045</v>
      </c>
      <c r="AG45" s="24">
        <f t="shared" si="2"/>
        <v>0</v>
      </c>
      <c r="AH45" s="24">
        <f t="shared" si="3"/>
        <v>0</v>
      </c>
      <c r="AI45" s="24">
        <f t="shared" si="4"/>
        <v>3.0449999999999997E-4</v>
      </c>
      <c r="AJ45" s="24">
        <f t="shared" si="5"/>
        <v>0</v>
      </c>
      <c r="AK45" s="24">
        <f t="shared" si="6"/>
        <v>0</v>
      </c>
      <c r="AL45" s="24">
        <f t="shared" si="7"/>
        <v>0.95899999999999996</v>
      </c>
      <c r="AM45" s="161">
        <f t="shared" si="8"/>
        <v>0</v>
      </c>
      <c r="AN45" s="157">
        <f t="shared" si="8"/>
        <v>0</v>
      </c>
      <c r="AO45" s="162">
        <f t="shared" si="8"/>
        <v>0.9593045</v>
      </c>
    </row>
    <row r="46" spans="1:41" s="8" customFormat="1" ht="15" customHeight="1" x14ac:dyDescent="0.2">
      <c r="A46" s="70" t="str">
        <f>'36. Generic chemical products'!A47</f>
        <v>Wetting agent for better printability (Ultravon PRE)</v>
      </c>
      <c r="B46" s="70" t="str">
        <f>'36. Generic chemical products'!B47</f>
        <v>2-metyl-2,4-pentandiol</v>
      </c>
      <c r="C46" s="70">
        <f>'36. Generic chemical products'!C47</f>
        <v>0.15</v>
      </c>
      <c r="D46" s="70" t="str">
        <f>'36. Generic chemical products'!D47</f>
        <v>kg</v>
      </c>
      <c r="E46" s="70" t="str">
        <f>'36. Generic chemical products'!E47</f>
        <v>MSDS</v>
      </c>
      <c r="F46" s="70">
        <f>'36. Generic chemical products'!F47</f>
        <v>0</v>
      </c>
      <c r="G46" s="70" t="str">
        <f>'36. Generic chemical products'!G47</f>
        <v>2-metyl-2,4-pentandiol</v>
      </c>
      <c r="H46" s="70" t="str">
        <f>'36. Generic chemical products'!H47</f>
        <v>high. pop.</v>
      </c>
      <c r="I46" s="70">
        <f>'36. Generic chemical products'!I47</f>
        <v>1.4999999999999999E-4</v>
      </c>
      <c r="J46" s="70" t="str">
        <f>'36. Generic chemical products'!J47</f>
        <v>kg</v>
      </c>
      <c r="K46" s="70">
        <f>'36. Generic chemical products'!K47</f>
        <v>0</v>
      </c>
      <c r="L46" s="70">
        <f>'36. Generic chemical products'!L47</f>
        <v>0</v>
      </c>
      <c r="M46" s="70" t="str">
        <f>'36. Generic chemical products'!M47</f>
        <v>2-metyl-2,4-pentandiol</v>
      </c>
      <c r="N46" s="70" t="str">
        <f>'36. Generic chemical products'!N47</f>
        <v>river</v>
      </c>
      <c r="O46" s="70">
        <f>'36. Generic chemical products'!O47</f>
        <v>1.4999999999999999E-2</v>
      </c>
      <c r="P46" s="70" t="str">
        <f>'36. Generic chemical products'!P47</f>
        <v>kg</v>
      </c>
      <c r="Q46" s="70">
        <f>'36. Generic chemical products'!Q47</f>
        <v>0</v>
      </c>
      <c r="R46" s="70">
        <f>'36. Generic chemical products'!R47</f>
        <v>0</v>
      </c>
      <c r="S46" s="70">
        <f>'36. Generic chemical products'!S47</f>
        <v>0</v>
      </c>
      <c r="T46" s="70" t="str">
        <f>'36. Generic chemical products'!T47</f>
        <v>111-42-1</v>
      </c>
      <c r="U46" s="70">
        <f>'36. Generic chemical products'!U47</f>
        <v>0</v>
      </c>
      <c r="V46" s="70">
        <f>'36. Generic chemical products'!V47</f>
        <v>0</v>
      </c>
      <c r="W46" s="70">
        <f>'36. Generic chemical products'!W47</f>
        <v>0</v>
      </c>
      <c r="X46" s="70">
        <f>'36. Generic chemical products'!X47</f>
        <v>0</v>
      </c>
      <c r="Y46" s="70">
        <f>'36. Generic chemical products'!Y47</f>
        <v>1.5026837363888605</v>
      </c>
      <c r="Z46" s="70">
        <f>'36. Generic chemical products'!Z47</f>
        <v>72.122957517746116</v>
      </c>
      <c r="AA46" s="70" t="str">
        <f>'36. Generic chemical products'!AA47</f>
        <v>USEtox</v>
      </c>
      <c r="AB46" s="27">
        <f>$C$14*I46</f>
        <v>7.4999999999999991E-7</v>
      </c>
      <c r="AC46" s="29">
        <f>$C$18*O46</f>
        <v>7.4999999999999993E-5</v>
      </c>
      <c r="AD46" s="135">
        <f t="shared" si="9"/>
        <v>0</v>
      </c>
      <c r="AE46" s="135">
        <f t="shared" si="0"/>
        <v>0</v>
      </c>
      <c r="AF46" s="24">
        <f t="shared" si="1"/>
        <v>5.4103488266332494E-3</v>
      </c>
      <c r="AG46" s="24">
        <f t="shared" si="2"/>
        <v>0</v>
      </c>
      <c r="AH46" s="24">
        <f t="shared" si="3"/>
        <v>0</v>
      </c>
      <c r="AI46" s="24">
        <f t="shared" si="4"/>
        <v>1.1270128022916453E-6</v>
      </c>
      <c r="AJ46" s="24">
        <f t="shared" si="5"/>
        <v>0</v>
      </c>
      <c r="AK46" s="24">
        <f t="shared" si="6"/>
        <v>0</v>
      </c>
      <c r="AL46" s="24">
        <f t="shared" si="7"/>
        <v>5.409221813830958E-3</v>
      </c>
      <c r="AM46" s="161">
        <f t="shared" si="8"/>
        <v>0</v>
      </c>
      <c r="AN46" s="157">
        <f t="shared" si="8"/>
        <v>0</v>
      </c>
      <c r="AO46" s="162">
        <f t="shared" si="8"/>
        <v>5.4103488266332494E-3</v>
      </c>
    </row>
    <row r="47" spans="1:41" s="8" customFormat="1" ht="15" customHeight="1" x14ac:dyDescent="0.2">
      <c r="A47" s="70" t="str">
        <f>'36. Generic chemical products'!A48</f>
        <v>Wetting agent for better printability (Ultravon PRE)</v>
      </c>
      <c r="B47" s="70" t="str">
        <f>'36. Generic chemical products'!B48</f>
        <v>Lauryl alcohol di(oxyethylene) ethanol</v>
      </c>
      <c r="C47" s="70">
        <f>'36. Generic chemical products'!C48</f>
        <v>0.1</v>
      </c>
      <c r="D47" s="70" t="str">
        <f>'36. Generic chemical products'!D48</f>
        <v>kg</v>
      </c>
      <c r="E47" s="70" t="str">
        <f>'36. Generic chemical products'!E48</f>
        <v>MSDS</v>
      </c>
      <c r="F47" s="70">
        <f>'36. Generic chemical products'!F48</f>
        <v>0</v>
      </c>
      <c r="G47" s="70" t="str">
        <f>'36. Generic chemical products'!G48</f>
        <v>Lauryl alcohol di(oxyethylene) ethanol</v>
      </c>
      <c r="H47" s="70" t="str">
        <f>'36. Generic chemical products'!H48</f>
        <v>high. pop.</v>
      </c>
      <c r="I47" s="70">
        <f>'36. Generic chemical products'!I48</f>
        <v>1E-4</v>
      </c>
      <c r="J47" s="70" t="str">
        <f>'36. Generic chemical products'!J48</f>
        <v>kg</v>
      </c>
      <c r="K47" s="70">
        <f>'36. Generic chemical products'!K48</f>
        <v>0</v>
      </c>
      <c r="L47" s="70">
        <f>'36. Generic chemical products'!L48</f>
        <v>0</v>
      </c>
      <c r="M47" s="70" t="str">
        <f>'36. Generic chemical products'!M48</f>
        <v>Lauryl alcohol di(oxyethylene) ethanol</v>
      </c>
      <c r="N47" s="70" t="str">
        <f>'36. Generic chemical products'!N48</f>
        <v>river</v>
      </c>
      <c r="O47" s="70">
        <f>'36. Generic chemical products'!O48</f>
        <v>1.0000000000000002E-2</v>
      </c>
      <c r="P47" s="70" t="str">
        <f>'36. Generic chemical products'!P48</f>
        <v>kg</v>
      </c>
      <c r="Q47" s="70">
        <f>'36. Generic chemical products'!Q48</f>
        <v>0</v>
      </c>
      <c r="R47" s="70">
        <f>'36. Generic chemical products'!R48</f>
        <v>0</v>
      </c>
      <c r="S47" s="70">
        <f>'36. Generic chemical products'!S48</f>
        <v>0</v>
      </c>
      <c r="T47" s="70" t="str">
        <f>'36. Generic chemical products'!T48</f>
        <v>3055-94-5</v>
      </c>
      <c r="U47" s="70">
        <f>'36. Generic chemical products'!U48</f>
        <v>1.0125738980457451E-5</v>
      </c>
      <c r="V47" s="70">
        <f>'36. Generic chemical products'!V48</f>
        <v>2.402763568235903E-7</v>
      </c>
      <c r="W47" s="70">
        <f>'36. Generic chemical products'!W48</f>
        <v>3.0394472430218979E-5</v>
      </c>
      <c r="X47" s="70">
        <f>'36. Generic chemical products'!X48</f>
        <v>7.2123853056087206E-7</v>
      </c>
      <c r="Y47" s="70">
        <f>'36. Generic chemical products'!Y48</f>
        <v>299.02729835072751</v>
      </c>
      <c r="Z47" s="70">
        <f>'36. Generic chemical products'!Z48</f>
        <v>4766.6238513685685</v>
      </c>
      <c r="AA47" s="70" t="str">
        <f>'36. Generic chemical products'!AA48</f>
        <v>Roos 2017</v>
      </c>
      <c r="AB47" s="27">
        <f>$C$14*I47</f>
        <v>5.0000000000000008E-7</v>
      </c>
      <c r="AC47" s="29">
        <f>$C$18*O47</f>
        <v>5.0000000000000009E-5</v>
      </c>
      <c r="AD47" s="135">
        <f t="shared" si="9"/>
        <v>1.524786491001178E-9</v>
      </c>
      <c r="AE47" s="135">
        <f t="shared" si="0"/>
        <v>3.6182064706455399E-11</v>
      </c>
      <c r="AF47" s="24">
        <f t="shared" si="1"/>
        <v>0.23848070621760384</v>
      </c>
      <c r="AG47" s="24">
        <f t="shared" si="2"/>
        <v>5.0628694902287266E-12</v>
      </c>
      <c r="AH47" s="24">
        <f t="shared" si="3"/>
        <v>1.2013817841179518E-13</v>
      </c>
      <c r="AI47" s="24">
        <f t="shared" si="4"/>
        <v>1.4951364917536379E-4</v>
      </c>
      <c r="AJ47" s="24">
        <f t="shared" si="5"/>
        <v>1.5197236215109492E-9</v>
      </c>
      <c r="AK47" s="24">
        <f t="shared" si="6"/>
        <v>3.6061926528043607E-11</v>
      </c>
      <c r="AL47" s="24">
        <f t="shared" si="7"/>
        <v>0.23833119256842847</v>
      </c>
      <c r="AM47" s="161">
        <f t="shared" si="8"/>
        <v>1.524786491001178E-9</v>
      </c>
      <c r="AN47" s="157">
        <f t="shared" si="8"/>
        <v>3.6182064706455399E-11</v>
      </c>
      <c r="AO47" s="162">
        <f t="shared" si="8"/>
        <v>0.23848070621760384</v>
      </c>
    </row>
    <row r="48" spans="1:41" s="49" customFormat="1" ht="15" customHeight="1" x14ac:dyDescent="0.2">
      <c r="A48" s="136" t="str">
        <f>'36. Generic chemical products'!A49</f>
        <v>Wetting agent for better printability (Ultravon PRE)</v>
      </c>
      <c r="B48" s="136" t="str">
        <f>'36. Generic chemical products'!B49</f>
        <v>Fatty alcohol alkoxylate</v>
      </c>
      <c r="C48" s="136">
        <f>'36. Generic chemical products'!C49</f>
        <v>0.05</v>
      </c>
      <c r="D48" s="136" t="str">
        <f>'36. Generic chemical products'!D49</f>
        <v>kg</v>
      </c>
      <c r="E48" s="136" t="str">
        <f>'36. Generic chemical products'!E49</f>
        <v>MSDS</v>
      </c>
      <c r="F48" s="136">
        <f>'36. Generic chemical products'!F49</f>
        <v>0</v>
      </c>
      <c r="G48" s="136" t="str">
        <f>'36. Generic chemical products'!G49</f>
        <v>Fatty alcohol alkoxylate</v>
      </c>
      <c r="H48" s="136" t="str">
        <f>'36. Generic chemical products'!H49</f>
        <v>high. pop.</v>
      </c>
      <c r="I48" s="136">
        <f>'36. Generic chemical products'!I49</f>
        <v>5.0000000000000002E-5</v>
      </c>
      <c r="J48" s="136" t="str">
        <f>'36. Generic chemical products'!J49</f>
        <v>kg</v>
      </c>
      <c r="K48" s="136">
        <f>'36. Generic chemical products'!K49</f>
        <v>0</v>
      </c>
      <c r="L48" s="136">
        <f>'36. Generic chemical products'!L49</f>
        <v>0</v>
      </c>
      <c r="M48" s="136" t="str">
        <f>'36. Generic chemical products'!M49</f>
        <v>Fatty alcohol alkoxylate</v>
      </c>
      <c r="N48" s="136" t="str">
        <f>'36. Generic chemical products'!N49</f>
        <v>river</v>
      </c>
      <c r="O48" s="136">
        <f>'36. Generic chemical products'!O49</f>
        <v>5.000000000000001E-3</v>
      </c>
      <c r="P48" s="136" t="str">
        <f>'36. Generic chemical products'!P49</f>
        <v>kg</v>
      </c>
      <c r="Q48" s="136">
        <f>'36. Generic chemical products'!Q49</f>
        <v>0</v>
      </c>
      <c r="R48" s="136">
        <f>'36. Generic chemical products'!R49</f>
        <v>0</v>
      </c>
      <c r="S48" s="136">
        <f>'36. Generic chemical products'!S49</f>
        <v>0</v>
      </c>
      <c r="T48" s="136" t="str">
        <f>'36. Generic chemical products'!T49</f>
        <v>78330-23-1</v>
      </c>
      <c r="U48" s="136">
        <f>'36. Generic chemical products'!U49</f>
        <v>0</v>
      </c>
      <c r="V48" s="136">
        <f>'36. Generic chemical products'!V49</f>
        <v>2.0520474093865351E-7</v>
      </c>
      <c r="W48" s="136">
        <f>'36. Generic chemical products'!W49</f>
        <v>0</v>
      </c>
      <c r="X48" s="136">
        <f>'36. Generic chemical products'!X49</f>
        <v>1.1065026602356948E-5</v>
      </c>
      <c r="Y48" s="136">
        <f>'36. Generic chemical products'!Y49</f>
        <v>1067.7302200139782</v>
      </c>
      <c r="Z48" s="136">
        <f>'36. Generic chemical products'!Z49</f>
        <v>79444.76315026985</v>
      </c>
      <c r="AA48" s="136" t="str">
        <f>'36. Generic chemical products'!AA49</f>
        <v>Roos 2017</v>
      </c>
      <c r="AB48" s="28">
        <f>$C$14*I48</f>
        <v>2.5000000000000004E-7</v>
      </c>
      <c r="AC48" s="146">
        <f>$C$18*O48</f>
        <v>2.5000000000000005E-5</v>
      </c>
      <c r="AD48" s="147">
        <f t="shared" si="9"/>
        <v>0</v>
      </c>
      <c r="AE48" s="147">
        <f t="shared" si="0"/>
        <v>2.7667696624415837E-10</v>
      </c>
      <c r="AF48" s="25">
        <f t="shared" si="1"/>
        <v>1.9863860113117502</v>
      </c>
      <c r="AG48" s="25">
        <f t="shared" si="2"/>
        <v>0</v>
      </c>
      <c r="AH48" s="25">
        <f t="shared" si="3"/>
        <v>5.1301185234663388E-14</v>
      </c>
      <c r="AI48" s="25">
        <f t="shared" si="4"/>
        <v>2.669325550034946E-4</v>
      </c>
      <c r="AJ48" s="25">
        <f t="shared" si="5"/>
        <v>0</v>
      </c>
      <c r="AK48" s="25">
        <f t="shared" si="6"/>
        <v>2.7662566505892372E-10</v>
      </c>
      <c r="AL48" s="25">
        <f t="shared" si="7"/>
        <v>1.9861190787567466</v>
      </c>
      <c r="AM48" s="163">
        <f t="shared" si="8"/>
        <v>0</v>
      </c>
      <c r="AN48" s="164">
        <f t="shared" si="8"/>
        <v>2.7667696624415837E-10</v>
      </c>
      <c r="AO48" s="165">
        <f t="shared" si="8"/>
        <v>1.9863860113117502</v>
      </c>
    </row>
    <row r="49" spans="1:41" s="8" customFormat="1" ht="15" customHeight="1" x14ac:dyDescent="0.2">
      <c r="A49" s="34"/>
      <c r="B49" s="54"/>
      <c r="C49" s="74"/>
      <c r="D49" s="51"/>
      <c r="E49" s="64"/>
      <c r="F49" s="51"/>
      <c r="G49" s="51"/>
      <c r="H49" s="69"/>
      <c r="I49" s="51"/>
      <c r="J49" s="51"/>
      <c r="K49" s="51"/>
      <c r="L49" s="51"/>
      <c r="M49" s="69"/>
      <c r="N49" s="51"/>
      <c r="O49" s="51"/>
      <c r="P49" s="54"/>
      <c r="Q49" s="115"/>
      <c r="R49" s="115"/>
      <c r="S49" s="115"/>
      <c r="T49" s="115"/>
      <c r="U49" s="115"/>
      <c r="V49" s="115"/>
      <c r="W49" s="125"/>
      <c r="X49" s="203"/>
      <c r="Y49" s="204"/>
      <c r="Z49" s="205"/>
      <c r="AA49" s="205"/>
      <c r="AB49" s="203"/>
      <c r="AC49" s="203"/>
      <c r="AD49" s="177">
        <f>SUM(AD35:AD48)</f>
        <v>1.5271277716707523E-9</v>
      </c>
      <c r="AE49" s="177">
        <f t="shared" ref="AE49:AK49" si="12">SUM(AE35:AE48)</f>
        <v>3.6422587054466669E-10</v>
      </c>
      <c r="AF49" s="177">
        <f t="shared" si="12"/>
        <v>3.335461412593121</v>
      </c>
      <c r="AG49" s="177">
        <f t="shared" si="12"/>
        <v>5.5641494630158565E-12</v>
      </c>
      <c r="AH49" s="177">
        <f t="shared" si="12"/>
        <v>2.0825747903523001E-12</v>
      </c>
      <c r="AI49" s="177">
        <f>SUM(AI35:AI48)</f>
        <v>8.6585182676979754E-4</v>
      </c>
      <c r="AJ49" s="177">
        <f t="shared" si="12"/>
        <v>1.5215636222077364E-9</v>
      </c>
      <c r="AK49" s="177">
        <f t="shared" si="12"/>
        <v>3.6214329575431443E-10</v>
      </c>
      <c r="AL49" s="177">
        <f>SUM(AL35:AL48)</f>
        <v>3.3345955607663509</v>
      </c>
    </row>
    <row r="50" spans="1:41" s="59" customFormat="1" x14ac:dyDescent="0.2">
      <c r="A50" s="58"/>
      <c r="B50" s="58"/>
    </row>
    <row r="51" spans="1:41" s="7" customFormat="1" x14ac:dyDescent="0.2">
      <c r="A51" s="17" t="s">
        <v>1039</v>
      </c>
      <c r="U51" s="197" t="s">
        <v>550</v>
      </c>
      <c r="V51" s="198" t="s">
        <v>551</v>
      </c>
      <c r="W51" s="198" t="s">
        <v>550</v>
      </c>
      <c r="X51" s="198" t="s">
        <v>551</v>
      </c>
      <c r="Y51" s="199" t="s">
        <v>552</v>
      </c>
      <c r="Z51" s="200"/>
      <c r="AA51" s="201"/>
      <c r="AB51" s="17" t="s">
        <v>105</v>
      </c>
      <c r="AC51" s="17"/>
      <c r="AD51" s="148" t="s">
        <v>549</v>
      </c>
      <c r="AE51" s="149"/>
      <c r="AF51" s="149"/>
      <c r="AG51" s="149" t="s">
        <v>548</v>
      </c>
      <c r="AH51" s="149"/>
      <c r="AI51" s="149"/>
      <c r="AJ51" s="149" t="s">
        <v>547</v>
      </c>
      <c r="AK51" s="149"/>
      <c r="AL51" s="149"/>
      <c r="AM51" s="202" t="s">
        <v>553</v>
      </c>
      <c r="AN51" s="200"/>
      <c r="AO51" s="201"/>
    </row>
    <row r="52" spans="1:41" s="49" customFormat="1" ht="15" customHeight="1" x14ac:dyDescent="0.2">
      <c r="A52" s="57" t="s">
        <v>58</v>
      </c>
      <c r="B52" s="55" t="s">
        <v>289</v>
      </c>
      <c r="C52" s="56" t="s">
        <v>100</v>
      </c>
      <c r="D52" s="56" t="s">
        <v>11</v>
      </c>
      <c r="E52" s="63" t="s">
        <v>291</v>
      </c>
      <c r="F52" s="63"/>
      <c r="G52" s="66" t="s">
        <v>292</v>
      </c>
      <c r="H52" s="66" t="s">
        <v>8</v>
      </c>
      <c r="I52" s="66" t="s">
        <v>217</v>
      </c>
      <c r="J52" s="66" t="s">
        <v>11</v>
      </c>
      <c r="K52" s="66" t="s">
        <v>291</v>
      </c>
      <c r="L52" s="63"/>
      <c r="M52" s="67" t="s">
        <v>293</v>
      </c>
      <c r="N52" s="67" t="s">
        <v>8</v>
      </c>
      <c r="O52" s="67" t="s">
        <v>217</v>
      </c>
      <c r="P52" s="67" t="s">
        <v>11</v>
      </c>
      <c r="Q52" s="67" t="s">
        <v>291</v>
      </c>
      <c r="R52" s="67"/>
      <c r="S52" s="63"/>
      <c r="T52" s="79" t="s">
        <v>275</v>
      </c>
      <c r="U52" s="126" t="s">
        <v>530</v>
      </c>
      <c r="V52" s="114" t="s">
        <v>531</v>
      </c>
      <c r="W52" s="114" t="s">
        <v>532</v>
      </c>
      <c r="X52" s="114" t="s">
        <v>533</v>
      </c>
      <c r="Y52" s="114" t="s">
        <v>534</v>
      </c>
      <c r="Z52" s="114" t="s">
        <v>535</v>
      </c>
      <c r="AA52" s="131" t="s">
        <v>536</v>
      </c>
      <c r="AB52" s="22" t="s">
        <v>545</v>
      </c>
      <c r="AC52" s="23" t="s">
        <v>546</v>
      </c>
      <c r="AD52" s="148" t="s">
        <v>31</v>
      </c>
      <c r="AE52" s="149" t="s">
        <v>32</v>
      </c>
      <c r="AF52" s="150" t="s">
        <v>33</v>
      </c>
      <c r="AG52" s="148" t="s">
        <v>31</v>
      </c>
      <c r="AH52" s="149" t="s">
        <v>32</v>
      </c>
      <c r="AI52" s="150" t="s">
        <v>33</v>
      </c>
      <c r="AJ52" s="148" t="s">
        <v>31</v>
      </c>
      <c r="AK52" s="149" t="s">
        <v>32</v>
      </c>
      <c r="AL52" s="149" t="s">
        <v>33</v>
      </c>
      <c r="AM52" s="159"/>
      <c r="AN52" s="156"/>
      <c r="AO52" s="160"/>
    </row>
    <row r="53" spans="1:41" s="361" customFormat="1" ht="15" customHeight="1" x14ac:dyDescent="0.2">
      <c r="A53" s="420" t="str">
        <f>'36. Generic chemical products'!A73</f>
        <v>Oxidizing agent (H2O2), average</v>
      </c>
      <c r="B53" s="420" t="str">
        <f>'36. Generic chemical products'!B73</f>
        <v>Hydrogen peroxide</v>
      </c>
      <c r="C53" s="420">
        <f>'36. Generic chemical products'!C73</f>
        <v>1</v>
      </c>
      <c r="D53" s="420" t="str">
        <f>'36. Generic chemical products'!D73</f>
        <v>kg</v>
      </c>
      <c r="E53" s="420">
        <f>'36. Generic chemical products'!E73</f>
        <v>1</v>
      </c>
      <c r="F53" s="420">
        <f>'36. Generic chemical products'!F73</f>
        <v>0</v>
      </c>
      <c r="G53" s="420" t="str">
        <f>'36. Generic chemical products'!G73</f>
        <v>Hydrogen peroxide</v>
      </c>
      <c r="H53" s="420" t="str">
        <f>'36. Generic chemical products'!H73</f>
        <v>high. pop.</v>
      </c>
      <c r="I53" s="420">
        <f>'36. Generic chemical products'!I73</f>
        <v>1E-3</v>
      </c>
      <c r="J53" s="420" t="str">
        <f>'36. Generic chemical products'!J73</f>
        <v>kg</v>
      </c>
      <c r="K53" s="420">
        <f>'36. Generic chemical products'!K73</f>
        <v>0</v>
      </c>
      <c r="L53" s="420">
        <f>'36. Generic chemical products'!L73</f>
        <v>0</v>
      </c>
      <c r="M53" s="420" t="str">
        <f>'36. Generic chemical products'!M73</f>
        <v>Hydrogen peroxide</v>
      </c>
      <c r="N53" s="420" t="str">
        <f>'36. Generic chemical products'!N73</f>
        <v>river</v>
      </c>
      <c r="O53" s="420">
        <f>'36. Generic chemical products'!O73</f>
        <v>1.0000000000000002E-2</v>
      </c>
      <c r="P53" s="420" t="str">
        <f>'36. Generic chemical products'!P73</f>
        <v>kg</v>
      </c>
      <c r="Q53" s="420" t="str">
        <f>'36. Generic chemical products'!Q73</f>
        <v>90% of reactive chemicals are degraded during operations.</v>
      </c>
      <c r="R53" s="420">
        <f>'36. Generic chemical products'!R73</f>
        <v>0</v>
      </c>
      <c r="S53" s="420">
        <f>'36. Generic chemical products'!S73</f>
        <v>0</v>
      </c>
      <c r="T53" s="420" t="str">
        <f>'36. Generic chemical products'!T73</f>
        <v>7722-84-1</v>
      </c>
      <c r="U53" s="420">
        <f>'36. Generic chemical products'!U73</f>
        <v>0</v>
      </c>
      <c r="V53" s="420">
        <f>'36. Generic chemical products'!V73</f>
        <v>0</v>
      </c>
      <c r="W53" s="420">
        <f>'36. Generic chemical products'!W73</f>
        <v>0</v>
      </c>
      <c r="X53" s="420">
        <f>'36. Generic chemical products'!X73</f>
        <v>0</v>
      </c>
      <c r="Y53" s="420">
        <f>'36. Generic chemical products'!Y73</f>
        <v>221</v>
      </c>
      <c r="Z53" s="420">
        <f>'36. Generic chemical products'!Z73</f>
        <v>5320</v>
      </c>
      <c r="AA53" s="420" t="str">
        <f>'36. Generic chemical products'!AA73</f>
        <v>COSMEDE</v>
      </c>
      <c r="AB53" s="401">
        <f>$C$11*I53</f>
        <v>5.0000000000000004E-6</v>
      </c>
      <c r="AC53" s="362">
        <f>$C$15*O53</f>
        <v>5.0000000000000009E-5</v>
      </c>
      <c r="AD53" s="402">
        <f>AB53*U53+AC53*W53</f>
        <v>0</v>
      </c>
      <c r="AE53" s="402">
        <f t="shared" ref="AE53:AE64" si="13">AB53*V53+AC53*X53</f>
        <v>0</v>
      </c>
      <c r="AF53" s="403">
        <f t="shared" ref="AF53:AF64" si="14">AB53*Y53+AC53*Z53</f>
        <v>0.26710500000000009</v>
      </c>
      <c r="AG53" s="403">
        <f t="shared" ref="AG53:AG64" si="15">AB53*U53</f>
        <v>0</v>
      </c>
      <c r="AH53" s="403">
        <f t="shared" ref="AH53:AH64" si="16">AB53*V53</f>
        <v>0</v>
      </c>
      <c r="AI53" s="403">
        <f t="shared" ref="AI53:AI64" si="17">AB53*Y53</f>
        <v>1.1050000000000001E-3</v>
      </c>
      <c r="AJ53" s="403">
        <f t="shared" ref="AJ53:AJ64" si="18">AC53*W53</f>
        <v>0</v>
      </c>
      <c r="AK53" s="403">
        <f t="shared" ref="AK53:AK64" si="19">AC53*X53</f>
        <v>0</v>
      </c>
      <c r="AL53" s="403">
        <f t="shared" ref="AL53:AL64" si="20">AC53*Z53</f>
        <v>0.26600000000000007</v>
      </c>
      <c r="AM53" s="404">
        <f t="shared" ref="AM53:AM64" si="21">AG53+AJ53</f>
        <v>0</v>
      </c>
      <c r="AN53" s="405">
        <f t="shared" ref="AN53:AN64" si="22">AH53+AK53</f>
        <v>0</v>
      </c>
      <c r="AO53" s="406">
        <f t="shared" ref="AO53:AO64" si="23">AI53+AL53</f>
        <v>0.26710500000000009</v>
      </c>
    </row>
    <row r="54" spans="1:41" s="8" customFormat="1" ht="15" customHeight="1" x14ac:dyDescent="0.2">
      <c r="A54" s="68" t="str">
        <f>'36. Generic chemical products'!A5</f>
        <v>Detergent, average (Ultravon EL)</v>
      </c>
      <c r="B54" s="68" t="str">
        <f>'36. Generic chemical products'!B5</f>
        <v>Polyacrylic acid, sodium salt</v>
      </c>
      <c r="C54" s="68">
        <f>'36. Generic chemical products'!C5</f>
        <v>0.1</v>
      </c>
      <c r="D54" s="68" t="str">
        <f>'36. Generic chemical products'!D5</f>
        <v>kg</v>
      </c>
      <c r="E54" s="68" t="str">
        <f>'36. Generic chemical products'!E5</f>
        <v>MSDS</v>
      </c>
      <c r="F54" s="68">
        <f>'36. Generic chemical products'!F5</f>
        <v>0</v>
      </c>
      <c r="G54" s="68" t="str">
        <f>'36. Generic chemical products'!G5</f>
        <v>-</v>
      </c>
      <c r="H54" s="68">
        <f>'36. Generic chemical products'!H5</f>
        <v>0</v>
      </c>
      <c r="I54" s="68">
        <f>'36. Generic chemical products'!I5</f>
        <v>0</v>
      </c>
      <c r="J54" s="68">
        <f>'36. Generic chemical products'!J5</f>
        <v>0</v>
      </c>
      <c r="K54" s="68">
        <f>'36. Generic chemical products'!K5</f>
        <v>0</v>
      </c>
      <c r="L54" s="68">
        <f>'36. Generic chemical products'!L5</f>
        <v>0</v>
      </c>
      <c r="M54" s="68" t="str">
        <f>'36. Generic chemical products'!M5</f>
        <v>Polyacrylic acid, sodium salt</v>
      </c>
      <c r="N54" s="68" t="str">
        <f>'36. Generic chemical products'!N5</f>
        <v>river</v>
      </c>
      <c r="O54" s="68">
        <f>'36. Generic chemical products'!O5</f>
        <v>9.9000000000000008E-3</v>
      </c>
      <c r="P54" s="68" t="str">
        <f>'36. Generic chemical products'!P5</f>
        <v>kg</v>
      </c>
      <c r="Q54" s="68" t="str">
        <f>'36. Generic chemical products'!Q5</f>
        <v>1% of polymer content remains as monomers from the production process.</v>
      </c>
      <c r="R54" s="68">
        <f>'36. Generic chemical products'!R5</f>
        <v>0</v>
      </c>
      <c r="S54" s="68">
        <f>'36. Generic chemical products'!S5</f>
        <v>0</v>
      </c>
      <c r="T54" s="68" t="str">
        <f>'36. Generic chemical products'!T5</f>
        <v>9003-04-7</v>
      </c>
      <c r="U54" s="68">
        <f>'36. Generic chemical products'!U5</f>
        <v>0</v>
      </c>
      <c r="V54" s="68">
        <f>'36. Generic chemical products'!V5</f>
        <v>0</v>
      </c>
      <c r="W54" s="68">
        <f>'36. Generic chemical products'!W5</f>
        <v>0</v>
      </c>
      <c r="X54" s="68">
        <f>'36. Generic chemical products'!X5</f>
        <v>0</v>
      </c>
      <c r="Y54" s="68">
        <f>'36. Generic chemical products'!Y5</f>
        <v>7.06</v>
      </c>
      <c r="Z54" s="68">
        <f>'36. Generic chemical products'!Z5</f>
        <v>78.599999999999994</v>
      </c>
      <c r="AA54" s="68" t="str">
        <f>'36. Generic chemical products'!AA5</f>
        <v>COSMEDE</v>
      </c>
      <c r="AB54" s="27">
        <f t="shared" ref="AB54:AB59" si="24">$C$12*I54</f>
        <v>0</v>
      </c>
      <c r="AC54" s="29">
        <f t="shared" ref="AC54:AC59" si="25">$C$16*O54</f>
        <v>4.9500000000000004E-5</v>
      </c>
      <c r="AD54" s="135">
        <f t="shared" ref="AD54:AD64" si="26">AB54*U54+AC54*W54</f>
        <v>0</v>
      </c>
      <c r="AE54" s="135">
        <f t="shared" si="13"/>
        <v>0</v>
      </c>
      <c r="AF54" s="24">
        <f t="shared" si="14"/>
        <v>3.8907E-3</v>
      </c>
      <c r="AG54" s="24">
        <f t="shared" si="15"/>
        <v>0</v>
      </c>
      <c r="AH54" s="24">
        <f t="shared" si="16"/>
        <v>0</v>
      </c>
      <c r="AI54" s="24">
        <f t="shared" si="17"/>
        <v>0</v>
      </c>
      <c r="AJ54" s="24">
        <f t="shared" si="18"/>
        <v>0</v>
      </c>
      <c r="AK54" s="24">
        <f t="shared" si="19"/>
        <v>0</v>
      </c>
      <c r="AL54" s="24">
        <f t="shared" si="20"/>
        <v>3.8907E-3</v>
      </c>
      <c r="AM54" s="161">
        <f t="shared" si="21"/>
        <v>0</v>
      </c>
      <c r="AN54" s="157">
        <f t="shared" si="22"/>
        <v>0</v>
      </c>
      <c r="AO54" s="162">
        <f t="shared" si="23"/>
        <v>3.8907E-3</v>
      </c>
    </row>
    <row r="55" spans="1:41" s="8" customFormat="1" ht="15" customHeight="1" x14ac:dyDescent="0.2">
      <c r="A55" s="68" t="str">
        <f>'36. Generic chemical products'!A6</f>
        <v>Detergent, average (Ultravon EL)</v>
      </c>
      <c r="B55" s="68" t="str">
        <f>'36. Generic chemical products'!B6</f>
        <v>Oxirane, methyl-, polymer with oxirane, decyl ether</v>
      </c>
      <c r="C55" s="68">
        <f>'36. Generic chemical products'!C6</f>
        <v>0.25</v>
      </c>
      <c r="D55" s="68" t="str">
        <f>'36. Generic chemical products'!D6</f>
        <v>kg</v>
      </c>
      <c r="E55" s="68" t="str">
        <f>'36. Generic chemical products'!E6</f>
        <v>MSDS</v>
      </c>
      <c r="F55" s="68">
        <f>'36. Generic chemical products'!F6</f>
        <v>0</v>
      </c>
      <c r="G55" s="68" t="str">
        <f>'36. Generic chemical products'!G6</f>
        <v>-</v>
      </c>
      <c r="H55" s="68">
        <f>'36. Generic chemical products'!H6</f>
        <v>0</v>
      </c>
      <c r="I55" s="68">
        <f>'36. Generic chemical products'!I6</f>
        <v>0</v>
      </c>
      <c r="J55" s="68">
        <f>'36. Generic chemical products'!J6</f>
        <v>0</v>
      </c>
      <c r="K55" s="68">
        <f>'36. Generic chemical products'!K6</f>
        <v>0</v>
      </c>
      <c r="L55" s="68">
        <f>'36. Generic chemical products'!L6</f>
        <v>0</v>
      </c>
      <c r="M55" s="68" t="str">
        <f>'36. Generic chemical products'!M6</f>
        <v>Oxirane, methyl-, polymer with oxirane, decyl ether</v>
      </c>
      <c r="N55" s="68" t="str">
        <f>'36. Generic chemical products'!N6</f>
        <v>river</v>
      </c>
      <c r="O55" s="68">
        <f>'36. Generic chemical products'!O6</f>
        <v>2.5000000000000001E-2</v>
      </c>
      <c r="P55" s="68" t="str">
        <f>'36. Generic chemical products'!P6</f>
        <v>kg</v>
      </c>
      <c r="Q55" s="68">
        <f>'36. Generic chemical products'!Q6</f>
        <v>0</v>
      </c>
      <c r="R55" s="68">
        <f>'36. Generic chemical products'!R6</f>
        <v>0</v>
      </c>
      <c r="S55" s="68">
        <f>'36. Generic chemical products'!S6</f>
        <v>0</v>
      </c>
      <c r="T55" s="68" t="str">
        <f>'36. Generic chemical products'!T6</f>
        <v>37251-67-5</v>
      </c>
      <c r="U55" s="68">
        <f>'36. Generic chemical products'!U6</f>
        <v>0</v>
      </c>
      <c r="V55" s="68">
        <f>'36. Generic chemical products'!V6</f>
        <v>1.2009414857886904E-7</v>
      </c>
      <c r="W55" s="68">
        <f>'36. Generic chemical products'!W6</f>
        <v>0</v>
      </c>
      <c r="X55" s="68">
        <f>'36. Generic chemical products'!X6</f>
        <v>3.2843909509658706E-7</v>
      </c>
      <c r="Y55" s="68">
        <f>'36. Generic chemical products'!Y6</f>
        <v>14.526941022240393</v>
      </c>
      <c r="Z55" s="68">
        <f>'36. Generic chemical products'!Z6</f>
        <v>111.251141519207</v>
      </c>
      <c r="AA55" s="68" t="str">
        <f>'36. Generic chemical products'!AA6</f>
        <v>Roos 2017</v>
      </c>
      <c r="AB55" s="27">
        <f t="shared" si="24"/>
        <v>0</v>
      </c>
      <c r="AC55" s="29">
        <f t="shared" si="25"/>
        <v>1.25E-4</v>
      </c>
      <c r="AD55" s="135">
        <f t="shared" si="26"/>
        <v>0</v>
      </c>
      <c r="AE55" s="135">
        <f t="shared" si="13"/>
        <v>4.105488688707338E-11</v>
      </c>
      <c r="AF55" s="24">
        <f t="shared" si="14"/>
        <v>1.3906392689900874E-2</v>
      </c>
      <c r="AG55" s="24">
        <f t="shared" si="15"/>
        <v>0</v>
      </c>
      <c r="AH55" s="24">
        <f t="shared" si="16"/>
        <v>0</v>
      </c>
      <c r="AI55" s="24">
        <f t="shared" si="17"/>
        <v>0</v>
      </c>
      <c r="AJ55" s="24">
        <f t="shared" si="18"/>
        <v>0</v>
      </c>
      <c r="AK55" s="24">
        <f t="shared" si="19"/>
        <v>4.105488688707338E-11</v>
      </c>
      <c r="AL55" s="24">
        <f t="shared" si="20"/>
        <v>1.3906392689900874E-2</v>
      </c>
      <c r="AM55" s="161">
        <f t="shared" si="21"/>
        <v>0</v>
      </c>
      <c r="AN55" s="157">
        <f t="shared" si="22"/>
        <v>4.105488688707338E-11</v>
      </c>
      <c r="AO55" s="162">
        <f t="shared" si="23"/>
        <v>1.3906392689900874E-2</v>
      </c>
    </row>
    <row r="56" spans="1:41" s="8" customFormat="1" ht="15" customHeight="1" x14ac:dyDescent="0.2">
      <c r="A56" s="68" t="str">
        <f>'36. Generic chemical products'!A7</f>
        <v>Detergent, average (Ultravon EL)</v>
      </c>
      <c r="B56" s="68" t="str">
        <f>'36. Generic chemical products'!B7</f>
        <v>Ethoxylated fatty alcohol (&gt;6 EO)</v>
      </c>
      <c r="C56" s="68">
        <f>'36. Generic chemical products'!C7</f>
        <v>0.1</v>
      </c>
      <c r="D56" s="68" t="str">
        <f>'36. Generic chemical products'!D7</f>
        <v>kg</v>
      </c>
      <c r="E56" s="68" t="str">
        <f>'36. Generic chemical products'!E7</f>
        <v>MSDS</v>
      </c>
      <c r="F56" s="68">
        <f>'36. Generic chemical products'!F7</f>
        <v>0</v>
      </c>
      <c r="G56" s="68" t="str">
        <f>'36. Generic chemical products'!G7</f>
        <v>-</v>
      </c>
      <c r="H56" s="68">
        <f>'36. Generic chemical products'!H7</f>
        <v>0</v>
      </c>
      <c r="I56" s="68">
        <f>'36. Generic chemical products'!I7</f>
        <v>0</v>
      </c>
      <c r="J56" s="68">
        <f>'36. Generic chemical products'!J7</f>
        <v>0</v>
      </c>
      <c r="K56" s="68">
        <f>'36. Generic chemical products'!K7</f>
        <v>0</v>
      </c>
      <c r="L56" s="68">
        <f>'36. Generic chemical products'!L7</f>
        <v>0</v>
      </c>
      <c r="M56" s="68" t="str">
        <f>'36. Generic chemical products'!M7</f>
        <v>Alcohols, c12-14, ethoxylated</v>
      </c>
      <c r="N56" s="68" t="str">
        <f>'36. Generic chemical products'!N7</f>
        <v>river</v>
      </c>
      <c r="O56" s="68">
        <f>'36. Generic chemical products'!O7</f>
        <v>1.0000000000000002E-2</v>
      </c>
      <c r="P56" s="68" t="str">
        <f>'36. Generic chemical products'!P7</f>
        <v>kg</v>
      </c>
      <c r="Q56" s="68">
        <f>'36. Generic chemical products'!Q7</f>
        <v>0</v>
      </c>
      <c r="R56" s="68">
        <f>'36. Generic chemical products'!R7</f>
        <v>0</v>
      </c>
      <c r="S56" s="68">
        <f>'36. Generic chemical products'!S7</f>
        <v>0</v>
      </c>
      <c r="T56" s="68" t="str">
        <f>'36. Generic chemical products'!T7</f>
        <v>69011-36-5</v>
      </c>
      <c r="U56" s="68">
        <f>'36. Generic chemical products'!U7</f>
        <v>0</v>
      </c>
      <c r="V56" s="68">
        <f>'36. Generic chemical products'!V7</f>
        <v>0</v>
      </c>
      <c r="W56" s="68">
        <f>'36. Generic chemical products'!W7</f>
        <v>0</v>
      </c>
      <c r="X56" s="68">
        <f>'36. Generic chemical products'!X7</f>
        <v>0</v>
      </c>
      <c r="Y56" s="68">
        <f>'36. Generic chemical products'!Y7</f>
        <v>47</v>
      </c>
      <c r="Z56" s="68">
        <f>'36. Generic chemical products'!Z7</f>
        <v>913</v>
      </c>
      <c r="AA56" s="68" t="str">
        <f>'36. Generic chemical products'!AA7</f>
        <v>COSMEDE</v>
      </c>
      <c r="AB56" s="27">
        <f t="shared" si="24"/>
        <v>0</v>
      </c>
      <c r="AC56" s="29">
        <f t="shared" si="25"/>
        <v>5.0000000000000009E-5</v>
      </c>
      <c r="AD56" s="135">
        <f t="shared" si="26"/>
        <v>0</v>
      </c>
      <c r="AE56" s="135">
        <f t="shared" si="13"/>
        <v>0</v>
      </c>
      <c r="AF56" s="24">
        <f t="shared" si="14"/>
        <v>4.565000000000001E-2</v>
      </c>
      <c r="AG56" s="24">
        <f t="shared" si="15"/>
        <v>0</v>
      </c>
      <c r="AH56" s="24">
        <f t="shared" si="16"/>
        <v>0</v>
      </c>
      <c r="AI56" s="24">
        <f t="shared" si="17"/>
        <v>0</v>
      </c>
      <c r="AJ56" s="24">
        <f t="shared" si="18"/>
        <v>0</v>
      </c>
      <c r="AK56" s="24">
        <f t="shared" si="19"/>
        <v>0</v>
      </c>
      <c r="AL56" s="24">
        <f t="shared" si="20"/>
        <v>4.565000000000001E-2</v>
      </c>
      <c r="AM56" s="161">
        <f t="shared" si="21"/>
        <v>0</v>
      </c>
      <c r="AN56" s="157">
        <f t="shared" si="22"/>
        <v>0</v>
      </c>
      <c r="AO56" s="162">
        <f t="shared" si="23"/>
        <v>4.565000000000001E-2</v>
      </c>
    </row>
    <row r="57" spans="1:41" s="8" customFormat="1" ht="15" customHeight="1" x14ac:dyDescent="0.2">
      <c r="A57" s="68" t="str">
        <f>'36. Generic chemical products'!A8</f>
        <v>Detergent, average (Ultravon EL)</v>
      </c>
      <c r="B57" s="68" t="str">
        <f>'36. Generic chemical products'!B8</f>
        <v>Sodium mono(2-ethylhexyl)estersulfate</v>
      </c>
      <c r="C57" s="68">
        <f>'36. Generic chemical products'!C8</f>
        <v>0.05</v>
      </c>
      <c r="D57" s="68" t="str">
        <f>'36. Generic chemical products'!D8</f>
        <v>kg</v>
      </c>
      <c r="E57" s="68" t="str">
        <f>'36. Generic chemical products'!E8</f>
        <v>MSDS</v>
      </c>
      <c r="F57" s="68">
        <f>'36. Generic chemical products'!F8</f>
        <v>0</v>
      </c>
      <c r="G57" s="68" t="str">
        <f>'36. Generic chemical products'!G8</f>
        <v>-</v>
      </c>
      <c r="H57" s="68">
        <f>'36. Generic chemical products'!H8</f>
        <v>0</v>
      </c>
      <c r="I57" s="68">
        <f>'36. Generic chemical products'!I8</f>
        <v>0</v>
      </c>
      <c r="J57" s="68">
        <f>'36. Generic chemical products'!J8</f>
        <v>0</v>
      </c>
      <c r="K57" s="68">
        <f>'36. Generic chemical products'!K8</f>
        <v>0</v>
      </c>
      <c r="L57" s="68">
        <f>'36. Generic chemical products'!L8</f>
        <v>0</v>
      </c>
      <c r="M57" s="68" t="str">
        <f>'36. Generic chemical products'!M8</f>
        <v>Sodium mono(2-ethylhexyl)estersulfate</v>
      </c>
      <c r="N57" s="68" t="str">
        <f>'36. Generic chemical products'!N8</f>
        <v>river</v>
      </c>
      <c r="O57" s="68">
        <f>'36. Generic chemical products'!O8</f>
        <v>5.000000000000001E-3</v>
      </c>
      <c r="P57" s="68" t="str">
        <f>'36. Generic chemical products'!P8</f>
        <v>kg</v>
      </c>
      <c r="Q57" s="68">
        <f>'36. Generic chemical products'!Q8</f>
        <v>0</v>
      </c>
      <c r="R57" s="68">
        <f>'36. Generic chemical products'!R8</f>
        <v>0</v>
      </c>
      <c r="S57" s="68">
        <f>'36. Generic chemical products'!S8</f>
        <v>0</v>
      </c>
      <c r="T57" s="68" t="str">
        <f>'36. Generic chemical products'!T8</f>
        <v>126-92-1</v>
      </c>
      <c r="U57" s="68">
        <f>'36. Generic chemical products'!U8</f>
        <v>0</v>
      </c>
      <c r="V57" s="68">
        <f>'36. Generic chemical products'!V8</f>
        <v>0</v>
      </c>
      <c r="W57" s="68">
        <f>'36. Generic chemical products'!W8</f>
        <v>0</v>
      </c>
      <c r="X57" s="68">
        <f>'36. Generic chemical products'!X8</f>
        <v>0</v>
      </c>
      <c r="Y57" s="68">
        <f>'36. Generic chemical products'!Y8</f>
        <v>109.72</v>
      </c>
      <c r="Z57" s="68">
        <f>'36. Generic chemical products'!Z8</f>
        <v>110</v>
      </c>
      <c r="AA57" s="68" t="str">
        <f>'36. Generic chemical products'!AA8</f>
        <v>COSMEDE</v>
      </c>
      <c r="AB57" s="27">
        <f t="shared" si="24"/>
        <v>0</v>
      </c>
      <c r="AC57" s="29">
        <f t="shared" si="25"/>
        <v>2.5000000000000005E-5</v>
      </c>
      <c r="AD57" s="135">
        <f t="shared" si="26"/>
        <v>0</v>
      </c>
      <c r="AE57" s="135">
        <f t="shared" si="13"/>
        <v>0</v>
      </c>
      <c r="AF57" s="24">
        <f t="shared" si="14"/>
        <v>2.7500000000000007E-3</v>
      </c>
      <c r="AG57" s="24">
        <f t="shared" si="15"/>
        <v>0</v>
      </c>
      <c r="AH57" s="24">
        <f t="shared" si="16"/>
        <v>0</v>
      </c>
      <c r="AI57" s="24">
        <f t="shared" si="17"/>
        <v>0</v>
      </c>
      <c r="AJ57" s="24">
        <f t="shared" si="18"/>
        <v>0</v>
      </c>
      <c r="AK57" s="24">
        <f t="shared" si="19"/>
        <v>0</v>
      </c>
      <c r="AL57" s="24">
        <f t="shared" si="20"/>
        <v>2.7500000000000007E-3</v>
      </c>
      <c r="AM57" s="161">
        <f t="shared" si="21"/>
        <v>0</v>
      </c>
      <c r="AN57" s="157">
        <f t="shared" si="22"/>
        <v>0</v>
      </c>
      <c r="AO57" s="162">
        <f t="shared" si="23"/>
        <v>2.7500000000000007E-3</v>
      </c>
    </row>
    <row r="58" spans="1:41" s="8" customFormat="1" ht="15" customHeight="1" x14ac:dyDescent="0.2">
      <c r="A58" s="68" t="str">
        <f>'36. Generic chemical products'!A9</f>
        <v>Detergent, average (Ultravon EL)</v>
      </c>
      <c r="B58" s="68" t="str">
        <f>'36. Generic chemical products'!B9</f>
        <v>Ethylene oxide</v>
      </c>
      <c r="C58" s="68">
        <f>'36. Generic chemical products'!C9</f>
        <v>0</v>
      </c>
      <c r="D58" s="68">
        <f>'36. Generic chemical products'!D9</f>
        <v>0</v>
      </c>
      <c r="E58" s="68" t="str">
        <f>'36. Generic chemical products'!E9</f>
        <v>&lt;= 0.1% in alcohol ethoxylates</v>
      </c>
      <c r="F58" s="68">
        <f>'36. Generic chemical products'!F9</f>
        <v>0</v>
      </c>
      <c r="G58" s="68" t="str">
        <f>'36. Generic chemical products'!G9</f>
        <v>Ethylene oxide</v>
      </c>
      <c r="H58" s="68" t="str">
        <f>'36. Generic chemical products'!H9</f>
        <v>high. pop.</v>
      </c>
      <c r="I58" s="68">
        <f>'36. Generic chemical products'!I9</f>
        <v>1.0000000000000001E-7</v>
      </c>
      <c r="J58" s="68" t="str">
        <f>'36. Generic chemical products'!J9</f>
        <v>kg</v>
      </c>
      <c r="K58" s="68">
        <f>'36. Generic chemical products'!K9</f>
        <v>0</v>
      </c>
      <c r="L58" s="68">
        <f>'36. Generic chemical products'!L9</f>
        <v>0</v>
      </c>
      <c r="M58" s="68" t="str">
        <f>'36. Generic chemical products'!M9</f>
        <v>Ethylene oxide</v>
      </c>
      <c r="N58" s="68" t="str">
        <f>'36. Generic chemical products'!N9</f>
        <v>river</v>
      </c>
      <c r="O58" s="68">
        <f>'36. Generic chemical products'!O9</f>
        <v>1.0000000000000001E-5</v>
      </c>
      <c r="P58" s="68" t="str">
        <f>'36. Generic chemical products'!P9</f>
        <v>kg</v>
      </c>
      <c r="Q58" s="68" t="str">
        <f>'36. Generic chemical products'!Q9</f>
        <v>&lt;= 0.001 in alcohol ethoxylates</v>
      </c>
      <c r="R58" s="68">
        <f>'36. Generic chemical products'!R9</f>
        <v>0</v>
      </c>
      <c r="S58" s="68">
        <f>'36. Generic chemical products'!S9</f>
        <v>0</v>
      </c>
      <c r="T58" s="68" t="str">
        <f>'36. Generic chemical products'!T9</f>
        <v>75-21-8</v>
      </c>
      <c r="U58" s="68">
        <f>'36. Generic chemical products'!U9</f>
        <v>1.0252176328593382E-6</v>
      </c>
      <c r="V58" s="68">
        <f>'36. Generic chemical products'!V9</f>
        <v>0</v>
      </c>
      <c r="W58" s="68">
        <f>'36. Generic chemical products'!W9</f>
        <v>8.6533271568247147E-7</v>
      </c>
      <c r="X58" s="68">
        <f>'36. Generic chemical products'!X9</f>
        <v>0</v>
      </c>
      <c r="Y58" s="68">
        <f>'36. Generic chemical products'!Y9</f>
        <v>0.65406517859613422</v>
      </c>
      <c r="Z58" s="68">
        <f>'36. Generic chemical products'!Z9</f>
        <v>11.248588270889815</v>
      </c>
      <c r="AA58" s="68" t="str">
        <f>'36. Generic chemical products'!AA9</f>
        <v>USEtox</v>
      </c>
      <c r="AB58" s="27">
        <f t="shared" si="24"/>
        <v>5.0000000000000003E-10</v>
      </c>
      <c r="AC58" s="29">
        <f t="shared" si="25"/>
        <v>5.0000000000000004E-8</v>
      </c>
      <c r="AD58" s="135">
        <f t="shared" si="26"/>
        <v>4.3779244600553245E-14</v>
      </c>
      <c r="AE58" s="135">
        <f t="shared" si="13"/>
        <v>0</v>
      </c>
      <c r="AF58" s="24">
        <f t="shared" si="14"/>
        <v>5.6275644613378898E-7</v>
      </c>
      <c r="AG58" s="24">
        <f t="shared" si="15"/>
        <v>5.1260881642966916E-16</v>
      </c>
      <c r="AH58" s="24">
        <f t="shared" si="16"/>
        <v>0</v>
      </c>
      <c r="AI58" s="24">
        <f t="shared" si="17"/>
        <v>3.2703258929806711E-10</v>
      </c>
      <c r="AJ58" s="24">
        <f t="shared" si="18"/>
        <v>4.3266635784123576E-14</v>
      </c>
      <c r="AK58" s="24">
        <f t="shared" si="19"/>
        <v>0</v>
      </c>
      <c r="AL58" s="24">
        <f t="shared" si="20"/>
        <v>5.6242941354449086E-7</v>
      </c>
      <c r="AM58" s="161">
        <f t="shared" si="21"/>
        <v>4.3779244600553245E-14</v>
      </c>
      <c r="AN58" s="157">
        <f t="shared" si="22"/>
        <v>0</v>
      </c>
      <c r="AO58" s="162">
        <f t="shared" si="23"/>
        <v>5.6275644613378898E-7</v>
      </c>
    </row>
    <row r="59" spans="1:41" s="49" customFormat="1" ht="15" customHeight="1" x14ac:dyDescent="0.2">
      <c r="A59" s="193" t="str">
        <f>'36. Generic chemical products'!A10</f>
        <v>Detergent, average (Ultravon EL)</v>
      </c>
      <c r="B59" s="193" t="str">
        <f>'36. Generic chemical products'!B10</f>
        <v xml:space="preserve"> </v>
      </c>
      <c r="C59" s="193">
        <f>'36. Generic chemical products'!C10</f>
        <v>0</v>
      </c>
      <c r="D59" s="193">
        <f>'36. Generic chemical products'!D10</f>
        <v>0</v>
      </c>
      <c r="E59" s="193" t="str">
        <f>'36. Generic chemical products'!E10</f>
        <v>Common breakdown product of of acrylics, 0.001 % assumed</v>
      </c>
      <c r="F59" s="193">
        <f>'36. Generic chemical products'!F10</f>
        <v>0</v>
      </c>
      <c r="G59" s="193" t="str">
        <f>'36. Generic chemical products'!G10</f>
        <v>Formaldehyde</v>
      </c>
      <c r="H59" s="193" t="str">
        <f>'36. Generic chemical products'!H10</f>
        <v>high. pop.</v>
      </c>
      <c r="I59" s="193">
        <f>'36. Generic chemical products'!I10</f>
        <v>1.0000000000000001E-7</v>
      </c>
      <c r="J59" s="193" t="str">
        <f>'36. Generic chemical products'!J10</f>
        <v>kg</v>
      </c>
      <c r="K59" s="193">
        <f>'36. Generic chemical products'!K10</f>
        <v>0</v>
      </c>
      <c r="L59" s="193">
        <f>'36. Generic chemical products'!L10</f>
        <v>0</v>
      </c>
      <c r="M59" s="193" t="str">
        <f>'36. Generic chemical products'!M10</f>
        <v>Formaldehyde</v>
      </c>
      <c r="N59" s="193" t="str">
        <f>'36. Generic chemical products'!N10</f>
        <v>river</v>
      </c>
      <c r="O59" s="193">
        <f>'36. Generic chemical products'!O10</f>
        <v>1.0000000000000002E-6</v>
      </c>
      <c r="P59" s="193" t="str">
        <f>'36. Generic chemical products'!P10</f>
        <v>kg</v>
      </c>
      <c r="Q59" s="193" t="str">
        <f>'36. Generic chemical products'!Q10</f>
        <v xml:space="preserve">0.1 % of the content is degraded to common breakdown products. 90% of reactive chemicals are degraded during operations. </v>
      </c>
      <c r="R59" s="193">
        <f>'36. Generic chemical products'!R10</f>
        <v>0</v>
      </c>
      <c r="S59" s="193">
        <f>'36. Generic chemical products'!S10</f>
        <v>0</v>
      </c>
      <c r="T59" s="193" t="str">
        <f>'36. Generic chemical products'!T10</f>
        <v>50-00-0</v>
      </c>
      <c r="U59" s="193">
        <f>'36. Generic chemical products'!U10</f>
        <v>2.5208446330720887E-5</v>
      </c>
      <c r="V59" s="193">
        <f>'36. Generic chemical products'!V10</f>
        <v>2.6504960021309262E-7</v>
      </c>
      <c r="W59" s="193">
        <f>'36. Generic chemical products'!W10</f>
        <v>1.4222228897488039E-7</v>
      </c>
      <c r="X59" s="193">
        <f>'36. Generic chemical products'!X10</f>
        <v>3.170874313501273E-7</v>
      </c>
      <c r="Y59" s="193">
        <f>'36. Generic chemical products'!Y10</f>
        <v>17.989178582912412</v>
      </c>
      <c r="Z59" s="193">
        <f>'36. Generic chemical products'!Z10</f>
        <v>290.05086067463066</v>
      </c>
      <c r="AA59" s="193" t="str">
        <f>'36. Generic chemical products'!AA10</f>
        <v>USEtox</v>
      </c>
      <c r="AB59" s="28">
        <f t="shared" si="24"/>
        <v>5.0000000000000003E-10</v>
      </c>
      <c r="AC59" s="146">
        <f t="shared" si="25"/>
        <v>5.0000000000000009E-9</v>
      </c>
      <c r="AD59" s="147">
        <f t="shared" si="26"/>
        <v>1.3315334610234846E-14</v>
      </c>
      <c r="AE59" s="147">
        <f t="shared" si="13"/>
        <v>1.7179619568571831E-15</v>
      </c>
      <c r="AF59" s="25">
        <f t="shared" si="14"/>
        <v>1.4592488926646098E-6</v>
      </c>
      <c r="AG59" s="25">
        <f t="shared" si="15"/>
        <v>1.2604223165360444E-14</v>
      </c>
      <c r="AH59" s="25">
        <f t="shared" si="16"/>
        <v>1.3252480010654632E-16</v>
      </c>
      <c r="AI59" s="25">
        <f t="shared" si="17"/>
        <v>8.9945892914562072E-9</v>
      </c>
      <c r="AJ59" s="25">
        <f t="shared" si="18"/>
        <v>7.1111144487440207E-16</v>
      </c>
      <c r="AK59" s="25">
        <f t="shared" si="19"/>
        <v>1.5854371567506369E-15</v>
      </c>
      <c r="AL59" s="25">
        <f t="shared" si="20"/>
        <v>1.4502543033731536E-6</v>
      </c>
      <c r="AM59" s="163">
        <f t="shared" si="21"/>
        <v>1.3315334610234846E-14</v>
      </c>
      <c r="AN59" s="164">
        <f t="shared" si="22"/>
        <v>1.7179619568571831E-15</v>
      </c>
      <c r="AO59" s="165">
        <f t="shared" si="23"/>
        <v>1.4592488926646098E-6</v>
      </c>
    </row>
    <row r="60" spans="1:41" s="49" customFormat="1" ht="15" customHeight="1" x14ac:dyDescent="0.2">
      <c r="A60" s="136" t="str">
        <f>'36. Generic chemical products'!A22</f>
        <v>Sequestering agent/complex binder, average (Invatex)</v>
      </c>
      <c r="B60" s="136" t="str">
        <f>'36. Generic chemical products'!B22</f>
        <v>Phosphonic acid, disodium salt</v>
      </c>
      <c r="C60" s="136">
        <f>'36. Generic chemical products'!C22</f>
        <v>0.3</v>
      </c>
      <c r="D60" s="136" t="str">
        <f>'36. Generic chemical products'!D22</f>
        <v>kg</v>
      </c>
      <c r="E60" s="136" t="str">
        <f>'36. Generic chemical products'!E22</f>
        <v>MSDS</v>
      </c>
      <c r="F60" s="136">
        <f>'36. Generic chemical products'!F22</f>
        <v>0</v>
      </c>
      <c r="G60" s="136" t="str">
        <f>'36. Generic chemical products'!G22</f>
        <v>Phosphonic acid</v>
      </c>
      <c r="H60" s="136" t="str">
        <f>'36. Generic chemical products'!H22</f>
        <v>high. pop.</v>
      </c>
      <c r="I60" s="136">
        <f>'36. Generic chemical products'!I22</f>
        <v>2.9999999999999997E-4</v>
      </c>
      <c r="J60" s="136">
        <f>'36. Generic chemical products'!J22</f>
        <v>0</v>
      </c>
      <c r="K60" s="136">
        <f>'36. Generic chemical products'!K22</f>
        <v>0</v>
      </c>
      <c r="L60" s="136">
        <f>'36. Generic chemical products'!L22</f>
        <v>0</v>
      </c>
      <c r="M60" s="136" t="str">
        <f>'36. Generic chemical products'!M22</f>
        <v>Phosphonic acid</v>
      </c>
      <c r="N60" s="136" t="str">
        <f>'36. Generic chemical products'!N22</f>
        <v>river</v>
      </c>
      <c r="O60" s="136">
        <f>'36. Generic chemical products'!O22</f>
        <v>0.03</v>
      </c>
      <c r="P60" s="136" t="str">
        <f>'36. Generic chemical products'!P22</f>
        <v>kg</v>
      </c>
      <c r="Q60" s="136">
        <f>'36. Generic chemical products'!Q22</f>
        <v>0</v>
      </c>
      <c r="R60" s="136">
        <f>'36. Generic chemical products'!R22</f>
        <v>0</v>
      </c>
      <c r="S60" s="136">
        <f>'36. Generic chemical products'!S22</f>
        <v>0</v>
      </c>
      <c r="T60" s="136" t="str">
        <f>'36. Generic chemical products'!T22</f>
        <v>13708-85-5</v>
      </c>
      <c r="U60" s="136">
        <f>'36. Generic chemical products'!U22</f>
        <v>0</v>
      </c>
      <c r="V60" s="136">
        <f>'36. Generic chemical products'!V22</f>
        <v>2.5624272316803493E-8</v>
      </c>
      <c r="W60" s="136">
        <f>'36. Generic chemical products'!W22</f>
        <v>0</v>
      </c>
      <c r="X60" s="136">
        <f>'36. Generic chemical products'!X22</f>
        <v>6.1179997974786175E-9</v>
      </c>
      <c r="Y60" s="136">
        <f>'36. Generic chemical products'!Y22</f>
        <v>95.727827940780713</v>
      </c>
      <c r="Z60" s="136">
        <f>'36. Generic chemical products'!Z22</f>
        <v>451.93033608164546</v>
      </c>
      <c r="AA60" s="136" t="str">
        <f>'36. Generic chemical products'!AA22</f>
        <v>Roos 2017</v>
      </c>
      <c r="AB60" s="28">
        <f>$C$13*I60</f>
        <v>1.4999999999999998E-6</v>
      </c>
      <c r="AC60" s="146">
        <f>$C$17*O60</f>
        <v>1.4999999999999999E-4</v>
      </c>
      <c r="AD60" s="147">
        <f t="shared" si="26"/>
        <v>0</v>
      </c>
      <c r="AE60" s="147">
        <f t="shared" si="13"/>
        <v>9.5613637809699787E-13</v>
      </c>
      <c r="AF60" s="25">
        <f t="shared" si="14"/>
        <v>6.793314215415798E-2</v>
      </c>
      <c r="AG60" s="25">
        <f t="shared" si="15"/>
        <v>0</v>
      </c>
      <c r="AH60" s="25">
        <f t="shared" si="16"/>
        <v>3.8436408475205235E-14</v>
      </c>
      <c r="AI60" s="25">
        <f t="shared" si="17"/>
        <v>1.4359174191117105E-4</v>
      </c>
      <c r="AJ60" s="25">
        <f t="shared" si="18"/>
        <v>0</v>
      </c>
      <c r="AK60" s="25">
        <f t="shared" si="19"/>
        <v>9.1769996962179263E-13</v>
      </c>
      <c r="AL60" s="25">
        <f t="shared" si="20"/>
        <v>6.778955041224681E-2</v>
      </c>
      <c r="AM60" s="163">
        <f t="shared" si="21"/>
        <v>0</v>
      </c>
      <c r="AN60" s="164">
        <f t="shared" si="22"/>
        <v>9.5613637809699787E-13</v>
      </c>
      <c r="AO60" s="165">
        <f t="shared" si="23"/>
        <v>6.793314215415798E-2</v>
      </c>
    </row>
    <row r="61" spans="1:41" s="8" customFormat="1" ht="15" customHeight="1" x14ac:dyDescent="0.2">
      <c r="A61" s="68" t="str">
        <f>'36. Generic chemical products'!A46</f>
        <v>Wetting agent for better printability (Ultravon PRE)</v>
      </c>
      <c r="B61" s="68" t="str">
        <f>'36. Generic chemical products'!B46</f>
        <v>Ethoxylated fatty alcohol</v>
      </c>
      <c r="C61" s="68">
        <f>'36. Generic chemical products'!C46</f>
        <v>0.7</v>
      </c>
      <c r="D61" s="68" t="str">
        <f>'36. Generic chemical products'!D46</f>
        <v>kg</v>
      </c>
      <c r="E61" s="68" t="str">
        <f>'36. Generic chemical products'!E46</f>
        <v>MSDS</v>
      </c>
      <c r="F61" s="68">
        <f>'36. Generic chemical products'!F46</f>
        <v>0</v>
      </c>
      <c r="G61" s="68" t="str">
        <f>'36. Generic chemical products'!G46</f>
        <v>Alcohols, ethoxylated</v>
      </c>
      <c r="H61" s="68" t="str">
        <f>'36. Generic chemical products'!H46</f>
        <v>high. pop.</v>
      </c>
      <c r="I61" s="68">
        <f>'36. Generic chemical products'!I46</f>
        <v>6.9999999999999999E-4</v>
      </c>
      <c r="J61" s="68" t="str">
        <f>'36. Generic chemical products'!J46</f>
        <v>kg</v>
      </c>
      <c r="K61" s="68">
        <f>'36. Generic chemical products'!K46</f>
        <v>0</v>
      </c>
      <c r="L61" s="68">
        <f>'36. Generic chemical products'!L46</f>
        <v>0</v>
      </c>
      <c r="M61" s="68" t="str">
        <f>'36. Generic chemical products'!M46</f>
        <v>Alcohols, ethoxylated</v>
      </c>
      <c r="N61" s="68" t="str">
        <f>'36. Generic chemical products'!N46</f>
        <v>river</v>
      </c>
      <c r="O61" s="68">
        <f>'36. Generic chemical products'!O46</f>
        <v>6.9999999999999993E-2</v>
      </c>
      <c r="P61" s="68" t="str">
        <f>'36. Generic chemical products'!P46</f>
        <v>kg</v>
      </c>
      <c r="Q61" s="68">
        <f>'36. Generic chemical products'!Q46</f>
        <v>0</v>
      </c>
      <c r="R61" s="68">
        <f>'36. Generic chemical products'!R46</f>
        <v>0</v>
      </c>
      <c r="S61" s="68">
        <f>'36. Generic chemical products'!S46</f>
        <v>0</v>
      </c>
      <c r="T61" s="68" t="str">
        <f>'36. Generic chemical products'!T46</f>
        <v>61827-42-7</v>
      </c>
      <c r="U61" s="68">
        <f>'36. Generic chemical products'!U46</f>
        <v>0</v>
      </c>
      <c r="V61" s="68">
        <f>'36. Generic chemical products'!V46</f>
        <v>0</v>
      </c>
      <c r="W61" s="68">
        <f>'36. Generic chemical products'!W46</f>
        <v>0</v>
      </c>
      <c r="X61" s="68">
        <f>'36. Generic chemical products'!X46</f>
        <v>0</v>
      </c>
      <c r="Y61" s="68">
        <f>'36. Generic chemical products'!Y46</f>
        <v>87</v>
      </c>
      <c r="Z61" s="68">
        <f>'36. Generic chemical products'!Z46</f>
        <v>2740</v>
      </c>
      <c r="AA61" s="68" t="str">
        <f>'36. Generic chemical products'!AA46</f>
        <v>COSMEDE</v>
      </c>
      <c r="AB61" s="27">
        <f>$C$14*I61</f>
        <v>3.4999999999999999E-6</v>
      </c>
      <c r="AC61" s="29">
        <f>$C$18*O61</f>
        <v>3.5E-4</v>
      </c>
      <c r="AD61" s="135">
        <f t="shared" si="26"/>
        <v>0</v>
      </c>
      <c r="AE61" s="135">
        <f t="shared" si="13"/>
        <v>0</v>
      </c>
      <c r="AF61" s="24">
        <f t="shared" si="14"/>
        <v>0.9593045</v>
      </c>
      <c r="AG61" s="24">
        <f t="shared" si="15"/>
        <v>0</v>
      </c>
      <c r="AH61" s="24">
        <f t="shared" si="16"/>
        <v>0</v>
      </c>
      <c r="AI61" s="24">
        <f t="shared" si="17"/>
        <v>3.0449999999999997E-4</v>
      </c>
      <c r="AJ61" s="24">
        <f t="shared" si="18"/>
        <v>0</v>
      </c>
      <c r="AK61" s="24">
        <f t="shared" si="19"/>
        <v>0</v>
      </c>
      <c r="AL61" s="24">
        <f t="shared" si="20"/>
        <v>0.95899999999999996</v>
      </c>
      <c r="AM61" s="161">
        <f t="shared" si="21"/>
        <v>0</v>
      </c>
      <c r="AN61" s="157">
        <f t="shared" si="22"/>
        <v>0</v>
      </c>
      <c r="AO61" s="162">
        <f t="shared" si="23"/>
        <v>0.9593045</v>
      </c>
    </row>
    <row r="62" spans="1:41" s="8" customFormat="1" ht="15" customHeight="1" x14ac:dyDescent="0.2">
      <c r="A62" s="68" t="str">
        <f>'36. Generic chemical products'!A47</f>
        <v>Wetting agent for better printability (Ultravon PRE)</v>
      </c>
      <c r="B62" s="68" t="str">
        <f>'36. Generic chemical products'!B47</f>
        <v>2-metyl-2,4-pentandiol</v>
      </c>
      <c r="C62" s="68">
        <f>'36. Generic chemical products'!C47</f>
        <v>0.15</v>
      </c>
      <c r="D62" s="68" t="str">
        <f>'36. Generic chemical products'!D47</f>
        <v>kg</v>
      </c>
      <c r="E62" s="68" t="str">
        <f>'36. Generic chemical products'!E47</f>
        <v>MSDS</v>
      </c>
      <c r="F62" s="68">
        <f>'36. Generic chemical products'!F47</f>
        <v>0</v>
      </c>
      <c r="G62" s="68" t="str">
        <f>'36. Generic chemical products'!G47</f>
        <v>2-metyl-2,4-pentandiol</v>
      </c>
      <c r="H62" s="68" t="str">
        <f>'36. Generic chemical products'!H47</f>
        <v>high. pop.</v>
      </c>
      <c r="I62" s="68">
        <f>'36. Generic chemical products'!I47</f>
        <v>1.4999999999999999E-4</v>
      </c>
      <c r="J62" s="68" t="str">
        <f>'36. Generic chemical products'!J47</f>
        <v>kg</v>
      </c>
      <c r="K62" s="68">
        <f>'36. Generic chemical products'!K47</f>
        <v>0</v>
      </c>
      <c r="L62" s="68">
        <f>'36. Generic chemical products'!L47</f>
        <v>0</v>
      </c>
      <c r="M62" s="68" t="str">
        <f>'36. Generic chemical products'!M47</f>
        <v>2-metyl-2,4-pentandiol</v>
      </c>
      <c r="N62" s="68" t="str">
        <f>'36. Generic chemical products'!N47</f>
        <v>river</v>
      </c>
      <c r="O62" s="68">
        <f>'36. Generic chemical products'!O47</f>
        <v>1.4999999999999999E-2</v>
      </c>
      <c r="P62" s="68" t="str">
        <f>'36. Generic chemical products'!P47</f>
        <v>kg</v>
      </c>
      <c r="Q62" s="68">
        <f>'36. Generic chemical products'!Q47</f>
        <v>0</v>
      </c>
      <c r="R62" s="68">
        <f>'36. Generic chemical products'!R47</f>
        <v>0</v>
      </c>
      <c r="S62" s="68">
        <f>'36. Generic chemical products'!S47</f>
        <v>0</v>
      </c>
      <c r="T62" s="68" t="str">
        <f>'36. Generic chemical products'!T47</f>
        <v>111-42-1</v>
      </c>
      <c r="U62" s="68">
        <f>'36. Generic chemical products'!U47</f>
        <v>0</v>
      </c>
      <c r="V62" s="68">
        <f>'36. Generic chemical products'!V47</f>
        <v>0</v>
      </c>
      <c r="W62" s="68">
        <f>'36. Generic chemical products'!W47</f>
        <v>0</v>
      </c>
      <c r="X62" s="68">
        <f>'36. Generic chemical products'!X47</f>
        <v>0</v>
      </c>
      <c r="Y62" s="68">
        <f>'36. Generic chemical products'!Y47</f>
        <v>1.5026837363888605</v>
      </c>
      <c r="Z62" s="68">
        <f>'36. Generic chemical products'!Z47</f>
        <v>72.122957517746116</v>
      </c>
      <c r="AA62" s="68" t="str">
        <f>'36. Generic chemical products'!AA47</f>
        <v>USEtox</v>
      </c>
      <c r="AB62" s="27">
        <f>$C$14*I62</f>
        <v>7.4999999999999991E-7</v>
      </c>
      <c r="AC62" s="29">
        <f>$C$18*O62</f>
        <v>7.4999999999999993E-5</v>
      </c>
      <c r="AD62" s="135">
        <f t="shared" si="26"/>
        <v>0</v>
      </c>
      <c r="AE62" s="135">
        <f t="shared" si="13"/>
        <v>0</v>
      </c>
      <c r="AF62" s="24">
        <f t="shared" si="14"/>
        <v>5.4103488266332494E-3</v>
      </c>
      <c r="AG62" s="24">
        <f t="shared" si="15"/>
        <v>0</v>
      </c>
      <c r="AH62" s="24">
        <f t="shared" si="16"/>
        <v>0</v>
      </c>
      <c r="AI62" s="24">
        <f t="shared" si="17"/>
        <v>1.1270128022916453E-6</v>
      </c>
      <c r="AJ62" s="24">
        <f t="shared" si="18"/>
        <v>0</v>
      </c>
      <c r="AK62" s="24">
        <f t="shared" si="19"/>
        <v>0</v>
      </c>
      <c r="AL62" s="24">
        <f t="shared" si="20"/>
        <v>5.409221813830958E-3</v>
      </c>
      <c r="AM62" s="161">
        <f t="shared" si="21"/>
        <v>0</v>
      </c>
      <c r="AN62" s="157">
        <f t="shared" si="22"/>
        <v>0</v>
      </c>
      <c r="AO62" s="162">
        <f t="shared" si="23"/>
        <v>5.4103488266332494E-3</v>
      </c>
    </row>
    <row r="63" spans="1:41" s="8" customFormat="1" ht="15" customHeight="1" x14ac:dyDescent="0.2">
      <c r="A63" s="68" t="str">
        <f>'36. Generic chemical products'!A48</f>
        <v>Wetting agent for better printability (Ultravon PRE)</v>
      </c>
      <c r="B63" s="68" t="str">
        <f>'36. Generic chemical products'!B48</f>
        <v>Lauryl alcohol di(oxyethylene) ethanol</v>
      </c>
      <c r="C63" s="68">
        <f>'36. Generic chemical products'!C48</f>
        <v>0.1</v>
      </c>
      <c r="D63" s="68" t="str">
        <f>'36. Generic chemical products'!D48</f>
        <v>kg</v>
      </c>
      <c r="E63" s="68" t="str">
        <f>'36. Generic chemical products'!E48</f>
        <v>MSDS</v>
      </c>
      <c r="F63" s="68">
        <f>'36. Generic chemical products'!F48</f>
        <v>0</v>
      </c>
      <c r="G63" s="68" t="str">
        <f>'36. Generic chemical products'!G48</f>
        <v>Lauryl alcohol di(oxyethylene) ethanol</v>
      </c>
      <c r="H63" s="68" t="str">
        <f>'36. Generic chemical products'!H48</f>
        <v>high. pop.</v>
      </c>
      <c r="I63" s="68">
        <f>'36. Generic chemical products'!I48</f>
        <v>1E-4</v>
      </c>
      <c r="J63" s="68" t="str">
        <f>'36. Generic chemical products'!J48</f>
        <v>kg</v>
      </c>
      <c r="K63" s="68">
        <f>'36. Generic chemical products'!K48</f>
        <v>0</v>
      </c>
      <c r="L63" s="68">
        <f>'36. Generic chemical products'!L48</f>
        <v>0</v>
      </c>
      <c r="M63" s="68" t="str">
        <f>'36. Generic chemical products'!M48</f>
        <v>Lauryl alcohol di(oxyethylene) ethanol</v>
      </c>
      <c r="N63" s="68" t="str">
        <f>'36. Generic chemical products'!N48</f>
        <v>river</v>
      </c>
      <c r="O63" s="68">
        <f>'36. Generic chemical products'!O48</f>
        <v>1.0000000000000002E-2</v>
      </c>
      <c r="P63" s="68" t="str">
        <f>'36. Generic chemical products'!P48</f>
        <v>kg</v>
      </c>
      <c r="Q63" s="68">
        <f>'36. Generic chemical products'!Q48</f>
        <v>0</v>
      </c>
      <c r="R63" s="68">
        <f>'36. Generic chemical products'!R48</f>
        <v>0</v>
      </c>
      <c r="S63" s="68">
        <f>'36. Generic chemical products'!S48</f>
        <v>0</v>
      </c>
      <c r="T63" s="68" t="str">
        <f>'36. Generic chemical products'!T48</f>
        <v>3055-94-5</v>
      </c>
      <c r="U63" s="68">
        <f>'36. Generic chemical products'!U48</f>
        <v>1.0125738980457451E-5</v>
      </c>
      <c r="V63" s="68">
        <f>'36. Generic chemical products'!V48</f>
        <v>2.402763568235903E-7</v>
      </c>
      <c r="W63" s="68">
        <f>'36. Generic chemical products'!W48</f>
        <v>3.0394472430218979E-5</v>
      </c>
      <c r="X63" s="68">
        <f>'36. Generic chemical products'!X48</f>
        <v>7.2123853056087206E-7</v>
      </c>
      <c r="Y63" s="68">
        <f>'36. Generic chemical products'!Y48</f>
        <v>299.02729835072751</v>
      </c>
      <c r="Z63" s="68">
        <f>'36. Generic chemical products'!Z48</f>
        <v>4766.6238513685685</v>
      </c>
      <c r="AA63" s="68" t="str">
        <f>'36. Generic chemical products'!AA48</f>
        <v>Roos 2017</v>
      </c>
      <c r="AB63" s="27">
        <f>$C$14*I63</f>
        <v>5.0000000000000008E-7</v>
      </c>
      <c r="AC63" s="29">
        <f>$C$18*O63</f>
        <v>5.0000000000000009E-5</v>
      </c>
      <c r="AD63" s="135">
        <f t="shared" si="26"/>
        <v>1.524786491001178E-9</v>
      </c>
      <c r="AE63" s="135">
        <f t="shared" si="13"/>
        <v>3.6182064706455399E-11</v>
      </c>
      <c r="AF63" s="24">
        <f t="shared" si="14"/>
        <v>0.23848070621760384</v>
      </c>
      <c r="AG63" s="24">
        <f t="shared" si="15"/>
        <v>5.0628694902287266E-12</v>
      </c>
      <c r="AH63" s="24">
        <f t="shared" si="16"/>
        <v>1.2013817841179518E-13</v>
      </c>
      <c r="AI63" s="24">
        <f t="shared" si="17"/>
        <v>1.4951364917536379E-4</v>
      </c>
      <c r="AJ63" s="24">
        <f t="shared" si="18"/>
        <v>1.5197236215109492E-9</v>
      </c>
      <c r="AK63" s="24">
        <f t="shared" si="19"/>
        <v>3.6061926528043607E-11</v>
      </c>
      <c r="AL63" s="24">
        <f t="shared" si="20"/>
        <v>0.23833119256842847</v>
      </c>
      <c r="AM63" s="161">
        <f t="shared" si="21"/>
        <v>1.524786491001178E-9</v>
      </c>
      <c r="AN63" s="157">
        <f t="shared" si="22"/>
        <v>3.6182064706455399E-11</v>
      </c>
      <c r="AO63" s="162">
        <f t="shared" si="23"/>
        <v>0.23848070621760384</v>
      </c>
    </row>
    <row r="64" spans="1:41" s="49" customFormat="1" ht="15" customHeight="1" x14ac:dyDescent="0.2">
      <c r="A64" s="193" t="str">
        <f>'36. Generic chemical products'!A49</f>
        <v>Wetting agent for better printability (Ultravon PRE)</v>
      </c>
      <c r="B64" s="193" t="str">
        <f>'36. Generic chemical products'!B49</f>
        <v>Fatty alcohol alkoxylate</v>
      </c>
      <c r="C64" s="193">
        <f>'36. Generic chemical products'!C49</f>
        <v>0.05</v>
      </c>
      <c r="D64" s="193" t="str">
        <f>'36. Generic chemical products'!D49</f>
        <v>kg</v>
      </c>
      <c r="E64" s="193" t="str">
        <f>'36. Generic chemical products'!E49</f>
        <v>MSDS</v>
      </c>
      <c r="F64" s="193">
        <f>'36. Generic chemical products'!F49</f>
        <v>0</v>
      </c>
      <c r="G64" s="193" t="str">
        <f>'36. Generic chemical products'!G49</f>
        <v>Fatty alcohol alkoxylate</v>
      </c>
      <c r="H64" s="193" t="str">
        <f>'36. Generic chemical products'!H49</f>
        <v>high. pop.</v>
      </c>
      <c r="I64" s="193">
        <f>'36. Generic chemical products'!I49</f>
        <v>5.0000000000000002E-5</v>
      </c>
      <c r="J64" s="193" t="str">
        <f>'36. Generic chemical products'!J49</f>
        <v>kg</v>
      </c>
      <c r="K64" s="193">
        <f>'36. Generic chemical products'!K49</f>
        <v>0</v>
      </c>
      <c r="L64" s="193">
        <f>'36. Generic chemical products'!L49</f>
        <v>0</v>
      </c>
      <c r="M64" s="193" t="str">
        <f>'36. Generic chemical products'!M49</f>
        <v>Fatty alcohol alkoxylate</v>
      </c>
      <c r="N64" s="193" t="str">
        <f>'36. Generic chemical products'!N49</f>
        <v>river</v>
      </c>
      <c r="O64" s="193">
        <f>'36. Generic chemical products'!O49</f>
        <v>5.000000000000001E-3</v>
      </c>
      <c r="P64" s="193" t="str">
        <f>'36. Generic chemical products'!P49</f>
        <v>kg</v>
      </c>
      <c r="Q64" s="193">
        <f>'36. Generic chemical products'!Q49</f>
        <v>0</v>
      </c>
      <c r="R64" s="193">
        <f>'36. Generic chemical products'!R49</f>
        <v>0</v>
      </c>
      <c r="S64" s="193">
        <f>'36. Generic chemical products'!S49</f>
        <v>0</v>
      </c>
      <c r="T64" s="193" t="str">
        <f>'36. Generic chemical products'!T49</f>
        <v>78330-23-1</v>
      </c>
      <c r="U64" s="193">
        <f>'36. Generic chemical products'!U49</f>
        <v>0</v>
      </c>
      <c r="V64" s="193">
        <f>'36. Generic chemical products'!V49</f>
        <v>2.0520474093865351E-7</v>
      </c>
      <c r="W64" s="193">
        <f>'36. Generic chemical products'!W49</f>
        <v>0</v>
      </c>
      <c r="X64" s="193">
        <f>'36. Generic chemical products'!X49</f>
        <v>1.1065026602356948E-5</v>
      </c>
      <c r="Y64" s="193">
        <f>'36. Generic chemical products'!Y49</f>
        <v>1067.7302200139782</v>
      </c>
      <c r="Z64" s="193">
        <f>'36. Generic chemical products'!Z49</f>
        <v>79444.76315026985</v>
      </c>
      <c r="AA64" s="193" t="str">
        <f>'36. Generic chemical products'!AA49</f>
        <v>Roos 2017</v>
      </c>
      <c r="AB64" s="28">
        <f>$C$14*I64</f>
        <v>2.5000000000000004E-7</v>
      </c>
      <c r="AC64" s="146">
        <f>$C$18*O64</f>
        <v>2.5000000000000005E-5</v>
      </c>
      <c r="AD64" s="147">
        <f t="shared" si="26"/>
        <v>0</v>
      </c>
      <c r="AE64" s="147">
        <f t="shared" si="13"/>
        <v>2.7667696624415837E-10</v>
      </c>
      <c r="AF64" s="25">
        <f t="shared" si="14"/>
        <v>1.9863860113117502</v>
      </c>
      <c r="AG64" s="25">
        <f t="shared" si="15"/>
        <v>0</v>
      </c>
      <c r="AH64" s="25">
        <f t="shared" si="16"/>
        <v>5.1301185234663388E-14</v>
      </c>
      <c r="AI64" s="25">
        <f t="shared" si="17"/>
        <v>2.669325550034946E-4</v>
      </c>
      <c r="AJ64" s="25">
        <f t="shared" si="18"/>
        <v>0</v>
      </c>
      <c r="AK64" s="25">
        <f t="shared" si="19"/>
        <v>2.7662566505892372E-10</v>
      </c>
      <c r="AL64" s="25">
        <f t="shared" si="20"/>
        <v>1.9861190787567466</v>
      </c>
      <c r="AM64" s="163">
        <f t="shared" si="21"/>
        <v>0</v>
      </c>
      <c r="AN64" s="164">
        <f t="shared" si="22"/>
        <v>2.7667696624415837E-10</v>
      </c>
      <c r="AO64" s="165">
        <f t="shared" si="23"/>
        <v>1.9863860113117502</v>
      </c>
    </row>
    <row r="65" spans="1:41" s="8" customFormat="1" ht="15" customHeight="1" x14ac:dyDescent="0.2">
      <c r="A65" s="34"/>
      <c r="B65" s="54"/>
      <c r="C65" s="74"/>
      <c r="D65" s="51"/>
      <c r="E65" s="64"/>
      <c r="F65" s="51"/>
      <c r="G65" s="51"/>
      <c r="H65" s="69"/>
      <c r="I65" s="51"/>
      <c r="J65" s="51"/>
      <c r="K65" s="51"/>
      <c r="L65" s="51"/>
      <c r="M65" s="69"/>
      <c r="N65" s="51"/>
      <c r="O65" s="51"/>
      <c r="P65" s="54"/>
      <c r="Q65" s="115"/>
      <c r="R65" s="115"/>
      <c r="S65" s="115"/>
      <c r="T65" s="115"/>
      <c r="U65" s="115"/>
      <c r="V65" s="115"/>
      <c r="W65" s="125"/>
      <c r="X65" s="203"/>
      <c r="Y65" s="204"/>
      <c r="Z65" s="205"/>
      <c r="AA65" s="205"/>
      <c r="AB65" s="203"/>
      <c r="AC65" s="203"/>
      <c r="AD65" s="177">
        <f>SUM(AD53:AD64)</f>
        <v>1.5248435855803888E-9</v>
      </c>
      <c r="AE65" s="177">
        <f t="shared" ref="AE65:AH65" si="27">SUM(AE53:AE64)</f>
        <v>3.54871772177741E-10</v>
      </c>
      <c r="AF65" s="177">
        <f t="shared" si="27"/>
        <v>3.5908188232053853</v>
      </c>
      <c r="AG65" s="177">
        <f t="shared" si="27"/>
        <v>5.0759863222105167E-12</v>
      </c>
      <c r="AH65" s="177">
        <f t="shared" si="27"/>
        <v>2.1000829692177035E-13</v>
      </c>
      <c r="AI65" s="177">
        <f>SUM(AI53:AI64)</f>
        <v>1.9706742805142021E-3</v>
      </c>
      <c r="AJ65" s="177">
        <f t="shared" ref="AJ65:AK65" si="28">SUM(AJ53:AJ64)</f>
        <v>1.5197675992581781E-9</v>
      </c>
      <c r="AK65" s="177">
        <f t="shared" si="28"/>
        <v>3.5466176388081925E-10</v>
      </c>
      <c r="AL65" s="177">
        <f>SUM(AL53:AL64)</f>
        <v>3.5888481489248703</v>
      </c>
    </row>
    <row r="68" spans="1:41" s="59" customFormat="1" x14ac:dyDescent="0.2">
      <c r="A68" s="58"/>
      <c r="B68" s="58"/>
    </row>
    <row r="69" spans="1:41" s="7" customFormat="1" x14ac:dyDescent="0.2">
      <c r="A69" s="17" t="s">
        <v>1038</v>
      </c>
      <c r="U69" s="197" t="s">
        <v>550</v>
      </c>
      <c r="V69" s="198" t="s">
        <v>551</v>
      </c>
      <c r="W69" s="198" t="s">
        <v>550</v>
      </c>
      <c r="X69" s="198" t="s">
        <v>551</v>
      </c>
      <c r="Y69" s="199" t="s">
        <v>552</v>
      </c>
      <c r="Z69" s="200"/>
      <c r="AA69" s="201"/>
      <c r="AB69" s="17" t="s">
        <v>105</v>
      </c>
      <c r="AC69" s="17"/>
      <c r="AD69" s="148" t="s">
        <v>549</v>
      </c>
      <c r="AE69" s="149"/>
      <c r="AF69" s="149"/>
      <c r="AG69" s="149" t="s">
        <v>548</v>
      </c>
      <c r="AH69" s="149"/>
      <c r="AI69" s="149"/>
      <c r="AJ69" s="149" t="s">
        <v>547</v>
      </c>
      <c r="AK69" s="149"/>
      <c r="AL69" s="149"/>
      <c r="AM69" s="202" t="s">
        <v>553</v>
      </c>
      <c r="AN69" s="200"/>
      <c r="AO69" s="201"/>
    </row>
    <row r="70" spans="1:41" s="49" customFormat="1" ht="15" customHeight="1" x14ac:dyDescent="0.2">
      <c r="A70" s="57" t="s">
        <v>58</v>
      </c>
      <c r="B70" s="55" t="s">
        <v>289</v>
      </c>
      <c r="C70" s="56" t="s">
        <v>100</v>
      </c>
      <c r="D70" s="56" t="s">
        <v>11</v>
      </c>
      <c r="E70" s="63" t="s">
        <v>291</v>
      </c>
      <c r="F70" s="63"/>
      <c r="G70" s="66" t="s">
        <v>292</v>
      </c>
      <c r="H70" s="66" t="s">
        <v>8</v>
      </c>
      <c r="I70" s="66" t="s">
        <v>217</v>
      </c>
      <c r="J70" s="66" t="s">
        <v>11</v>
      </c>
      <c r="K70" s="66" t="s">
        <v>291</v>
      </c>
      <c r="L70" s="63"/>
      <c r="M70" s="67" t="s">
        <v>293</v>
      </c>
      <c r="N70" s="67" t="s">
        <v>8</v>
      </c>
      <c r="O70" s="67" t="s">
        <v>217</v>
      </c>
      <c r="P70" s="67" t="s">
        <v>11</v>
      </c>
      <c r="Q70" s="67" t="s">
        <v>291</v>
      </c>
      <c r="R70" s="67"/>
      <c r="S70" s="63"/>
      <c r="T70" s="79" t="s">
        <v>275</v>
      </c>
      <c r="U70" s="126" t="s">
        <v>530</v>
      </c>
      <c r="V70" s="114" t="s">
        <v>531</v>
      </c>
      <c r="W70" s="114" t="s">
        <v>532</v>
      </c>
      <c r="X70" s="114" t="s">
        <v>533</v>
      </c>
      <c r="Y70" s="114" t="s">
        <v>534</v>
      </c>
      <c r="Z70" s="114" t="s">
        <v>535</v>
      </c>
      <c r="AA70" s="131" t="s">
        <v>536</v>
      </c>
      <c r="AB70" s="22" t="s">
        <v>545</v>
      </c>
      <c r="AC70" s="23" t="s">
        <v>546</v>
      </c>
      <c r="AD70" s="148" t="s">
        <v>31</v>
      </c>
      <c r="AE70" s="149" t="s">
        <v>32</v>
      </c>
      <c r="AF70" s="150" t="s">
        <v>33</v>
      </c>
      <c r="AG70" s="148" t="s">
        <v>31</v>
      </c>
      <c r="AH70" s="149" t="s">
        <v>32</v>
      </c>
      <c r="AI70" s="150" t="s">
        <v>33</v>
      </c>
      <c r="AJ70" s="148" t="s">
        <v>31</v>
      </c>
      <c r="AK70" s="149" t="s">
        <v>32</v>
      </c>
      <c r="AL70" s="149" t="s">
        <v>33</v>
      </c>
      <c r="AM70" s="159"/>
      <c r="AN70" s="156"/>
      <c r="AO70" s="160"/>
    </row>
    <row r="71" spans="1:41" s="8" customFormat="1" ht="15" customHeight="1" x14ac:dyDescent="0.2">
      <c r="A71" s="68" t="str">
        <f>'36. Generic chemical products'!A2</f>
        <v>Lubricant, average (Albafluid CD)</v>
      </c>
      <c r="B71" s="68" t="str">
        <f>'36. Generic chemical products'!B2</f>
        <v>Acrylamide/sodium acrylate copolymer</v>
      </c>
      <c r="C71" s="68">
        <f>'36. Generic chemical products'!C2</f>
        <v>0.3</v>
      </c>
      <c r="D71" s="68" t="str">
        <f>'36. Generic chemical products'!D2</f>
        <v>kg</v>
      </c>
      <c r="E71" s="68" t="str">
        <f>'36. Generic chemical products'!E2</f>
        <v>MSDS + Expert estimation for concentration</v>
      </c>
      <c r="F71" s="68">
        <f>'36. Generic chemical products'!F2</f>
        <v>0</v>
      </c>
      <c r="G71" s="68" t="str">
        <f>'36. Generic chemical products'!G2</f>
        <v>-</v>
      </c>
      <c r="H71" s="68">
        <f>'36. Generic chemical products'!H2</f>
        <v>0</v>
      </c>
      <c r="I71" s="68">
        <f>'36. Generic chemical products'!I2</f>
        <v>0</v>
      </c>
      <c r="J71" s="68">
        <f>'36. Generic chemical products'!J2</f>
        <v>0</v>
      </c>
      <c r="K71" s="68">
        <f>'36. Generic chemical products'!K2</f>
        <v>0</v>
      </c>
      <c r="L71" s="68">
        <f>'36. Generic chemical products'!L2</f>
        <v>0</v>
      </c>
      <c r="M71" s="68" t="str">
        <f>'36. Generic chemical products'!M2</f>
        <v>Acrylamide/sodium acrylate copolymer</v>
      </c>
      <c r="N71" s="68" t="str">
        <f>'36. Generic chemical products'!N2</f>
        <v>river</v>
      </c>
      <c r="O71" s="68">
        <f>'36. Generic chemical products'!O2</f>
        <v>2.9700000000000001E-2</v>
      </c>
      <c r="P71" s="68" t="str">
        <f>'36. Generic chemical products'!P2</f>
        <v>kg</v>
      </c>
      <c r="Q71" s="68" t="str">
        <f>'36. Generic chemical products'!Q2</f>
        <v>1% of polymer content remains as monomers from the production process.</v>
      </c>
      <c r="R71" s="68">
        <f>'36. Generic chemical products'!R2</f>
        <v>0</v>
      </c>
      <c r="S71" s="68">
        <f>'36. Generic chemical products'!S2</f>
        <v>0</v>
      </c>
      <c r="T71" s="68" t="str">
        <f>'36. Generic chemical products'!T2</f>
        <v>25085-02-3</v>
      </c>
      <c r="U71" s="68">
        <f>'36. Generic chemical products'!U2</f>
        <v>0</v>
      </c>
      <c r="V71" s="68">
        <f>'36. Generic chemical products'!V2</f>
        <v>1.318367210059499E-10</v>
      </c>
      <c r="W71" s="68">
        <f>'36. Generic chemical products'!W2</f>
        <v>0</v>
      </c>
      <c r="X71" s="68">
        <f>'36. Generic chemical products'!X2</f>
        <v>1.3016448977650344E-10</v>
      </c>
      <c r="Y71" s="68">
        <f>'36. Generic chemical products'!Y2</f>
        <v>1.1181204517092254</v>
      </c>
      <c r="Z71" s="68">
        <f>'36. Generic chemical products'!Z2</f>
        <v>78.957506928451508</v>
      </c>
      <c r="AA71" s="68" t="str">
        <f>'36. Generic chemical products'!AA2</f>
        <v>Roos 2017</v>
      </c>
      <c r="AB71" s="27">
        <f>$C$11*I71</f>
        <v>0</v>
      </c>
      <c r="AC71" s="29">
        <f>$C$15*O71</f>
        <v>1.485E-4</v>
      </c>
      <c r="AD71" s="135">
        <f>AB71*U71+AC71*W71</f>
        <v>0</v>
      </c>
      <c r="AE71" s="135">
        <f t="shared" ref="AE71:AE84" si="29">AB71*V71+AC71*X71</f>
        <v>1.932942673181076E-14</v>
      </c>
      <c r="AF71" s="24">
        <f t="shared" ref="AF71:AF84" si="30">AB71*Y71+AC71*Z71</f>
        <v>1.172518977887505E-2</v>
      </c>
      <c r="AG71" s="24">
        <f t="shared" ref="AG71:AG84" si="31">AB71*U71</f>
        <v>0</v>
      </c>
      <c r="AH71" s="24">
        <f t="shared" ref="AH71:AH84" si="32">AB71*V71</f>
        <v>0</v>
      </c>
      <c r="AI71" s="24">
        <f t="shared" ref="AI71:AI84" si="33">AB71*Y71</f>
        <v>0</v>
      </c>
      <c r="AJ71" s="24">
        <f t="shared" ref="AJ71:AJ84" si="34">AC71*W71</f>
        <v>0</v>
      </c>
      <c r="AK71" s="24">
        <f t="shared" ref="AK71:AK84" si="35">AC71*X71</f>
        <v>1.932942673181076E-14</v>
      </c>
      <c r="AL71" s="24">
        <f t="shared" ref="AL71:AL84" si="36">AC71*Z71</f>
        <v>1.172518977887505E-2</v>
      </c>
      <c r="AM71" s="161">
        <f t="shared" ref="AM71:AM84" si="37">AG71+AJ71</f>
        <v>0</v>
      </c>
      <c r="AN71" s="157">
        <f t="shared" ref="AN71:AN84" si="38">AH71+AK71</f>
        <v>1.932942673181076E-14</v>
      </c>
      <c r="AO71" s="162">
        <f t="shared" ref="AO71:AO84" si="39">AI71+AL71</f>
        <v>1.172518977887505E-2</v>
      </c>
    </row>
    <row r="72" spans="1:41" s="8" customFormat="1" ht="15" customHeight="1" x14ac:dyDescent="0.2">
      <c r="A72" s="68" t="str">
        <f>'36. Generic chemical products'!A3</f>
        <v>Lubricant, average (Albafluid CD)</v>
      </c>
      <c r="B72" s="68" t="str">
        <f>'36. Generic chemical products'!B3</f>
        <v>Acrylamide</v>
      </c>
      <c r="C72" s="68">
        <f>'36. Generic chemical products'!C3</f>
        <v>0</v>
      </c>
      <c r="D72" s="68">
        <f>'36. Generic chemical products'!D3</f>
        <v>0</v>
      </c>
      <c r="E72" s="68" t="str">
        <f>'36. Generic chemical products'!E3</f>
        <v>Breakdown product (Caulfield, 2002)</v>
      </c>
      <c r="F72" s="68">
        <f>'36. Generic chemical products'!F3</f>
        <v>0</v>
      </c>
      <c r="G72" s="68" t="str">
        <f>'36. Generic chemical products'!G3</f>
        <v>Acrylamide</v>
      </c>
      <c r="H72" s="68" t="str">
        <f>'36. Generic chemical products'!H3</f>
        <v>high. pop.</v>
      </c>
      <c r="I72" s="68">
        <f>'36. Generic chemical products'!I3</f>
        <v>3.0000000000000001E-6</v>
      </c>
      <c r="J72" s="68" t="str">
        <f>'36. Generic chemical products'!J3</f>
        <v>kg</v>
      </c>
      <c r="K72" s="68">
        <f>'36. Generic chemical products'!K3</f>
        <v>0</v>
      </c>
      <c r="L72" s="68">
        <f>'36. Generic chemical products'!L3</f>
        <v>0</v>
      </c>
      <c r="M72" s="68" t="str">
        <f>'36. Generic chemical products'!M3</f>
        <v>Acrylamide</v>
      </c>
      <c r="N72" s="68" t="str">
        <f>'36. Generic chemical products'!N3</f>
        <v>river</v>
      </c>
      <c r="O72" s="68">
        <f>'36. Generic chemical products'!O3</f>
        <v>3.0000000000000004E-5</v>
      </c>
      <c r="P72" s="68" t="str">
        <f>'36. Generic chemical products'!P3</f>
        <v>kg</v>
      </c>
      <c r="Q72" s="68" t="str">
        <f>'36. Generic chemical products'!Q3</f>
        <v xml:space="preserve">90% of reactive chemicals are degraded during operations. </v>
      </c>
      <c r="R72" s="68">
        <f>'36. Generic chemical products'!R3</f>
        <v>0</v>
      </c>
      <c r="S72" s="68">
        <f>'36. Generic chemical products'!S3</f>
        <v>0</v>
      </c>
      <c r="T72" s="68" t="str">
        <f>'36. Generic chemical products'!T3</f>
        <v>79-06-1</v>
      </c>
      <c r="U72" s="68">
        <f>'36. Generic chemical products'!U3</f>
        <v>3.0023364753950555E-5</v>
      </c>
      <c r="V72" s="68">
        <f>'36. Generic chemical products'!V3</f>
        <v>1.2481126126868064E-4</v>
      </c>
      <c r="W72" s="68">
        <f>'36. Generic chemical products'!W3</f>
        <v>1.1959264101490567E-5</v>
      </c>
      <c r="X72" s="68">
        <f>'36. Generic chemical products'!X3</f>
        <v>4.9716307568620708E-5</v>
      </c>
      <c r="Y72" s="68">
        <f>'36. Generic chemical products'!Y3</f>
        <v>10.037499181426883</v>
      </c>
      <c r="Z72" s="68">
        <f>'36. Generic chemical products'!Z3</f>
        <v>119.14199796898779</v>
      </c>
      <c r="AA72" s="68" t="str">
        <f>'36. Generic chemical products'!AA3</f>
        <v>USEtox</v>
      </c>
      <c r="AB72" s="27">
        <f>$C$11*I72</f>
        <v>1.5000000000000002E-8</v>
      </c>
      <c r="AC72" s="29">
        <f>$C$15*O72</f>
        <v>1.5000000000000002E-7</v>
      </c>
      <c r="AD72" s="135">
        <f t="shared" ref="AD72:AD84" si="40">AB72*U72+AC72*W72</f>
        <v>2.2442400865328435E-12</v>
      </c>
      <c r="AE72" s="135">
        <f t="shared" si="29"/>
        <v>9.3296150543233168E-12</v>
      </c>
      <c r="AF72" s="24">
        <f t="shared" si="30"/>
        <v>1.8021862183069574E-5</v>
      </c>
      <c r="AG72" s="24">
        <f t="shared" si="31"/>
        <v>4.5035047130925836E-13</v>
      </c>
      <c r="AH72" s="24">
        <f t="shared" si="32"/>
        <v>1.8721689190302099E-12</v>
      </c>
      <c r="AI72" s="24">
        <f t="shared" si="33"/>
        <v>1.5056248772140326E-7</v>
      </c>
      <c r="AJ72" s="24">
        <f t="shared" si="34"/>
        <v>1.7938896152235852E-12</v>
      </c>
      <c r="AK72" s="24">
        <f t="shared" si="35"/>
        <v>7.4574461352931069E-12</v>
      </c>
      <c r="AL72" s="24">
        <f t="shared" si="36"/>
        <v>1.7871299695348171E-5</v>
      </c>
      <c r="AM72" s="161">
        <f t="shared" si="37"/>
        <v>2.2442400865328435E-12</v>
      </c>
      <c r="AN72" s="157">
        <f t="shared" si="38"/>
        <v>9.3296150543233168E-12</v>
      </c>
      <c r="AO72" s="162">
        <f t="shared" si="39"/>
        <v>1.8021862183069574E-5</v>
      </c>
    </row>
    <row r="73" spans="1:41" s="49" customFormat="1" ht="15" customHeight="1" x14ac:dyDescent="0.2">
      <c r="A73" s="193" t="str">
        <f>'36. Generic chemical products'!A4</f>
        <v>Lubricant, average (Albafluid CD)</v>
      </c>
      <c r="B73" s="193">
        <f>'36. Generic chemical products'!B4</f>
        <v>0</v>
      </c>
      <c r="C73" s="193">
        <f>'36. Generic chemical products'!C4</f>
        <v>0</v>
      </c>
      <c r="D73" s="193">
        <f>'36. Generic chemical products'!D4</f>
        <v>0</v>
      </c>
      <c r="E73" s="193" t="str">
        <f>'36. Generic chemical products'!E4</f>
        <v>Common breakdown product of of acrylics, 0.001 % assumed</v>
      </c>
      <c r="F73" s="193">
        <f>'36. Generic chemical products'!F4</f>
        <v>0</v>
      </c>
      <c r="G73" s="193" t="str">
        <f>'36. Generic chemical products'!G4</f>
        <v>Formaldehyde</v>
      </c>
      <c r="H73" s="193" t="str">
        <f>'36. Generic chemical products'!H4</f>
        <v>high. pop.</v>
      </c>
      <c r="I73" s="193">
        <f>'36. Generic chemical products'!I4</f>
        <v>2.9999999999999999E-7</v>
      </c>
      <c r="J73" s="193" t="str">
        <f>'36. Generic chemical products'!J4</f>
        <v>kg</v>
      </c>
      <c r="K73" s="193">
        <f>'36. Generic chemical products'!K4</f>
        <v>0</v>
      </c>
      <c r="L73" s="193">
        <f>'36. Generic chemical products'!L4</f>
        <v>0</v>
      </c>
      <c r="M73" s="193" t="str">
        <f>'36. Generic chemical products'!M4</f>
        <v>Formaldehyde</v>
      </c>
      <c r="N73" s="193" t="str">
        <f>'36. Generic chemical products'!N4</f>
        <v>river</v>
      </c>
      <c r="O73" s="193">
        <f>'36. Generic chemical products'!O4</f>
        <v>3.0000000000000001E-6</v>
      </c>
      <c r="P73" s="193" t="str">
        <f>'36. Generic chemical products'!P4</f>
        <v>kg</v>
      </c>
      <c r="Q73" s="193" t="str">
        <f>'36. Generic chemical products'!Q4</f>
        <v xml:space="preserve">0.1 % of the content is degraded to common breakdown products. 90% of reactive chemicals are degraded during operations. </v>
      </c>
      <c r="R73" s="193">
        <f>'36. Generic chemical products'!R4</f>
        <v>0</v>
      </c>
      <c r="S73" s="193">
        <f>'36. Generic chemical products'!S4</f>
        <v>0</v>
      </c>
      <c r="T73" s="193" t="str">
        <f>'36. Generic chemical products'!T4</f>
        <v>50-00-0</v>
      </c>
      <c r="U73" s="193">
        <f>'36. Generic chemical products'!U4</f>
        <v>2.5208446330720887E-5</v>
      </c>
      <c r="V73" s="193">
        <f>'36. Generic chemical products'!V4</f>
        <v>2.6504960021309262E-7</v>
      </c>
      <c r="W73" s="193">
        <f>'36. Generic chemical products'!W4</f>
        <v>1.4222228897488039E-7</v>
      </c>
      <c r="X73" s="193">
        <f>'36. Generic chemical products'!X4</f>
        <v>3.170874313501273E-7</v>
      </c>
      <c r="Y73" s="193">
        <f>'36. Generic chemical products'!Y4</f>
        <v>17.989178582912412</v>
      </c>
      <c r="Z73" s="193">
        <f>'36. Generic chemical products'!Z4</f>
        <v>290.05086067463066</v>
      </c>
      <c r="AA73" s="193" t="str">
        <f>'36. Generic chemical products'!AA4</f>
        <v>USEtox</v>
      </c>
      <c r="AB73" s="28">
        <f>$C$11*I73</f>
        <v>1.5E-9</v>
      </c>
      <c r="AC73" s="146">
        <f>$C$15*O73</f>
        <v>1.5000000000000002E-8</v>
      </c>
      <c r="AD73" s="147">
        <f t="shared" si="40"/>
        <v>3.9946003830704539E-14</v>
      </c>
      <c r="AE73" s="147">
        <f t="shared" si="29"/>
        <v>5.1538858705715492E-15</v>
      </c>
      <c r="AF73" s="25">
        <f t="shared" si="30"/>
        <v>4.3777466779938291E-6</v>
      </c>
      <c r="AG73" s="25">
        <f t="shared" si="31"/>
        <v>3.7812669496081331E-14</v>
      </c>
      <c r="AH73" s="25">
        <f t="shared" si="32"/>
        <v>3.9757440031963891E-16</v>
      </c>
      <c r="AI73" s="25">
        <f t="shared" si="33"/>
        <v>2.698376787436862E-8</v>
      </c>
      <c r="AJ73" s="25">
        <f t="shared" si="34"/>
        <v>2.133334334623206E-15</v>
      </c>
      <c r="AK73" s="25">
        <f t="shared" si="35"/>
        <v>4.75631147025191E-15</v>
      </c>
      <c r="AL73" s="25">
        <f t="shared" si="36"/>
        <v>4.3507629101194607E-6</v>
      </c>
      <c r="AM73" s="163">
        <f t="shared" si="37"/>
        <v>3.9946003830704539E-14</v>
      </c>
      <c r="AN73" s="164">
        <f t="shared" si="38"/>
        <v>5.1538858705715492E-15</v>
      </c>
      <c r="AO73" s="165">
        <f t="shared" si="39"/>
        <v>4.3777466779938291E-6</v>
      </c>
    </row>
    <row r="74" spans="1:41" s="8" customFormat="1" ht="15" customHeight="1" x14ac:dyDescent="0.2">
      <c r="A74" s="54" t="str">
        <f>'36. Generic chemical products'!A5</f>
        <v>Detergent, average (Ultravon EL)</v>
      </c>
      <c r="B74" s="54" t="str">
        <f>'36. Generic chemical products'!B5</f>
        <v>Polyacrylic acid, sodium salt</v>
      </c>
      <c r="C74" s="54">
        <f>'36. Generic chemical products'!C5</f>
        <v>0.1</v>
      </c>
      <c r="D74" s="54" t="str">
        <f>'36. Generic chemical products'!D5</f>
        <v>kg</v>
      </c>
      <c r="E74" s="54" t="str">
        <f>'36. Generic chemical products'!E5</f>
        <v>MSDS</v>
      </c>
      <c r="F74" s="54">
        <f>'36. Generic chemical products'!F5</f>
        <v>0</v>
      </c>
      <c r="G74" s="54" t="str">
        <f>'36. Generic chemical products'!G5</f>
        <v>-</v>
      </c>
      <c r="H74" s="54">
        <f>'36. Generic chemical products'!H5</f>
        <v>0</v>
      </c>
      <c r="I74" s="54">
        <f>'36. Generic chemical products'!I5</f>
        <v>0</v>
      </c>
      <c r="J74" s="54">
        <f>'36. Generic chemical products'!J5</f>
        <v>0</v>
      </c>
      <c r="K74" s="54">
        <f>'36. Generic chemical products'!K5</f>
        <v>0</v>
      </c>
      <c r="L74" s="54">
        <f>'36. Generic chemical products'!L5</f>
        <v>0</v>
      </c>
      <c r="M74" s="54" t="str">
        <f>'36. Generic chemical products'!M5</f>
        <v>Polyacrylic acid, sodium salt</v>
      </c>
      <c r="N74" s="54" t="str">
        <f>'36. Generic chemical products'!N5</f>
        <v>river</v>
      </c>
      <c r="O74" s="54">
        <f>'36. Generic chemical products'!O5</f>
        <v>9.9000000000000008E-3</v>
      </c>
      <c r="P74" s="54" t="str">
        <f>'36. Generic chemical products'!P5</f>
        <v>kg</v>
      </c>
      <c r="Q74" s="54" t="str">
        <f>'36. Generic chemical products'!Q5</f>
        <v>1% of polymer content remains as monomers from the production process.</v>
      </c>
      <c r="R74" s="54">
        <f>'36. Generic chemical products'!R5</f>
        <v>0</v>
      </c>
      <c r="S74" s="54">
        <f>'36. Generic chemical products'!S5</f>
        <v>0</v>
      </c>
      <c r="T74" s="54" t="str">
        <f>'36. Generic chemical products'!T5</f>
        <v>9003-04-7</v>
      </c>
      <c r="U74" s="54">
        <f>'36. Generic chemical products'!U5</f>
        <v>0</v>
      </c>
      <c r="V74" s="54">
        <f>'36. Generic chemical products'!V5</f>
        <v>0</v>
      </c>
      <c r="W74" s="54">
        <f>'36. Generic chemical products'!W5</f>
        <v>0</v>
      </c>
      <c r="X74" s="54">
        <f>'36. Generic chemical products'!X5</f>
        <v>0</v>
      </c>
      <c r="Y74" s="54">
        <f>'36. Generic chemical products'!Y5</f>
        <v>7.06</v>
      </c>
      <c r="Z74" s="54">
        <f>'36. Generic chemical products'!Z5</f>
        <v>78.599999999999994</v>
      </c>
      <c r="AA74" s="54" t="str">
        <f>'36. Generic chemical products'!AA5</f>
        <v>COSMEDE</v>
      </c>
      <c r="AB74" s="27">
        <f t="shared" ref="AB74:AB79" si="41">$C$12*I74</f>
        <v>0</v>
      </c>
      <c r="AC74" s="29">
        <f t="shared" ref="AC74:AC79" si="42">$C$16*O74</f>
        <v>4.9500000000000004E-5</v>
      </c>
      <c r="AD74" s="135">
        <f t="shared" si="40"/>
        <v>0</v>
      </c>
      <c r="AE74" s="135">
        <f t="shared" si="29"/>
        <v>0</v>
      </c>
      <c r="AF74" s="24">
        <f t="shared" si="30"/>
        <v>3.8907E-3</v>
      </c>
      <c r="AG74" s="24">
        <f t="shared" si="31"/>
        <v>0</v>
      </c>
      <c r="AH74" s="24">
        <f t="shared" si="32"/>
        <v>0</v>
      </c>
      <c r="AI74" s="24">
        <f t="shared" si="33"/>
        <v>0</v>
      </c>
      <c r="AJ74" s="24">
        <f t="shared" si="34"/>
        <v>0</v>
      </c>
      <c r="AK74" s="24">
        <f t="shared" si="35"/>
        <v>0</v>
      </c>
      <c r="AL74" s="24">
        <f t="shared" si="36"/>
        <v>3.8907E-3</v>
      </c>
      <c r="AM74" s="161">
        <f t="shared" si="37"/>
        <v>0</v>
      </c>
      <c r="AN74" s="157">
        <f t="shared" si="38"/>
        <v>0</v>
      </c>
      <c r="AO74" s="162">
        <f t="shared" si="39"/>
        <v>3.8907E-3</v>
      </c>
    </row>
    <row r="75" spans="1:41" s="8" customFormat="1" ht="15" customHeight="1" x14ac:dyDescent="0.2">
      <c r="A75" s="54" t="str">
        <f>'36. Generic chemical products'!A6</f>
        <v>Detergent, average (Ultravon EL)</v>
      </c>
      <c r="B75" s="54" t="str">
        <f>'36. Generic chemical products'!B6</f>
        <v>Oxirane, methyl-, polymer with oxirane, decyl ether</v>
      </c>
      <c r="C75" s="54">
        <f>'36. Generic chemical products'!C6</f>
        <v>0.25</v>
      </c>
      <c r="D75" s="54" t="str">
        <f>'36. Generic chemical products'!D6</f>
        <v>kg</v>
      </c>
      <c r="E75" s="54" t="str">
        <f>'36. Generic chemical products'!E6</f>
        <v>MSDS</v>
      </c>
      <c r="F75" s="54">
        <f>'36. Generic chemical products'!F6</f>
        <v>0</v>
      </c>
      <c r="G75" s="54" t="str">
        <f>'36. Generic chemical products'!G6</f>
        <v>-</v>
      </c>
      <c r="H75" s="54">
        <f>'36. Generic chemical products'!H6</f>
        <v>0</v>
      </c>
      <c r="I75" s="54">
        <f>'36. Generic chemical products'!I6</f>
        <v>0</v>
      </c>
      <c r="J75" s="54">
        <f>'36. Generic chemical products'!J6</f>
        <v>0</v>
      </c>
      <c r="K75" s="54">
        <f>'36. Generic chemical products'!K6</f>
        <v>0</v>
      </c>
      <c r="L75" s="54">
        <f>'36. Generic chemical products'!L6</f>
        <v>0</v>
      </c>
      <c r="M75" s="54" t="str">
        <f>'36. Generic chemical products'!M6</f>
        <v>Oxirane, methyl-, polymer with oxirane, decyl ether</v>
      </c>
      <c r="N75" s="54" t="str">
        <f>'36. Generic chemical products'!N6</f>
        <v>river</v>
      </c>
      <c r="O75" s="54">
        <f>'36. Generic chemical products'!O6</f>
        <v>2.5000000000000001E-2</v>
      </c>
      <c r="P75" s="54" t="str">
        <f>'36. Generic chemical products'!P6</f>
        <v>kg</v>
      </c>
      <c r="Q75" s="54">
        <f>'36. Generic chemical products'!Q6</f>
        <v>0</v>
      </c>
      <c r="R75" s="54">
        <f>'36. Generic chemical products'!R6</f>
        <v>0</v>
      </c>
      <c r="S75" s="54">
        <f>'36. Generic chemical products'!S6</f>
        <v>0</v>
      </c>
      <c r="T75" s="54" t="str">
        <f>'36. Generic chemical products'!T6</f>
        <v>37251-67-5</v>
      </c>
      <c r="U75" s="54">
        <f>'36. Generic chemical products'!U6</f>
        <v>0</v>
      </c>
      <c r="V75" s="54">
        <f>'36. Generic chemical products'!V6</f>
        <v>1.2009414857886904E-7</v>
      </c>
      <c r="W75" s="54">
        <f>'36. Generic chemical products'!W6</f>
        <v>0</v>
      </c>
      <c r="X75" s="54">
        <f>'36. Generic chemical products'!X6</f>
        <v>3.2843909509658706E-7</v>
      </c>
      <c r="Y75" s="54">
        <f>'36. Generic chemical products'!Y6</f>
        <v>14.526941022240393</v>
      </c>
      <c r="Z75" s="54">
        <f>'36. Generic chemical products'!Z6</f>
        <v>111.251141519207</v>
      </c>
      <c r="AA75" s="54" t="str">
        <f>'36. Generic chemical products'!AA6</f>
        <v>Roos 2017</v>
      </c>
      <c r="AB75" s="27">
        <f t="shared" si="41"/>
        <v>0</v>
      </c>
      <c r="AC75" s="29">
        <f t="shared" si="42"/>
        <v>1.25E-4</v>
      </c>
      <c r="AD75" s="135">
        <f t="shared" si="40"/>
        <v>0</v>
      </c>
      <c r="AE75" s="135">
        <f t="shared" si="29"/>
        <v>4.105488688707338E-11</v>
      </c>
      <c r="AF75" s="24">
        <f t="shared" si="30"/>
        <v>1.3906392689900874E-2</v>
      </c>
      <c r="AG75" s="24">
        <f t="shared" si="31"/>
        <v>0</v>
      </c>
      <c r="AH75" s="24">
        <f t="shared" si="32"/>
        <v>0</v>
      </c>
      <c r="AI75" s="24">
        <f t="shared" si="33"/>
        <v>0</v>
      </c>
      <c r="AJ75" s="24">
        <f t="shared" si="34"/>
        <v>0</v>
      </c>
      <c r="AK75" s="24">
        <f t="shared" si="35"/>
        <v>4.105488688707338E-11</v>
      </c>
      <c r="AL75" s="24">
        <f t="shared" si="36"/>
        <v>1.3906392689900874E-2</v>
      </c>
      <c r="AM75" s="161">
        <f t="shared" si="37"/>
        <v>0</v>
      </c>
      <c r="AN75" s="157">
        <f t="shared" si="38"/>
        <v>4.105488688707338E-11</v>
      </c>
      <c r="AO75" s="162">
        <f t="shared" si="39"/>
        <v>1.3906392689900874E-2</v>
      </c>
    </row>
    <row r="76" spans="1:41" s="8" customFormat="1" ht="15" customHeight="1" x14ac:dyDescent="0.2">
      <c r="A76" s="54" t="str">
        <f>'36. Generic chemical products'!A7</f>
        <v>Detergent, average (Ultravon EL)</v>
      </c>
      <c r="B76" s="54" t="str">
        <f>'36. Generic chemical products'!B7</f>
        <v>Ethoxylated fatty alcohol (&gt;6 EO)</v>
      </c>
      <c r="C76" s="54">
        <f>'36. Generic chemical products'!C7</f>
        <v>0.1</v>
      </c>
      <c r="D76" s="54" t="str">
        <f>'36. Generic chemical products'!D7</f>
        <v>kg</v>
      </c>
      <c r="E76" s="54" t="str">
        <f>'36. Generic chemical products'!E7</f>
        <v>MSDS</v>
      </c>
      <c r="F76" s="54">
        <f>'36. Generic chemical products'!F7</f>
        <v>0</v>
      </c>
      <c r="G76" s="54" t="str">
        <f>'36. Generic chemical products'!G7</f>
        <v>-</v>
      </c>
      <c r="H76" s="54">
        <f>'36. Generic chemical products'!H7</f>
        <v>0</v>
      </c>
      <c r="I76" s="54">
        <f>'36. Generic chemical products'!I7</f>
        <v>0</v>
      </c>
      <c r="J76" s="54">
        <f>'36. Generic chemical products'!J7</f>
        <v>0</v>
      </c>
      <c r="K76" s="54">
        <f>'36. Generic chemical products'!K7</f>
        <v>0</v>
      </c>
      <c r="L76" s="54">
        <f>'36. Generic chemical products'!L7</f>
        <v>0</v>
      </c>
      <c r="M76" s="54" t="str">
        <f>'36. Generic chemical products'!M7</f>
        <v>Alcohols, c12-14, ethoxylated</v>
      </c>
      <c r="N76" s="54" t="str">
        <f>'36. Generic chemical products'!N7</f>
        <v>river</v>
      </c>
      <c r="O76" s="54">
        <f>'36. Generic chemical products'!O7</f>
        <v>1.0000000000000002E-2</v>
      </c>
      <c r="P76" s="54" t="str">
        <f>'36. Generic chemical products'!P7</f>
        <v>kg</v>
      </c>
      <c r="Q76" s="54">
        <f>'36. Generic chemical products'!Q7</f>
        <v>0</v>
      </c>
      <c r="R76" s="54">
        <f>'36. Generic chemical products'!R7</f>
        <v>0</v>
      </c>
      <c r="S76" s="54">
        <f>'36. Generic chemical products'!S7</f>
        <v>0</v>
      </c>
      <c r="T76" s="54" t="str">
        <f>'36. Generic chemical products'!T7</f>
        <v>69011-36-5</v>
      </c>
      <c r="U76" s="54">
        <f>'36. Generic chemical products'!U7</f>
        <v>0</v>
      </c>
      <c r="V76" s="54">
        <f>'36. Generic chemical products'!V7</f>
        <v>0</v>
      </c>
      <c r="W76" s="54">
        <f>'36. Generic chemical products'!W7</f>
        <v>0</v>
      </c>
      <c r="X76" s="54">
        <f>'36. Generic chemical products'!X7</f>
        <v>0</v>
      </c>
      <c r="Y76" s="54">
        <f>'36. Generic chemical products'!Y7</f>
        <v>47</v>
      </c>
      <c r="Z76" s="54">
        <f>'36. Generic chemical products'!Z7</f>
        <v>913</v>
      </c>
      <c r="AA76" s="54" t="str">
        <f>'36. Generic chemical products'!AA7</f>
        <v>COSMEDE</v>
      </c>
      <c r="AB76" s="27">
        <f t="shared" si="41"/>
        <v>0</v>
      </c>
      <c r="AC76" s="29">
        <f t="shared" si="42"/>
        <v>5.0000000000000009E-5</v>
      </c>
      <c r="AD76" s="135">
        <f t="shared" si="40"/>
        <v>0</v>
      </c>
      <c r="AE76" s="135">
        <f t="shared" si="29"/>
        <v>0</v>
      </c>
      <c r="AF76" s="24">
        <f t="shared" si="30"/>
        <v>4.565000000000001E-2</v>
      </c>
      <c r="AG76" s="24">
        <f t="shared" si="31"/>
        <v>0</v>
      </c>
      <c r="AH76" s="24">
        <f t="shared" si="32"/>
        <v>0</v>
      </c>
      <c r="AI76" s="24">
        <f t="shared" si="33"/>
        <v>0</v>
      </c>
      <c r="AJ76" s="24">
        <f t="shared" si="34"/>
        <v>0</v>
      </c>
      <c r="AK76" s="24">
        <f t="shared" si="35"/>
        <v>0</v>
      </c>
      <c r="AL76" s="24">
        <f t="shared" si="36"/>
        <v>4.565000000000001E-2</v>
      </c>
      <c r="AM76" s="161">
        <f t="shared" si="37"/>
        <v>0</v>
      </c>
      <c r="AN76" s="157">
        <f t="shared" si="38"/>
        <v>0</v>
      </c>
      <c r="AO76" s="162">
        <f t="shared" si="39"/>
        <v>4.565000000000001E-2</v>
      </c>
    </row>
    <row r="77" spans="1:41" s="8" customFormat="1" ht="15" customHeight="1" x14ac:dyDescent="0.2">
      <c r="A77" s="54" t="str">
        <f>'36. Generic chemical products'!A8</f>
        <v>Detergent, average (Ultravon EL)</v>
      </c>
      <c r="B77" s="54" t="str">
        <f>'36. Generic chemical products'!B8</f>
        <v>Sodium mono(2-ethylhexyl)estersulfate</v>
      </c>
      <c r="C77" s="54">
        <f>'36. Generic chemical products'!C8</f>
        <v>0.05</v>
      </c>
      <c r="D77" s="54" t="str">
        <f>'36. Generic chemical products'!D8</f>
        <v>kg</v>
      </c>
      <c r="E77" s="54" t="str">
        <f>'36. Generic chemical products'!E8</f>
        <v>MSDS</v>
      </c>
      <c r="F77" s="54">
        <f>'36. Generic chemical products'!F8</f>
        <v>0</v>
      </c>
      <c r="G77" s="54" t="str">
        <f>'36. Generic chemical products'!G8</f>
        <v>-</v>
      </c>
      <c r="H77" s="54">
        <f>'36. Generic chemical products'!H8</f>
        <v>0</v>
      </c>
      <c r="I77" s="54">
        <f>'36. Generic chemical products'!I8</f>
        <v>0</v>
      </c>
      <c r="J77" s="54">
        <f>'36. Generic chemical products'!J8</f>
        <v>0</v>
      </c>
      <c r="K77" s="54">
        <f>'36. Generic chemical products'!K8</f>
        <v>0</v>
      </c>
      <c r="L77" s="54">
        <f>'36. Generic chemical products'!L8</f>
        <v>0</v>
      </c>
      <c r="M77" s="54" t="str">
        <f>'36. Generic chemical products'!M8</f>
        <v>Sodium mono(2-ethylhexyl)estersulfate</v>
      </c>
      <c r="N77" s="54" t="str">
        <f>'36. Generic chemical products'!N8</f>
        <v>river</v>
      </c>
      <c r="O77" s="54">
        <f>'36. Generic chemical products'!O8</f>
        <v>5.000000000000001E-3</v>
      </c>
      <c r="P77" s="54" t="str">
        <f>'36. Generic chemical products'!P8</f>
        <v>kg</v>
      </c>
      <c r="Q77" s="54">
        <f>'36. Generic chemical products'!Q8</f>
        <v>0</v>
      </c>
      <c r="R77" s="54">
        <f>'36. Generic chemical products'!R8</f>
        <v>0</v>
      </c>
      <c r="S77" s="54">
        <f>'36. Generic chemical products'!S8</f>
        <v>0</v>
      </c>
      <c r="T77" s="54" t="str">
        <f>'36. Generic chemical products'!T8</f>
        <v>126-92-1</v>
      </c>
      <c r="U77" s="54">
        <f>'36. Generic chemical products'!U8</f>
        <v>0</v>
      </c>
      <c r="V77" s="54">
        <f>'36. Generic chemical products'!V8</f>
        <v>0</v>
      </c>
      <c r="W77" s="54">
        <f>'36. Generic chemical products'!W8</f>
        <v>0</v>
      </c>
      <c r="X77" s="54">
        <f>'36. Generic chemical products'!X8</f>
        <v>0</v>
      </c>
      <c r="Y77" s="54">
        <f>'36. Generic chemical products'!Y8</f>
        <v>109.72</v>
      </c>
      <c r="Z77" s="54">
        <f>'36. Generic chemical products'!Z8</f>
        <v>110</v>
      </c>
      <c r="AA77" s="54" t="str">
        <f>'36. Generic chemical products'!AA8</f>
        <v>COSMEDE</v>
      </c>
      <c r="AB77" s="27">
        <f t="shared" si="41"/>
        <v>0</v>
      </c>
      <c r="AC77" s="29">
        <f t="shared" si="42"/>
        <v>2.5000000000000005E-5</v>
      </c>
      <c r="AD77" s="135">
        <f t="shared" si="40"/>
        <v>0</v>
      </c>
      <c r="AE77" s="135">
        <f t="shared" si="29"/>
        <v>0</v>
      </c>
      <c r="AF77" s="24">
        <f t="shared" si="30"/>
        <v>2.7500000000000007E-3</v>
      </c>
      <c r="AG77" s="24">
        <f t="shared" si="31"/>
        <v>0</v>
      </c>
      <c r="AH77" s="24">
        <f t="shared" si="32"/>
        <v>0</v>
      </c>
      <c r="AI77" s="24">
        <f t="shared" si="33"/>
        <v>0</v>
      </c>
      <c r="AJ77" s="24">
        <f t="shared" si="34"/>
        <v>0</v>
      </c>
      <c r="AK77" s="24">
        <f t="shared" si="35"/>
        <v>0</v>
      </c>
      <c r="AL77" s="24">
        <f t="shared" si="36"/>
        <v>2.7500000000000007E-3</v>
      </c>
      <c r="AM77" s="161">
        <f t="shared" si="37"/>
        <v>0</v>
      </c>
      <c r="AN77" s="157">
        <f t="shared" si="38"/>
        <v>0</v>
      </c>
      <c r="AO77" s="162">
        <f t="shared" si="39"/>
        <v>2.7500000000000007E-3</v>
      </c>
    </row>
    <row r="78" spans="1:41" s="8" customFormat="1" ht="15" customHeight="1" x14ac:dyDescent="0.2">
      <c r="A78" s="54" t="str">
        <f>'36. Generic chemical products'!A9</f>
        <v>Detergent, average (Ultravon EL)</v>
      </c>
      <c r="B78" s="54" t="str">
        <f>'36. Generic chemical products'!B9</f>
        <v>Ethylene oxide</v>
      </c>
      <c r="C78" s="54">
        <f>'36. Generic chemical products'!C9</f>
        <v>0</v>
      </c>
      <c r="D78" s="54">
        <f>'36. Generic chemical products'!D9</f>
        <v>0</v>
      </c>
      <c r="E78" s="54" t="str">
        <f>'36. Generic chemical products'!E9</f>
        <v>&lt;= 0.1% in alcohol ethoxylates</v>
      </c>
      <c r="F78" s="54">
        <f>'36. Generic chemical products'!F9</f>
        <v>0</v>
      </c>
      <c r="G78" s="54" t="str">
        <f>'36. Generic chemical products'!G9</f>
        <v>Ethylene oxide</v>
      </c>
      <c r="H78" s="54" t="str">
        <f>'36. Generic chemical products'!H9</f>
        <v>high. pop.</v>
      </c>
      <c r="I78" s="54">
        <f>'36. Generic chemical products'!I9</f>
        <v>1.0000000000000001E-7</v>
      </c>
      <c r="J78" s="54" t="str">
        <f>'36. Generic chemical products'!J9</f>
        <v>kg</v>
      </c>
      <c r="K78" s="54">
        <f>'36. Generic chemical products'!K9</f>
        <v>0</v>
      </c>
      <c r="L78" s="54">
        <f>'36. Generic chemical products'!L9</f>
        <v>0</v>
      </c>
      <c r="M78" s="54" t="str">
        <f>'36. Generic chemical products'!M9</f>
        <v>Ethylene oxide</v>
      </c>
      <c r="N78" s="54" t="str">
        <f>'36. Generic chemical products'!N9</f>
        <v>river</v>
      </c>
      <c r="O78" s="54">
        <f>'36. Generic chemical products'!O9</f>
        <v>1.0000000000000001E-5</v>
      </c>
      <c r="P78" s="54" t="str">
        <f>'36. Generic chemical products'!P9</f>
        <v>kg</v>
      </c>
      <c r="Q78" s="54" t="str">
        <f>'36. Generic chemical products'!Q9</f>
        <v>&lt;= 0.001 in alcohol ethoxylates</v>
      </c>
      <c r="R78" s="54">
        <f>'36. Generic chemical products'!R9</f>
        <v>0</v>
      </c>
      <c r="S78" s="54">
        <f>'36. Generic chemical products'!S9</f>
        <v>0</v>
      </c>
      <c r="T78" s="54" t="str">
        <f>'36. Generic chemical products'!T9</f>
        <v>75-21-8</v>
      </c>
      <c r="U78" s="54">
        <f>'36. Generic chemical products'!U9</f>
        <v>1.0252176328593382E-6</v>
      </c>
      <c r="V78" s="54">
        <f>'36. Generic chemical products'!V9</f>
        <v>0</v>
      </c>
      <c r="W78" s="54">
        <f>'36. Generic chemical products'!W9</f>
        <v>8.6533271568247147E-7</v>
      </c>
      <c r="X78" s="54">
        <f>'36. Generic chemical products'!X9</f>
        <v>0</v>
      </c>
      <c r="Y78" s="54">
        <f>'36. Generic chemical products'!Y9</f>
        <v>0.65406517859613422</v>
      </c>
      <c r="Z78" s="54">
        <f>'36. Generic chemical products'!Z9</f>
        <v>11.248588270889815</v>
      </c>
      <c r="AA78" s="54" t="str">
        <f>'36. Generic chemical products'!AA9</f>
        <v>USEtox</v>
      </c>
      <c r="AB78" s="27">
        <f t="shared" si="41"/>
        <v>5.0000000000000003E-10</v>
      </c>
      <c r="AC78" s="29">
        <f t="shared" si="42"/>
        <v>5.0000000000000004E-8</v>
      </c>
      <c r="AD78" s="135">
        <f t="shared" si="40"/>
        <v>4.3779244600553245E-14</v>
      </c>
      <c r="AE78" s="135">
        <f t="shared" si="29"/>
        <v>0</v>
      </c>
      <c r="AF78" s="24">
        <f t="shared" si="30"/>
        <v>5.6275644613378898E-7</v>
      </c>
      <c r="AG78" s="24">
        <f t="shared" si="31"/>
        <v>5.1260881642966916E-16</v>
      </c>
      <c r="AH78" s="24">
        <f t="shared" si="32"/>
        <v>0</v>
      </c>
      <c r="AI78" s="24">
        <f t="shared" si="33"/>
        <v>3.2703258929806711E-10</v>
      </c>
      <c r="AJ78" s="24">
        <f t="shared" si="34"/>
        <v>4.3266635784123576E-14</v>
      </c>
      <c r="AK78" s="24">
        <f t="shared" si="35"/>
        <v>0</v>
      </c>
      <c r="AL78" s="24">
        <f t="shared" si="36"/>
        <v>5.6242941354449086E-7</v>
      </c>
      <c r="AM78" s="161">
        <f t="shared" si="37"/>
        <v>4.3779244600553245E-14</v>
      </c>
      <c r="AN78" s="157">
        <f t="shared" si="38"/>
        <v>0</v>
      </c>
      <c r="AO78" s="162">
        <f t="shared" si="39"/>
        <v>5.6275644613378898E-7</v>
      </c>
    </row>
    <row r="79" spans="1:41" s="49" customFormat="1" ht="15" customHeight="1" x14ac:dyDescent="0.2">
      <c r="A79" s="141" t="str">
        <f>'36. Generic chemical products'!A10</f>
        <v>Detergent, average (Ultravon EL)</v>
      </c>
      <c r="B79" s="141" t="str">
        <f>'36. Generic chemical products'!B10</f>
        <v xml:space="preserve"> </v>
      </c>
      <c r="C79" s="141">
        <f>'36. Generic chemical products'!C10</f>
        <v>0</v>
      </c>
      <c r="D79" s="141">
        <f>'36. Generic chemical products'!D10</f>
        <v>0</v>
      </c>
      <c r="E79" s="141" t="str">
        <f>'36. Generic chemical products'!E10</f>
        <v>Common breakdown product of of acrylics, 0.001 % assumed</v>
      </c>
      <c r="F79" s="141">
        <f>'36. Generic chemical products'!F10</f>
        <v>0</v>
      </c>
      <c r="G79" s="141" t="str">
        <f>'36. Generic chemical products'!G10</f>
        <v>Formaldehyde</v>
      </c>
      <c r="H79" s="141" t="str">
        <f>'36. Generic chemical products'!H10</f>
        <v>high. pop.</v>
      </c>
      <c r="I79" s="141">
        <f>'36. Generic chemical products'!I10</f>
        <v>1.0000000000000001E-7</v>
      </c>
      <c r="J79" s="141" t="str">
        <f>'36. Generic chemical products'!J10</f>
        <v>kg</v>
      </c>
      <c r="K79" s="141">
        <f>'36. Generic chemical products'!K10</f>
        <v>0</v>
      </c>
      <c r="L79" s="141">
        <f>'36. Generic chemical products'!L10</f>
        <v>0</v>
      </c>
      <c r="M79" s="141" t="str">
        <f>'36. Generic chemical products'!M10</f>
        <v>Formaldehyde</v>
      </c>
      <c r="N79" s="141" t="str">
        <f>'36. Generic chemical products'!N10</f>
        <v>river</v>
      </c>
      <c r="O79" s="141">
        <f>'36. Generic chemical products'!O10</f>
        <v>1.0000000000000002E-6</v>
      </c>
      <c r="P79" s="141" t="str">
        <f>'36. Generic chemical products'!P10</f>
        <v>kg</v>
      </c>
      <c r="Q79" s="141" t="str">
        <f>'36. Generic chemical products'!Q10</f>
        <v xml:space="preserve">0.1 % of the content is degraded to common breakdown products. 90% of reactive chemicals are degraded during operations. </v>
      </c>
      <c r="R79" s="141">
        <f>'36. Generic chemical products'!R10</f>
        <v>0</v>
      </c>
      <c r="S79" s="141">
        <f>'36. Generic chemical products'!S10</f>
        <v>0</v>
      </c>
      <c r="T79" s="141" t="str">
        <f>'36. Generic chemical products'!T10</f>
        <v>50-00-0</v>
      </c>
      <c r="U79" s="141">
        <f>'36. Generic chemical products'!U10</f>
        <v>2.5208446330720887E-5</v>
      </c>
      <c r="V79" s="141">
        <f>'36. Generic chemical products'!V10</f>
        <v>2.6504960021309262E-7</v>
      </c>
      <c r="W79" s="141">
        <f>'36. Generic chemical products'!W10</f>
        <v>1.4222228897488039E-7</v>
      </c>
      <c r="X79" s="141">
        <f>'36. Generic chemical products'!X10</f>
        <v>3.170874313501273E-7</v>
      </c>
      <c r="Y79" s="141">
        <f>'36. Generic chemical products'!Y10</f>
        <v>17.989178582912412</v>
      </c>
      <c r="Z79" s="141">
        <f>'36. Generic chemical products'!Z10</f>
        <v>290.05086067463066</v>
      </c>
      <c r="AA79" s="141" t="str">
        <f>'36. Generic chemical products'!AA10</f>
        <v>USEtox</v>
      </c>
      <c r="AB79" s="28">
        <f t="shared" si="41"/>
        <v>5.0000000000000003E-10</v>
      </c>
      <c r="AC79" s="146">
        <f t="shared" si="42"/>
        <v>5.0000000000000009E-9</v>
      </c>
      <c r="AD79" s="147">
        <f t="shared" si="40"/>
        <v>1.3315334610234846E-14</v>
      </c>
      <c r="AE79" s="147">
        <f t="shared" si="29"/>
        <v>1.7179619568571831E-15</v>
      </c>
      <c r="AF79" s="25">
        <f t="shared" si="30"/>
        <v>1.4592488926646098E-6</v>
      </c>
      <c r="AG79" s="25">
        <f t="shared" si="31"/>
        <v>1.2604223165360444E-14</v>
      </c>
      <c r="AH79" s="25">
        <f t="shared" si="32"/>
        <v>1.3252480010654632E-16</v>
      </c>
      <c r="AI79" s="25">
        <f t="shared" si="33"/>
        <v>8.9945892914562072E-9</v>
      </c>
      <c r="AJ79" s="25">
        <f t="shared" si="34"/>
        <v>7.1111144487440207E-16</v>
      </c>
      <c r="AK79" s="25">
        <f t="shared" si="35"/>
        <v>1.5854371567506369E-15</v>
      </c>
      <c r="AL79" s="25">
        <f t="shared" si="36"/>
        <v>1.4502543033731536E-6</v>
      </c>
      <c r="AM79" s="163">
        <f t="shared" si="37"/>
        <v>1.3315334610234846E-14</v>
      </c>
      <c r="AN79" s="164">
        <f t="shared" si="38"/>
        <v>1.7179619568571831E-15</v>
      </c>
      <c r="AO79" s="165">
        <f t="shared" si="39"/>
        <v>1.4592488926646098E-6</v>
      </c>
    </row>
    <row r="80" spans="1:41" s="49" customFormat="1" ht="15" customHeight="1" x14ac:dyDescent="0.2">
      <c r="A80" s="193" t="str">
        <f>'36. Generic chemical products'!A22</f>
        <v>Sequestering agent/complex binder, average (Invatex)</v>
      </c>
      <c r="B80" s="193" t="str">
        <f>'36. Generic chemical products'!B22</f>
        <v>Phosphonic acid, disodium salt</v>
      </c>
      <c r="C80" s="193">
        <f>'36. Generic chemical products'!C22</f>
        <v>0.3</v>
      </c>
      <c r="D80" s="193" t="str">
        <f>'36. Generic chemical products'!D22</f>
        <v>kg</v>
      </c>
      <c r="E80" s="193" t="str">
        <f>'36. Generic chemical products'!E22</f>
        <v>MSDS</v>
      </c>
      <c r="F80" s="193">
        <f>'36. Generic chemical products'!F22</f>
        <v>0</v>
      </c>
      <c r="G80" s="193" t="str">
        <f>'36. Generic chemical products'!G22</f>
        <v>Phosphonic acid</v>
      </c>
      <c r="H80" s="193" t="str">
        <f>'36. Generic chemical products'!H22</f>
        <v>high. pop.</v>
      </c>
      <c r="I80" s="193">
        <f>'36. Generic chemical products'!I22</f>
        <v>2.9999999999999997E-4</v>
      </c>
      <c r="J80" s="193">
        <f>'36. Generic chemical products'!J22</f>
        <v>0</v>
      </c>
      <c r="K80" s="193">
        <f>'36. Generic chemical products'!K22</f>
        <v>0</v>
      </c>
      <c r="L80" s="193">
        <f>'36. Generic chemical products'!L22</f>
        <v>0</v>
      </c>
      <c r="M80" s="193" t="str">
        <f>'36. Generic chemical products'!M22</f>
        <v>Phosphonic acid</v>
      </c>
      <c r="N80" s="193" t="str">
        <f>'36. Generic chemical products'!N22</f>
        <v>river</v>
      </c>
      <c r="O80" s="193">
        <f>'36. Generic chemical products'!O22</f>
        <v>0.03</v>
      </c>
      <c r="P80" s="193" t="str">
        <f>'36. Generic chemical products'!P22</f>
        <v>kg</v>
      </c>
      <c r="Q80" s="193">
        <f>'36. Generic chemical products'!Q22</f>
        <v>0</v>
      </c>
      <c r="R80" s="193">
        <f>'36. Generic chemical products'!R22</f>
        <v>0</v>
      </c>
      <c r="S80" s="193">
        <f>'36. Generic chemical products'!S22</f>
        <v>0</v>
      </c>
      <c r="T80" s="193" t="str">
        <f>'36. Generic chemical products'!T22</f>
        <v>13708-85-5</v>
      </c>
      <c r="U80" s="193">
        <f>'36. Generic chemical products'!U22</f>
        <v>0</v>
      </c>
      <c r="V80" s="193">
        <f>'36. Generic chemical products'!V22</f>
        <v>2.5624272316803493E-8</v>
      </c>
      <c r="W80" s="193">
        <f>'36. Generic chemical products'!W22</f>
        <v>0</v>
      </c>
      <c r="X80" s="193">
        <f>'36. Generic chemical products'!X22</f>
        <v>6.1179997974786175E-9</v>
      </c>
      <c r="Y80" s="193">
        <f>'36. Generic chemical products'!Y22</f>
        <v>95.727827940780713</v>
      </c>
      <c r="Z80" s="193">
        <f>'36. Generic chemical products'!Z22</f>
        <v>451.93033608164546</v>
      </c>
      <c r="AA80" s="193" t="str">
        <f>'36. Generic chemical products'!AA22</f>
        <v>Roos 2017</v>
      </c>
      <c r="AB80" s="28">
        <f>$C$13*I80</f>
        <v>1.4999999999999998E-6</v>
      </c>
      <c r="AC80" s="146">
        <f>$C$17*O80</f>
        <v>1.4999999999999999E-4</v>
      </c>
      <c r="AD80" s="147">
        <f t="shared" si="40"/>
        <v>0</v>
      </c>
      <c r="AE80" s="147">
        <f t="shared" si="29"/>
        <v>9.5613637809699787E-13</v>
      </c>
      <c r="AF80" s="25">
        <f t="shared" si="30"/>
        <v>6.793314215415798E-2</v>
      </c>
      <c r="AG80" s="25">
        <f t="shared" si="31"/>
        <v>0</v>
      </c>
      <c r="AH80" s="25">
        <f t="shared" si="32"/>
        <v>3.8436408475205235E-14</v>
      </c>
      <c r="AI80" s="25">
        <f t="shared" si="33"/>
        <v>1.4359174191117105E-4</v>
      </c>
      <c r="AJ80" s="25">
        <f t="shared" si="34"/>
        <v>0</v>
      </c>
      <c r="AK80" s="25">
        <f t="shared" si="35"/>
        <v>9.1769996962179263E-13</v>
      </c>
      <c r="AL80" s="25">
        <f t="shared" si="36"/>
        <v>6.778955041224681E-2</v>
      </c>
      <c r="AM80" s="163">
        <f t="shared" si="37"/>
        <v>0</v>
      </c>
      <c r="AN80" s="164">
        <f t="shared" si="38"/>
        <v>9.5613637809699787E-13</v>
      </c>
      <c r="AO80" s="165">
        <f t="shared" si="39"/>
        <v>6.793314215415798E-2</v>
      </c>
    </row>
    <row r="81" spans="1:41" s="50" customFormat="1" ht="15" customHeight="1" x14ac:dyDescent="0.2">
      <c r="A81" s="54" t="str">
        <f>'36. Generic chemical products'!A46</f>
        <v>Wetting agent for better printability (Ultravon PRE)</v>
      </c>
      <c r="B81" s="54" t="str">
        <f>'36. Generic chemical products'!B46</f>
        <v>Ethoxylated fatty alcohol</v>
      </c>
      <c r="C81" s="54">
        <f>'36. Generic chemical products'!C46</f>
        <v>0.7</v>
      </c>
      <c r="D81" s="54" t="str">
        <f>'36. Generic chemical products'!D46</f>
        <v>kg</v>
      </c>
      <c r="E81" s="54" t="str">
        <f>'36. Generic chemical products'!E46</f>
        <v>MSDS</v>
      </c>
      <c r="F81" s="54">
        <f>'36. Generic chemical products'!F46</f>
        <v>0</v>
      </c>
      <c r="G81" s="54" t="str">
        <f>'36. Generic chemical products'!G46</f>
        <v>Alcohols, ethoxylated</v>
      </c>
      <c r="H81" s="54" t="str">
        <f>'36. Generic chemical products'!H46</f>
        <v>high. pop.</v>
      </c>
      <c r="I81" s="54">
        <f>'36. Generic chemical products'!I46</f>
        <v>6.9999999999999999E-4</v>
      </c>
      <c r="J81" s="54" t="str">
        <f>'36. Generic chemical products'!J46</f>
        <v>kg</v>
      </c>
      <c r="K81" s="54">
        <f>'36. Generic chemical products'!K46</f>
        <v>0</v>
      </c>
      <c r="L81" s="54">
        <f>'36. Generic chemical products'!L46</f>
        <v>0</v>
      </c>
      <c r="M81" s="54" t="str">
        <f>'36. Generic chemical products'!M46</f>
        <v>Alcohols, ethoxylated</v>
      </c>
      <c r="N81" s="54" t="str">
        <f>'36. Generic chemical products'!N46</f>
        <v>river</v>
      </c>
      <c r="O81" s="54">
        <f>'36. Generic chemical products'!O46</f>
        <v>6.9999999999999993E-2</v>
      </c>
      <c r="P81" s="54" t="str">
        <f>'36. Generic chemical products'!P46</f>
        <v>kg</v>
      </c>
      <c r="Q81" s="54">
        <f>'36. Generic chemical products'!Q46</f>
        <v>0</v>
      </c>
      <c r="R81" s="54">
        <f>'36. Generic chemical products'!R46</f>
        <v>0</v>
      </c>
      <c r="S81" s="54">
        <f>'36. Generic chemical products'!S46</f>
        <v>0</v>
      </c>
      <c r="T81" s="54" t="str">
        <f>'36. Generic chemical products'!T46</f>
        <v>61827-42-7</v>
      </c>
      <c r="U81" s="54">
        <f>'36. Generic chemical products'!U46</f>
        <v>0</v>
      </c>
      <c r="V81" s="54">
        <f>'36. Generic chemical products'!V46</f>
        <v>0</v>
      </c>
      <c r="W81" s="54">
        <f>'36. Generic chemical products'!W46</f>
        <v>0</v>
      </c>
      <c r="X81" s="54">
        <f>'36. Generic chemical products'!X46</f>
        <v>0</v>
      </c>
      <c r="Y81" s="54">
        <f>'36. Generic chemical products'!Y46</f>
        <v>87</v>
      </c>
      <c r="Z81" s="54">
        <f>'36. Generic chemical products'!Z46</f>
        <v>2740</v>
      </c>
      <c r="AA81" s="54" t="str">
        <f>'36. Generic chemical products'!AA46</f>
        <v>COSMEDE</v>
      </c>
      <c r="AB81" s="421">
        <f>$C$14*I81</f>
        <v>3.4999999999999999E-6</v>
      </c>
      <c r="AC81" s="422">
        <f>$C$18*O81</f>
        <v>3.5E-4</v>
      </c>
      <c r="AD81" s="423">
        <f t="shared" si="40"/>
        <v>0</v>
      </c>
      <c r="AE81" s="423">
        <f t="shared" si="29"/>
        <v>0</v>
      </c>
      <c r="AF81" s="424">
        <f t="shared" si="30"/>
        <v>0.9593045</v>
      </c>
      <c r="AG81" s="424">
        <f t="shared" si="31"/>
        <v>0</v>
      </c>
      <c r="AH81" s="424">
        <f t="shared" si="32"/>
        <v>0</v>
      </c>
      <c r="AI81" s="424">
        <f t="shared" si="33"/>
        <v>3.0449999999999997E-4</v>
      </c>
      <c r="AJ81" s="424">
        <f t="shared" si="34"/>
        <v>0</v>
      </c>
      <c r="AK81" s="424">
        <f t="shared" si="35"/>
        <v>0</v>
      </c>
      <c r="AL81" s="424">
        <f t="shared" si="36"/>
        <v>0.95899999999999996</v>
      </c>
      <c r="AM81" s="425">
        <f t="shared" si="37"/>
        <v>0</v>
      </c>
      <c r="AN81" s="384">
        <f t="shared" si="38"/>
        <v>0</v>
      </c>
      <c r="AO81" s="426">
        <f t="shared" si="39"/>
        <v>0.9593045</v>
      </c>
    </row>
    <row r="82" spans="1:41" s="50" customFormat="1" ht="15" customHeight="1" x14ac:dyDescent="0.2">
      <c r="A82" s="54" t="str">
        <f>'36. Generic chemical products'!A47</f>
        <v>Wetting agent for better printability (Ultravon PRE)</v>
      </c>
      <c r="B82" s="54" t="str">
        <f>'36. Generic chemical products'!B47</f>
        <v>2-metyl-2,4-pentandiol</v>
      </c>
      <c r="C82" s="54">
        <f>'36. Generic chemical products'!C47</f>
        <v>0.15</v>
      </c>
      <c r="D82" s="54" t="str">
        <f>'36. Generic chemical products'!D47</f>
        <v>kg</v>
      </c>
      <c r="E82" s="54" t="str">
        <f>'36. Generic chemical products'!E47</f>
        <v>MSDS</v>
      </c>
      <c r="F82" s="54">
        <f>'36. Generic chemical products'!F47</f>
        <v>0</v>
      </c>
      <c r="G82" s="54" t="str">
        <f>'36. Generic chemical products'!G47</f>
        <v>2-metyl-2,4-pentandiol</v>
      </c>
      <c r="H82" s="54" t="str">
        <f>'36. Generic chemical products'!H47</f>
        <v>high. pop.</v>
      </c>
      <c r="I82" s="54">
        <f>'36. Generic chemical products'!I47</f>
        <v>1.4999999999999999E-4</v>
      </c>
      <c r="J82" s="54" t="str">
        <f>'36. Generic chemical products'!J47</f>
        <v>kg</v>
      </c>
      <c r="K82" s="54">
        <f>'36. Generic chemical products'!K47</f>
        <v>0</v>
      </c>
      <c r="L82" s="54">
        <f>'36. Generic chemical products'!L47</f>
        <v>0</v>
      </c>
      <c r="M82" s="54" t="str">
        <f>'36. Generic chemical products'!M47</f>
        <v>2-metyl-2,4-pentandiol</v>
      </c>
      <c r="N82" s="54" t="str">
        <f>'36. Generic chemical products'!N47</f>
        <v>river</v>
      </c>
      <c r="O82" s="54">
        <f>'36. Generic chemical products'!O47</f>
        <v>1.4999999999999999E-2</v>
      </c>
      <c r="P82" s="54" t="str">
        <f>'36. Generic chemical products'!P47</f>
        <v>kg</v>
      </c>
      <c r="Q82" s="54">
        <f>'36. Generic chemical products'!Q47</f>
        <v>0</v>
      </c>
      <c r="R82" s="54">
        <f>'36. Generic chemical products'!R47</f>
        <v>0</v>
      </c>
      <c r="S82" s="54">
        <f>'36. Generic chemical products'!S47</f>
        <v>0</v>
      </c>
      <c r="T82" s="54" t="str">
        <f>'36. Generic chemical products'!T47</f>
        <v>111-42-1</v>
      </c>
      <c r="U82" s="54">
        <f>'36. Generic chemical products'!U47</f>
        <v>0</v>
      </c>
      <c r="V82" s="54">
        <f>'36. Generic chemical products'!V47</f>
        <v>0</v>
      </c>
      <c r="W82" s="54">
        <f>'36. Generic chemical products'!W47</f>
        <v>0</v>
      </c>
      <c r="X82" s="54">
        <f>'36. Generic chemical products'!X47</f>
        <v>0</v>
      </c>
      <c r="Y82" s="54">
        <f>'36. Generic chemical products'!Y47</f>
        <v>1.5026837363888605</v>
      </c>
      <c r="Z82" s="54">
        <f>'36. Generic chemical products'!Z47</f>
        <v>72.122957517746116</v>
      </c>
      <c r="AA82" s="54" t="str">
        <f>'36. Generic chemical products'!AA47</f>
        <v>USEtox</v>
      </c>
      <c r="AB82" s="421">
        <f>$C$14*I82</f>
        <v>7.4999999999999991E-7</v>
      </c>
      <c r="AC82" s="422">
        <f>$C$18*O82</f>
        <v>7.4999999999999993E-5</v>
      </c>
      <c r="AD82" s="423">
        <f t="shared" si="40"/>
        <v>0</v>
      </c>
      <c r="AE82" s="423">
        <f t="shared" si="29"/>
        <v>0</v>
      </c>
      <c r="AF82" s="424">
        <f t="shared" si="30"/>
        <v>5.4103488266332494E-3</v>
      </c>
      <c r="AG82" s="424">
        <f t="shared" si="31"/>
        <v>0</v>
      </c>
      <c r="AH82" s="424">
        <f t="shared" si="32"/>
        <v>0</v>
      </c>
      <c r="AI82" s="424">
        <f t="shared" si="33"/>
        <v>1.1270128022916453E-6</v>
      </c>
      <c r="AJ82" s="424">
        <f t="shared" si="34"/>
        <v>0</v>
      </c>
      <c r="AK82" s="424">
        <f t="shared" si="35"/>
        <v>0</v>
      </c>
      <c r="AL82" s="424">
        <f t="shared" si="36"/>
        <v>5.409221813830958E-3</v>
      </c>
      <c r="AM82" s="425">
        <f t="shared" si="37"/>
        <v>0</v>
      </c>
      <c r="AN82" s="384">
        <f t="shared" si="38"/>
        <v>0</v>
      </c>
      <c r="AO82" s="426">
        <f t="shared" si="39"/>
        <v>5.4103488266332494E-3</v>
      </c>
    </row>
    <row r="83" spans="1:41" s="50" customFormat="1" ht="15" customHeight="1" x14ac:dyDescent="0.2">
      <c r="A83" s="54" t="str">
        <f>'36. Generic chemical products'!A48</f>
        <v>Wetting agent for better printability (Ultravon PRE)</v>
      </c>
      <c r="B83" s="54" t="str">
        <f>'36. Generic chemical products'!B48</f>
        <v>Lauryl alcohol di(oxyethylene) ethanol</v>
      </c>
      <c r="C83" s="54">
        <f>'36. Generic chemical products'!C48</f>
        <v>0.1</v>
      </c>
      <c r="D83" s="54" t="str">
        <f>'36. Generic chemical products'!D48</f>
        <v>kg</v>
      </c>
      <c r="E83" s="54" t="str">
        <f>'36. Generic chemical products'!E48</f>
        <v>MSDS</v>
      </c>
      <c r="F83" s="54">
        <f>'36. Generic chemical products'!F48</f>
        <v>0</v>
      </c>
      <c r="G83" s="54" t="str">
        <f>'36. Generic chemical products'!G48</f>
        <v>Lauryl alcohol di(oxyethylene) ethanol</v>
      </c>
      <c r="H83" s="54" t="str">
        <f>'36. Generic chemical products'!H48</f>
        <v>high. pop.</v>
      </c>
      <c r="I83" s="54">
        <f>'36. Generic chemical products'!I48</f>
        <v>1E-4</v>
      </c>
      <c r="J83" s="54" t="str">
        <f>'36. Generic chemical products'!J48</f>
        <v>kg</v>
      </c>
      <c r="K83" s="54">
        <f>'36. Generic chemical products'!K48</f>
        <v>0</v>
      </c>
      <c r="L83" s="54">
        <f>'36. Generic chemical products'!L48</f>
        <v>0</v>
      </c>
      <c r="M83" s="54" t="str">
        <f>'36. Generic chemical products'!M48</f>
        <v>Lauryl alcohol di(oxyethylene) ethanol</v>
      </c>
      <c r="N83" s="54" t="str">
        <f>'36. Generic chemical products'!N48</f>
        <v>river</v>
      </c>
      <c r="O83" s="54">
        <f>'36. Generic chemical products'!O48</f>
        <v>1.0000000000000002E-2</v>
      </c>
      <c r="P83" s="54" t="str">
        <f>'36. Generic chemical products'!P48</f>
        <v>kg</v>
      </c>
      <c r="Q83" s="54">
        <f>'36. Generic chemical products'!Q48</f>
        <v>0</v>
      </c>
      <c r="R83" s="54">
        <f>'36. Generic chemical products'!R48</f>
        <v>0</v>
      </c>
      <c r="S83" s="54">
        <f>'36. Generic chemical products'!S48</f>
        <v>0</v>
      </c>
      <c r="T83" s="54" t="str">
        <f>'36. Generic chemical products'!T48</f>
        <v>3055-94-5</v>
      </c>
      <c r="U83" s="54">
        <f>'36. Generic chemical products'!U48</f>
        <v>1.0125738980457451E-5</v>
      </c>
      <c r="V83" s="54">
        <f>'36. Generic chemical products'!V48</f>
        <v>2.402763568235903E-7</v>
      </c>
      <c r="W83" s="54">
        <f>'36. Generic chemical products'!W48</f>
        <v>3.0394472430218979E-5</v>
      </c>
      <c r="X83" s="54">
        <f>'36. Generic chemical products'!X48</f>
        <v>7.2123853056087206E-7</v>
      </c>
      <c r="Y83" s="54">
        <f>'36. Generic chemical products'!Y48</f>
        <v>299.02729835072751</v>
      </c>
      <c r="Z83" s="54">
        <f>'36. Generic chemical products'!Z48</f>
        <v>4766.6238513685685</v>
      </c>
      <c r="AA83" s="54" t="str">
        <f>'36. Generic chemical products'!AA48</f>
        <v>Roos 2017</v>
      </c>
      <c r="AB83" s="421">
        <f>$C$14*I83</f>
        <v>5.0000000000000008E-7</v>
      </c>
      <c r="AC83" s="422">
        <f>$C$18*O83</f>
        <v>5.0000000000000009E-5</v>
      </c>
      <c r="AD83" s="423">
        <f t="shared" si="40"/>
        <v>1.524786491001178E-9</v>
      </c>
      <c r="AE83" s="423">
        <f t="shared" si="29"/>
        <v>3.6182064706455399E-11</v>
      </c>
      <c r="AF83" s="424">
        <f t="shared" si="30"/>
        <v>0.23848070621760384</v>
      </c>
      <c r="AG83" s="424">
        <f t="shared" si="31"/>
        <v>5.0628694902287266E-12</v>
      </c>
      <c r="AH83" s="424">
        <f t="shared" si="32"/>
        <v>1.2013817841179518E-13</v>
      </c>
      <c r="AI83" s="424">
        <f t="shared" si="33"/>
        <v>1.4951364917536379E-4</v>
      </c>
      <c r="AJ83" s="424">
        <f t="shared" si="34"/>
        <v>1.5197236215109492E-9</v>
      </c>
      <c r="AK83" s="424">
        <f t="shared" si="35"/>
        <v>3.6061926528043607E-11</v>
      </c>
      <c r="AL83" s="424">
        <f t="shared" si="36"/>
        <v>0.23833119256842847</v>
      </c>
      <c r="AM83" s="425">
        <f t="shared" si="37"/>
        <v>1.524786491001178E-9</v>
      </c>
      <c r="AN83" s="384">
        <f t="shared" si="38"/>
        <v>3.6182064706455399E-11</v>
      </c>
      <c r="AO83" s="426">
        <f t="shared" si="39"/>
        <v>0.23848070621760384</v>
      </c>
    </row>
    <row r="84" spans="1:41" s="364" customFormat="1" ht="15" customHeight="1" x14ac:dyDescent="0.2">
      <c r="A84" s="141" t="str">
        <f>'36. Generic chemical products'!A49</f>
        <v>Wetting agent for better printability (Ultravon PRE)</v>
      </c>
      <c r="B84" s="141" t="str">
        <f>'36. Generic chemical products'!B49</f>
        <v>Fatty alcohol alkoxylate</v>
      </c>
      <c r="C84" s="141">
        <f>'36. Generic chemical products'!C49</f>
        <v>0.05</v>
      </c>
      <c r="D84" s="141" t="str">
        <f>'36. Generic chemical products'!D49</f>
        <v>kg</v>
      </c>
      <c r="E84" s="141" t="str">
        <f>'36. Generic chemical products'!E49</f>
        <v>MSDS</v>
      </c>
      <c r="F84" s="141">
        <f>'36. Generic chemical products'!F49</f>
        <v>0</v>
      </c>
      <c r="G84" s="141" t="str">
        <f>'36. Generic chemical products'!G49</f>
        <v>Fatty alcohol alkoxylate</v>
      </c>
      <c r="H84" s="141" t="str">
        <f>'36. Generic chemical products'!H49</f>
        <v>high. pop.</v>
      </c>
      <c r="I84" s="141">
        <f>'36. Generic chemical products'!I49</f>
        <v>5.0000000000000002E-5</v>
      </c>
      <c r="J84" s="141" t="str">
        <f>'36. Generic chemical products'!J49</f>
        <v>kg</v>
      </c>
      <c r="K84" s="141">
        <f>'36. Generic chemical products'!K49</f>
        <v>0</v>
      </c>
      <c r="L84" s="141">
        <f>'36. Generic chemical products'!L49</f>
        <v>0</v>
      </c>
      <c r="M84" s="141" t="str">
        <f>'36. Generic chemical products'!M49</f>
        <v>Fatty alcohol alkoxylate</v>
      </c>
      <c r="N84" s="141" t="str">
        <f>'36. Generic chemical products'!N49</f>
        <v>river</v>
      </c>
      <c r="O84" s="141">
        <f>'36. Generic chemical products'!O49</f>
        <v>5.000000000000001E-3</v>
      </c>
      <c r="P84" s="141" t="str">
        <f>'36. Generic chemical products'!P49</f>
        <v>kg</v>
      </c>
      <c r="Q84" s="141">
        <f>'36. Generic chemical products'!Q49</f>
        <v>0</v>
      </c>
      <c r="R84" s="141">
        <f>'36. Generic chemical products'!R49</f>
        <v>0</v>
      </c>
      <c r="S84" s="141">
        <f>'36. Generic chemical products'!S49</f>
        <v>0</v>
      </c>
      <c r="T84" s="141" t="str">
        <f>'36. Generic chemical products'!T49</f>
        <v>78330-23-1</v>
      </c>
      <c r="U84" s="141">
        <f>'36. Generic chemical products'!U49</f>
        <v>0</v>
      </c>
      <c r="V84" s="141">
        <f>'36. Generic chemical products'!V49</f>
        <v>2.0520474093865351E-7</v>
      </c>
      <c r="W84" s="141">
        <f>'36. Generic chemical products'!W49</f>
        <v>0</v>
      </c>
      <c r="X84" s="141">
        <f>'36. Generic chemical products'!X49</f>
        <v>1.1065026602356948E-5</v>
      </c>
      <c r="Y84" s="141">
        <f>'36. Generic chemical products'!Y49</f>
        <v>1067.7302200139782</v>
      </c>
      <c r="Z84" s="141">
        <f>'36. Generic chemical products'!Z49</f>
        <v>79444.76315026985</v>
      </c>
      <c r="AA84" s="141" t="str">
        <f>'36. Generic chemical products'!AA49</f>
        <v>Roos 2017</v>
      </c>
      <c r="AB84" s="427">
        <f>$C$14*I84</f>
        <v>2.5000000000000004E-7</v>
      </c>
      <c r="AC84" s="428">
        <f>$C$18*O84</f>
        <v>2.5000000000000005E-5</v>
      </c>
      <c r="AD84" s="429">
        <f t="shared" si="40"/>
        <v>0</v>
      </c>
      <c r="AE84" s="429">
        <f t="shared" si="29"/>
        <v>2.7667696624415837E-10</v>
      </c>
      <c r="AF84" s="430">
        <f t="shared" si="30"/>
        <v>1.9863860113117502</v>
      </c>
      <c r="AG84" s="430">
        <f t="shared" si="31"/>
        <v>0</v>
      </c>
      <c r="AH84" s="430">
        <f t="shared" si="32"/>
        <v>5.1301185234663388E-14</v>
      </c>
      <c r="AI84" s="430">
        <f t="shared" si="33"/>
        <v>2.669325550034946E-4</v>
      </c>
      <c r="AJ84" s="430">
        <f t="shared" si="34"/>
        <v>0</v>
      </c>
      <c r="AK84" s="430">
        <f t="shared" si="35"/>
        <v>2.7662566505892372E-10</v>
      </c>
      <c r="AL84" s="430">
        <f t="shared" si="36"/>
        <v>1.9861190787567466</v>
      </c>
      <c r="AM84" s="431">
        <f t="shared" si="37"/>
        <v>0</v>
      </c>
      <c r="AN84" s="432">
        <f t="shared" si="38"/>
        <v>2.7667696624415837E-10</v>
      </c>
      <c r="AO84" s="433">
        <f t="shared" si="39"/>
        <v>1.9863860113117502</v>
      </c>
    </row>
    <row r="85" spans="1:41" s="8" customFormat="1" ht="15" customHeight="1" x14ac:dyDescent="0.2">
      <c r="A85" s="34"/>
      <c r="B85" s="54"/>
      <c r="C85" s="74"/>
      <c r="D85" s="51"/>
      <c r="E85" s="64"/>
      <c r="F85" s="51"/>
      <c r="G85" s="51"/>
      <c r="H85" s="69"/>
      <c r="I85" s="51"/>
      <c r="J85" s="51"/>
      <c r="K85" s="51"/>
      <c r="L85" s="51"/>
      <c r="M85" s="69"/>
      <c r="N85" s="51"/>
      <c r="O85" s="51"/>
      <c r="P85" s="54"/>
      <c r="Q85" s="115"/>
      <c r="R85" s="115"/>
      <c r="S85" s="115"/>
      <c r="T85" s="115"/>
      <c r="U85" s="115"/>
      <c r="V85" s="115"/>
      <c r="W85" s="125"/>
      <c r="X85" s="203"/>
      <c r="Y85" s="204"/>
      <c r="Z85" s="205"/>
      <c r="AA85" s="205"/>
      <c r="AB85" s="203"/>
      <c r="AC85" s="203"/>
      <c r="AD85" s="177">
        <f>SUM(AD71:AD84)</f>
        <v>1.5271277716707523E-9</v>
      </c>
      <c r="AE85" s="177">
        <f t="shared" ref="AE85:AH85" si="43">SUM(AE71:AE84)</f>
        <v>3.6422587054466669E-10</v>
      </c>
      <c r="AF85" s="177">
        <f t="shared" si="43"/>
        <v>3.335461412593121</v>
      </c>
      <c r="AG85" s="177">
        <f t="shared" si="43"/>
        <v>5.5641494630158565E-12</v>
      </c>
      <c r="AH85" s="177">
        <f t="shared" si="43"/>
        <v>2.0825747903523001E-12</v>
      </c>
      <c r="AI85" s="177">
        <f>SUM(AI71:AI84)</f>
        <v>8.6585182676979754E-4</v>
      </c>
      <c r="AJ85" s="177">
        <f t="shared" ref="AJ85:AK85" si="44">SUM(AJ71:AJ84)</f>
        <v>1.5215636222077364E-9</v>
      </c>
      <c r="AK85" s="177">
        <f t="shared" si="44"/>
        <v>3.6214329575431443E-10</v>
      </c>
      <c r="AL85" s="177">
        <f>SUM(AL71:AL84)</f>
        <v>3.3345955607663509</v>
      </c>
    </row>
    <row r="86" spans="1:41" x14ac:dyDescent="0.2">
      <c r="AC86" s="366" t="s">
        <v>1040</v>
      </c>
      <c r="AD86" s="367">
        <f>AD85*2</f>
        <v>3.0542555433415046E-9</v>
      </c>
    </row>
    <row r="93" spans="1:41" x14ac:dyDescent="0.2">
      <c r="A93" s="35" t="s">
        <v>687</v>
      </c>
    </row>
    <row r="94" spans="1:41" x14ac:dyDescent="0.2">
      <c r="A94" s="244" t="s">
        <v>1102</v>
      </c>
    </row>
    <row r="95" spans="1:41" x14ac:dyDescent="0.2">
      <c r="A95" s="244" t="s">
        <v>1103</v>
      </c>
    </row>
    <row r="96" spans="1:41" x14ac:dyDescent="0.2">
      <c r="A96" t="s">
        <v>1068</v>
      </c>
    </row>
    <row r="97" spans="1:1" x14ac:dyDescent="0.2">
      <c r="A97" s="244" t="s">
        <v>1083</v>
      </c>
    </row>
    <row r="98" spans="1:1" x14ac:dyDescent="0.2">
      <c r="A98" s="244" t="s">
        <v>1104</v>
      </c>
    </row>
    <row r="99" spans="1:1" x14ac:dyDescent="0.2">
      <c r="A99" s="244" t="s">
        <v>1087</v>
      </c>
    </row>
    <row r="100" spans="1:1" x14ac:dyDescent="0.2">
      <c r="A100" s="244" t="s">
        <v>1105</v>
      </c>
    </row>
    <row r="101" spans="1:1" x14ac:dyDescent="0.2">
      <c r="A101" s="244" t="s">
        <v>1106</v>
      </c>
    </row>
    <row r="102" spans="1:1" x14ac:dyDescent="0.2">
      <c r="A102" s="244" t="s">
        <v>1097</v>
      </c>
    </row>
    <row r="103" spans="1:1" x14ac:dyDescent="0.2">
      <c r="A103" s="244" t="s">
        <v>1162</v>
      </c>
    </row>
    <row r="104" spans="1:1" x14ac:dyDescent="0.2">
      <c r="A104" s="244" t="s">
        <v>1091</v>
      </c>
    </row>
    <row r="105" spans="1:1" x14ac:dyDescent="0.2">
      <c r="A105" s="244" t="s">
        <v>1107</v>
      </c>
    </row>
    <row r="106" spans="1:1" x14ac:dyDescent="0.2">
      <c r="A106" t="s">
        <v>1098</v>
      </c>
    </row>
    <row r="107" spans="1:1" x14ac:dyDescent="0.2">
      <c r="A107" s="244" t="s">
        <v>1099</v>
      </c>
    </row>
    <row r="108" spans="1:1" x14ac:dyDescent="0.2">
      <c r="A108" s="244" t="s">
        <v>1070</v>
      </c>
    </row>
    <row r="109" spans="1:1" x14ac:dyDescent="0.2">
      <c r="A109" s="244" t="s">
        <v>1096</v>
      </c>
    </row>
    <row r="110" spans="1:1" x14ac:dyDescent="0.2">
      <c r="A110" s="244" t="s">
        <v>1108</v>
      </c>
    </row>
    <row r="111" spans="1:1" x14ac:dyDescent="0.2">
      <c r="A111" s="244" t="s">
        <v>1109</v>
      </c>
    </row>
    <row r="112" spans="1:1" x14ac:dyDescent="0.2">
      <c r="A112" s="244" t="s">
        <v>1072</v>
      </c>
    </row>
    <row r="113" spans="1:1" x14ac:dyDescent="0.2">
      <c r="A113" s="244" t="s">
        <v>1100</v>
      </c>
    </row>
    <row r="114" spans="1:1" x14ac:dyDescent="0.2">
      <c r="A114" s="244" t="s">
        <v>1101</v>
      </c>
    </row>
  </sheetData>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O114"/>
  <sheetViews>
    <sheetView zoomScale="60" zoomScaleNormal="60" workbookViewId="0"/>
  </sheetViews>
  <sheetFormatPr defaultRowHeight="12.75" x14ac:dyDescent="0.2"/>
  <cols>
    <col min="1" max="1" width="45.42578125" style="34" customWidth="1"/>
    <col min="2" max="2" width="28.7109375" style="34" customWidth="1"/>
    <col min="3" max="3" width="14.7109375" style="34" customWidth="1"/>
    <col min="4" max="4" width="9.140625" style="34" customWidth="1"/>
    <col min="5" max="5" width="29.28515625" style="34" customWidth="1"/>
    <col min="6" max="6" width="9.140625" style="34" customWidth="1"/>
    <col min="7" max="7" width="62" style="34" customWidth="1"/>
    <col min="8" max="8" width="28" style="34" customWidth="1"/>
    <col min="9" max="10" width="9.140625" style="34" customWidth="1"/>
    <col min="11" max="11" width="22.85546875" style="34" customWidth="1"/>
    <col min="12" max="12" width="9.140625" style="34" customWidth="1"/>
    <col min="13" max="13" width="62" style="34" customWidth="1"/>
    <col min="14" max="14" width="18.85546875" style="34" customWidth="1"/>
    <col min="15" max="15" width="9.5703125" style="34" customWidth="1"/>
    <col min="16" max="16" width="10" style="34" customWidth="1"/>
    <col min="17" max="17" width="26.42578125" style="34" customWidth="1"/>
    <col min="18" max="18" width="20.140625" style="34" customWidth="1"/>
    <col min="19" max="19" width="42.85546875" style="34" customWidth="1"/>
    <col min="20" max="24" width="16.28515625" style="34" customWidth="1"/>
    <col min="25" max="25" width="14.85546875" style="40" customWidth="1"/>
    <col min="26" max="27" width="9.140625" style="40" customWidth="1"/>
    <col min="28" max="29" width="9.140625" style="40"/>
    <col min="30" max="30" width="15.7109375" style="40" bestFit="1" customWidth="1"/>
    <col min="31" max="31" width="9.140625" style="40"/>
    <col min="32" max="32" width="12.140625" style="40" customWidth="1"/>
    <col min="33" max="33" width="9.85546875" style="40" bestFit="1" customWidth="1"/>
    <col min="34" max="34" width="9.140625" style="40"/>
    <col min="35" max="35" width="10.7109375" style="40" bestFit="1" customWidth="1"/>
    <col min="36" max="37" width="9.140625" style="40"/>
    <col min="38" max="38" width="10.5703125" style="34" bestFit="1" customWidth="1"/>
    <col min="39" max="16384" width="9.140625" style="34"/>
  </cols>
  <sheetData>
    <row r="1" spans="1:37" ht="16.5" thickBot="1" x14ac:dyDescent="0.3">
      <c r="A1" s="82" t="s">
        <v>766</v>
      </c>
      <c r="B1" s="83"/>
      <c r="C1" s="83" t="s">
        <v>217</v>
      </c>
      <c r="D1" s="83" t="s">
        <v>11</v>
      </c>
      <c r="E1" s="84" t="s">
        <v>180</v>
      </c>
      <c r="G1" s="92" t="s">
        <v>767</v>
      </c>
      <c r="H1" s="93"/>
      <c r="I1" s="93" t="s">
        <v>217</v>
      </c>
      <c r="J1" s="93" t="s">
        <v>11</v>
      </c>
      <c r="K1" s="94" t="s">
        <v>180</v>
      </c>
      <c r="M1" s="95" t="s">
        <v>768</v>
      </c>
      <c r="N1" s="96"/>
      <c r="O1" s="97" t="s">
        <v>217</v>
      </c>
      <c r="P1" s="97" t="s">
        <v>11</v>
      </c>
      <c r="Q1" s="98" t="s">
        <v>180</v>
      </c>
      <c r="S1" s="44" t="s">
        <v>769</v>
      </c>
      <c r="T1" s="45"/>
      <c r="U1" s="45" t="s">
        <v>217</v>
      </c>
      <c r="V1" s="45" t="s">
        <v>11</v>
      </c>
      <c r="W1" s="46" t="s">
        <v>180</v>
      </c>
      <c r="Y1" s="41" t="s">
        <v>770</v>
      </c>
      <c r="Z1" s="42"/>
      <c r="AA1" s="42" t="s">
        <v>217</v>
      </c>
      <c r="AB1" s="42" t="s">
        <v>11</v>
      </c>
      <c r="AC1" s="43" t="s">
        <v>180</v>
      </c>
      <c r="AF1" s="48" t="s">
        <v>710</v>
      </c>
      <c r="AJ1" s="34"/>
      <c r="AK1" s="34"/>
    </row>
    <row r="2" spans="1:37" x14ac:dyDescent="0.2">
      <c r="A2" s="85" t="s">
        <v>218</v>
      </c>
      <c r="B2" s="86"/>
      <c r="C2" s="86"/>
      <c r="D2" s="86"/>
      <c r="E2" s="87"/>
      <c r="G2" s="85" t="s">
        <v>218</v>
      </c>
      <c r="H2" s="86"/>
      <c r="I2" s="86"/>
      <c r="J2" s="86"/>
      <c r="K2" s="87"/>
      <c r="M2" s="85" t="s">
        <v>218</v>
      </c>
      <c r="N2" s="86"/>
      <c r="O2" s="86"/>
      <c r="P2" s="86"/>
      <c r="Q2" s="87"/>
      <c r="S2" s="85" t="s">
        <v>218</v>
      </c>
      <c r="T2" s="86"/>
      <c r="U2" s="86"/>
      <c r="V2" s="86"/>
      <c r="W2" s="87"/>
      <c r="Y2" s="85" t="s">
        <v>218</v>
      </c>
      <c r="Z2" s="86"/>
      <c r="AA2" s="86"/>
      <c r="AB2" s="86"/>
      <c r="AC2" s="87"/>
      <c r="AF2" s="34" t="s">
        <v>933</v>
      </c>
      <c r="AG2" s="40" t="s">
        <v>709</v>
      </c>
      <c r="AI2" s="34"/>
      <c r="AJ2" s="34"/>
      <c r="AK2" s="34"/>
    </row>
    <row r="3" spans="1:37" x14ac:dyDescent="0.2">
      <c r="A3" s="88" t="s">
        <v>761</v>
      </c>
      <c r="B3" s="89"/>
      <c r="C3" s="89">
        <v>1</v>
      </c>
      <c r="D3" s="89" t="s">
        <v>2</v>
      </c>
      <c r="E3" s="90"/>
      <c r="G3" s="88" t="s">
        <v>761</v>
      </c>
      <c r="H3" s="89"/>
      <c r="I3" s="89">
        <v>1</v>
      </c>
      <c r="J3" s="89" t="s">
        <v>2</v>
      </c>
      <c r="K3" s="90"/>
      <c r="M3" s="88" t="s">
        <v>761</v>
      </c>
      <c r="N3" s="89"/>
      <c r="O3" s="89">
        <v>1</v>
      </c>
      <c r="P3" s="89" t="s">
        <v>2</v>
      </c>
      <c r="Q3" s="90"/>
      <c r="S3" s="88" t="s">
        <v>761</v>
      </c>
      <c r="T3" s="89"/>
      <c r="U3" s="89">
        <v>1</v>
      </c>
      <c r="V3" s="89" t="s">
        <v>2</v>
      </c>
      <c r="W3" s="90"/>
      <c r="Y3" s="88" t="s">
        <v>761</v>
      </c>
      <c r="Z3" s="89"/>
      <c r="AA3" s="89">
        <v>1</v>
      </c>
      <c r="AB3" s="89" t="s">
        <v>2</v>
      </c>
      <c r="AC3" s="90"/>
      <c r="AE3" s="40" t="s">
        <v>260</v>
      </c>
      <c r="AF3" s="227">
        <v>2.8726281759319399</v>
      </c>
      <c r="AJ3" s="34"/>
      <c r="AK3" s="34"/>
    </row>
    <row r="4" spans="1:37" s="35" customFormat="1" x14ac:dyDescent="0.2">
      <c r="A4" s="85" t="s">
        <v>183</v>
      </c>
      <c r="B4" s="86"/>
      <c r="C4" s="86"/>
      <c r="D4" s="86"/>
      <c r="E4" s="87"/>
      <c r="G4" s="85" t="s">
        <v>183</v>
      </c>
      <c r="H4" s="86"/>
      <c r="I4" s="86"/>
      <c r="J4" s="86"/>
      <c r="K4" s="87"/>
      <c r="M4" s="85" t="s">
        <v>183</v>
      </c>
      <c r="N4" s="86"/>
      <c r="O4" s="86"/>
      <c r="P4" s="86"/>
      <c r="Q4" s="87"/>
      <c r="S4" s="85" t="s">
        <v>183</v>
      </c>
      <c r="T4" s="86"/>
      <c r="U4" s="86"/>
      <c r="V4" s="86"/>
      <c r="W4" s="87"/>
      <c r="Y4" s="85" t="s">
        <v>183</v>
      </c>
      <c r="Z4" s="86"/>
      <c r="AA4" s="86"/>
      <c r="AB4" s="86"/>
      <c r="AC4" s="87"/>
      <c r="AD4" s="99"/>
      <c r="AE4" s="40" t="s">
        <v>261</v>
      </c>
      <c r="AF4" s="226">
        <v>8.6966798844211502E-4</v>
      </c>
      <c r="AG4" s="99"/>
      <c r="AH4" s="99"/>
      <c r="AI4" s="99"/>
    </row>
    <row r="5" spans="1:37" x14ac:dyDescent="0.2">
      <c r="A5" s="88" t="s">
        <v>184</v>
      </c>
      <c r="B5" s="89"/>
      <c r="C5" s="89">
        <v>2.7E-4</v>
      </c>
      <c r="D5" s="89" t="s">
        <v>185</v>
      </c>
      <c r="E5" s="90" t="s">
        <v>771</v>
      </c>
      <c r="F5" s="34" t="s">
        <v>179</v>
      </c>
      <c r="G5" s="88" t="s">
        <v>184</v>
      </c>
      <c r="H5" s="89"/>
      <c r="I5" s="89">
        <f>0.00027/5*3</f>
        <v>1.6199999999999998E-4</v>
      </c>
      <c r="J5" s="89" t="s">
        <v>185</v>
      </c>
      <c r="K5" s="90" t="s">
        <v>1305</v>
      </c>
      <c r="L5" s="34" t="s">
        <v>87</v>
      </c>
      <c r="M5" s="88" t="s">
        <v>184</v>
      </c>
      <c r="N5" s="89"/>
      <c r="O5" s="89">
        <f>0.00027*4</f>
        <v>1.08E-3</v>
      </c>
      <c r="P5" s="89" t="s">
        <v>185</v>
      </c>
      <c r="Q5" s="90" t="s">
        <v>1306</v>
      </c>
      <c r="R5" s="34" t="s">
        <v>87</v>
      </c>
      <c r="S5" s="88" t="s">
        <v>184</v>
      </c>
      <c r="T5" s="89"/>
      <c r="U5" s="89">
        <v>2.7E-4</v>
      </c>
      <c r="V5" s="89" t="s">
        <v>185</v>
      </c>
      <c r="W5" s="90" t="s">
        <v>771</v>
      </c>
      <c r="X5" s="34" t="s">
        <v>87</v>
      </c>
      <c r="Y5" s="88" t="s">
        <v>184</v>
      </c>
      <c r="Z5" s="89"/>
      <c r="AA5" s="89">
        <v>2.7E-4</v>
      </c>
      <c r="AB5" s="89" t="s">
        <v>185</v>
      </c>
      <c r="AC5" s="90" t="s">
        <v>771</v>
      </c>
      <c r="AD5" s="40" t="s">
        <v>87</v>
      </c>
      <c r="AE5" s="40" t="s">
        <v>262</v>
      </c>
      <c r="AF5" s="227">
        <v>3.0644916836560801E-2</v>
      </c>
      <c r="AJ5" s="34"/>
      <c r="AK5" s="34"/>
    </row>
    <row r="6" spans="1:37" s="35" customFormat="1" x14ac:dyDescent="0.2">
      <c r="A6" s="85" t="s">
        <v>187</v>
      </c>
      <c r="B6" s="86"/>
      <c r="C6" s="86"/>
      <c r="D6" s="86"/>
      <c r="E6" s="87"/>
      <c r="G6" s="85" t="s">
        <v>187</v>
      </c>
      <c r="H6" s="86"/>
      <c r="I6" s="86"/>
      <c r="J6" s="86"/>
      <c r="K6" s="87"/>
      <c r="M6" s="85" t="s">
        <v>187</v>
      </c>
      <c r="N6" s="86"/>
      <c r="O6" s="86"/>
      <c r="P6" s="86"/>
      <c r="Q6" s="87"/>
      <c r="S6" s="85" t="s">
        <v>187</v>
      </c>
      <c r="T6" s="86"/>
      <c r="U6" s="86"/>
      <c r="V6" s="86"/>
      <c r="W6" s="87"/>
      <c r="Y6" s="85" t="s">
        <v>187</v>
      </c>
      <c r="Z6" s="86"/>
      <c r="AA6" s="86"/>
      <c r="AB6" s="86"/>
      <c r="AC6" s="87"/>
      <c r="AD6" s="99"/>
      <c r="AE6" s="40" t="s">
        <v>263</v>
      </c>
      <c r="AF6" s="226">
        <v>7.8643643530016908E-3</v>
      </c>
      <c r="AG6" s="99"/>
      <c r="AH6" s="99"/>
      <c r="AI6" s="99"/>
    </row>
    <row r="7" spans="1:37" ht="15" x14ac:dyDescent="0.2">
      <c r="A7" s="88" t="s">
        <v>898</v>
      </c>
      <c r="B7" s="89"/>
      <c r="C7" s="89">
        <v>0.105</v>
      </c>
      <c r="D7" s="89" t="s">
        <v>2</v>
      </c>
      <c r="E7" s="90" t="s">
        <v>179</v>
      </c>
      <c r="F7" s="34" t="s">
        <v>179</v>
      </c>
      <c r="G7" s="88" t="s">
        <v>898</v>
      </c>
      <c r="H7" s="89"/>
      <c r="I7" s="89">
        <v>0.105</v>
      </c>
      <c r="J7" s="89" t="s">
        <v>2</v>
      </c>
      <c r="K7" s="90" t="s">
        <v>179</v>
      </c>
      <c r="M7" s="88" t="s">
        <v>898</v>
      </c>
      <c r="N7" s="89"/>
      <c r="O7" s="89">
        <v>0.105</v>
      </c>
      <c r="P7" s="89" t="s">
        <v>2</v>
      </c>
      <c r="Q7" s="90" t="s">
        <v>179</v>
      </c>
      <c r="S7" s="88" t="s">
        <v>1285</v>
      </c>
      <c r="T7" s="89"/>
      <c r="U7" s="89">
        <v>0.105</v>
      </c>
      <c r="V7" s="89" t="s">
        <v>2</v>
      </c>
      <c r="W7" s="90" t="s">
        <v>179</v>
      </c>
      <c r="Y7" s="88" t="s">
        <v>1295</v>
      </c>
      <c r="Z7" s="89"/>
      <c r="AA7" s="89">
        <v>0.105</v>
      </c>
      <c r="AB7" s="89" t="s">
        <v>2</v>
      </c>
      <c r="AC7" s="90" t="s">
        <v>179</v>
      </c>
      <c r="AE7" s="40" t="s">
        <v>675</v>
      </c>
      <c r="AF7" s="227">
        <v>1.79591721125405E-2</v>
      </c>
      <c r="AJ7" s="34"/>
      <c r="AK7" s="34"/>
    </row>
    <row r="8" spans="1:37" x14ac:dyDescent="0.2">
      <c r="A8" s="88" t="s">
        <v>904</v>
      </c>
      <c r="B8" s="89"/>
      <c r="C8" s="89">
        <v>0.03</v>
      </c>
      <c r="D8" s="89" t="s">
        <v>2</v>
      </c>
      <c r="E8" s="90" t="s">
        <v>179</v>
      </c>
      <c r="F8" s="34" t="s">
        <v>179</v>
      </c>
      <c r="G8" s="88" t="s">
        <v>904</v>
      </c>
      <c r="H8" s="89"/>
      <c r="I8" s="89">
        <v>0.03</v>
      </c>
      <c r="J8" s="89" t="s">
        <v>2</v>
      </c>
      <c r="K8" s="90" t="s">
        <v>179</v>
      </c>
      <c r="M8" s="88" t="s">
        <v>904</v>
      </c>
      <c r="N8" s="89"/>
      <c r="O8" s="89">
        <v>0.03</v>
      </c>
      <c r="P8" s="89" t="s">
        <v>2</v>
      </c>
      <c r="Q8" s="90" t="s">
        <v>179</v>
      </c>
      <c r="S8" s="88" t="s">
        <v>1286</v>
      </c>
      <c r="T8" s="89"/>
      <c r="U8" s="89">
        <v>0.03</v>
      </c>
      <c r="V8" s="89" t="s">
        <v>2</v>
      </c>
      <c r="W8" s="90" t="s">
        <v>179</v>
      </c>
      <c r="Y8" s="88" t="s">
        <v>1296</v>
      </c>
      <c r="Z8" s="89"/>
      <c r="AA8" s="89">
        <v>0.03</v>
      </c>
      <c r="AB8" s="89" t="s">
        <v>2</v>
      </c>
      <c r="AC8" s="90" t="s">
        <v>179</v>
      </c>
      <c r="AE8" s="40" t="s">
        <v>264</v>
      </c>
      <c r="AF8" s="227">
        <v>2.2217822325022198</v>
      </c>
      <c r="AJ8" s="34"/>
      <c r="AK8" s="34"/>
    </row>
    <row r="9" spans="1:37" x14ac:dyDescent="0.2">
      <c r="A9" s="88" t="s">
        <v>901</v>
      </c>
      <c r="B9" s="89"/>
      <c r="C9" s="89">
        <v>0.16500000000000001</v>
      </c>
      <c r="D9" s="89" t="s">
        <v>2</v>
      </c>
      <c r="E9" s="90" t="s">
        <v>179</v>
      </c>
      <c r="F9" s="34" t="s">
        <v>179</v>
      </c>
      <c r="G9" s="88" t="s">
        <v>901</v>
      </c>
      <c r="H9" s="89"/>
      <c r="I9" s="89">
        <v>0.16500000000000001</v>
      </c>
      <c r="J9" s="89" t="s">
        <v>2</v>
      </c>
      <c r="K9" s="90" t="s">
        <v>179</v>
      </c>
      <c r="M9" s="88" t="s">
        <v>901</v>
      </c>
      <c r="N9" s="89"/>
      <c r="O9" s="89">
        <v>0.16500000000000001</v>
      </c>
      <c r="P9" s="89" t="s">
        <v>2</v>
      </c>
      <c r="Q9" s="90" t="s">
        <v>179</v>
      </c>
      <c r="S9" s="88" t="s">
        <v>1287</v>
      </c>
      <c r="T9" s="89"/>
      <c r="U9" s="89">
        <v>0.16500000000000001</v>
      </c>
      <c r="V9" s="89" t="s">
        <v>2</v>
      </c>
      <c r="W9" s="90" t="s">
        <v>179</v>
      </c>
      <c r="Y9" s="88" t="s">
        <v>1297</v>
      </c>
      <c r="Z9" s="89"/>
      <c r="AA9" s="89">
        <v>0.16500000000000001</v>
      </c>
      <c r="AB9" s="89" t="s">
        <v>2</v>
      </c>
      <c r="AC9" s="90" t="s">
        <v>179</v>
      </c>
      <c r="AE9" s="40" t="s">
        <v>266</v>
      </c>
      <c r="AF9" s="227">
        <v>8.1546679851161596E-7</v>
      </c>
      <c r="AG9" s="191">
        <f>AE64</f>
        <v>8.778052348048847E-10</v>
      </c>
      <c r="AJ9" s="34"/>
      <c r="AK9" s="34"/>
    </row>
    <row r="10" spans="1:37" x14ac:dyDescent="0.2">
      <c r="A10" s="88" t="s">
        <v>45</v>
      </c>
      <c r="B10" s="89"/>
      <c r="C10" s="89">
        <v>0.01</v>
      </c>
      <c r="D10" s="89" t="s">
        <v>2</v>
      </c>
      <c r="E10" s="90"/>
      <c r="F10" s="34" t="s">
        <v>179</v>
      </c>
      <c r="G10" s="88" t="s">
        <v>45</v>
      </c>
      <c r="H10" s="89"/>
      <c r="I10" s="89">
        <v>0.01</v>
      </c>
      <c r="J10" s="89" t="s">
        <v>2</v>
      </c>
      <c r="K10" s="90"/>
      <c r="M10" s="88" t="s">
        <v>45</v>
      </c>
      <c r="N10" s="89"/>
      <c r="O10" s="89">
        <v>0.01</v>
      </c>
      <c r="P10" s="89" t="s">
        <v>2</v>
      </c>
      <c r="Q10" s="90"/>
      <c r="S10" s="88" t="s">
        <v>152</v>
      </c>
      <c r="T10" s="89"/>
      <c r="U10" s="89">
        <v>0.01</v>
      </c>
      <c r="V10" s="89" t="s">
        <v>2</v>
      </c>
      <c r="W10" s="90"/>
      <c r="Y10" s="88" t="s">
        <v>1136</v>
      </c>
      <c r="Z10" s="89"/>
      <c r="AA10" s="89">
        <v>0.01</v>
      </c>
      <c r="AB10" s="89" t="s">
        <v>2</v>
      </c>
      <c r="AC10" s="90"/>
      <c r="AE10" s="40" t="s">
        <v>267</v>
      </c>
      <c r="AF10" s="227">
        <v>1.14522554493996E-7</v>
      </c>
      <c r="AG10" s="191">
        <f>AD64</f>
        <v>0</v>
      </c>
      <c r="AJ10" s="34"/>
      <c r="AK10" s="34"/>
    </row>
    <row r="11" spans="1:37" x14ac:dyDescent="0.2">
      <c r="A11" s="88" t="s">
        <v>51</v>
      </c>
      <c r="B11" s="89"/>
      <c r="C11" s="89">
        <v>0.01</v>
      </c>
      <c r="D11" s="89" t="s">
        <v>2</v>
      </c>
      <c r="E11" s="90" t="s">
        <v>179</v>
      </c>
      <c r="F11" s="34" t="s">
        <v>179</v>
      </c>
      <c r="G11" s="88" t="s">
        <v>51</v>
      </c>
      <c r="H11" s="89"/>
      <c r="I11" s="89">
        <v>0.01</v>
      </c>
      <c r="J11" s="89" t="s">
        <v>2</v>
      </c>
      <c r="K11" s="90" t="s">
        <v>179</v>
      </c>
      <c r="M11" s="88" t="s">
        <v>51</v>
      </c>
      <c r="N11" s="89"/>
      <c r="O11" s="89">
        <v>0.01</v>
      </c>
      <c r="P11" s="89" t="s">
        <v>2</v>
      </c>
      <c r="Q11" s="90" t="s">
        <v>179</v>
      </c>
      <c r="S11" s="88" t="s">
        <v>1187</v>
      </c>
      <c r="T11" s="89"/>
      <c r="U11" s="89">
        <v>0.01</v>
      </c>
      <c r="V11" s="89" t="s">
        <v>2</v>
      </c>
      <c r="W11" s="90" t="s">
        <v>179</v>
      </c>
      <c r="Y11" s="88" t="s">
        <v>1213</v>
      </c>
      <c r="Z11" s="89"/>
      <c r="AA11" s="89">
        <v>0.01</v>
      </c>
      <c r="AB11" s="89" t="s">
        <v>2</v>
      </c>
      <c r="AC11" s="90" t="s">
        <v>179</v>
      </c>
      <c r="AE11" s="40" t="s">
        <v>268</v>
      </c>
      <c r="AF11" s="227">
        <v>34.6196633726668</v>
      </c>
      <c r="AG11" s="191">
        <f>AF64</f>
        <v>253.66181399194588</v>
      </c>
      <c r="AJ11" s="34"/>
      <c r="AK11" s="34"/>
    </row>
    <row r="12" spans="1:37" x14ac:dyDescent="0.2">
      <c r="A12" s="88" t="s">
        <v>47</v>
      </c>
      <c r="B12" s="89"/>
      <c r="C12" s="89">
        <v>0.01</v>
      </c>
      <c r="D12" s="89" t="s">
        <v>2</v>
      </c>
      <c r="E12" s="90" t="s">
        <v>179</v>
      </c>
      <c r="F12" s="34" t="s">
        <v>179</v>
      </c>
      <c r="G12" s="88" t="s">
        <v>47</v>
      </c>
      <c r="H12" s="89"/>
      <c r="I12" s="89">
        <v>0.01</v>
      </c>
      <c r="J12" s="89" t="s">
        <v>2</v>
      </c>
      <c r="K12" s="90" t="s">
        <v>179</v>
      </c>
      <c r="M12" s="88" t="s">
        <v>47</v>
      </c>
      <c r="N12" s="89"/>
      <c r="O12" s="89">
        <v>0.01</v>
      </c>
      <c r="P12" s="89" t="s">
        <v>2</v>
      </c>
      <c r="Q12" s="90" t="s">
        <v>179</v>
      </c>
      <c r="S12" s="88" t="s">
        <v>1113</v>
      </c>
      <c r="T12" s="89"/>
      <c r="U12" s="89">
        <v>0.01</v>
      </c>
      <c r="V12" s="89" t="s">
        <v>2</v>
      </c>
      <c r="W12" s="90" t="s">
        <v>179</v>
      </c>
      <c r="Y12" s="88" t="s">
        <v>1139</v>
      </c>
      <c r="Z12" s="89"/>
      <c r="AA12" s="89">
        <v>0.01</v>
      </c>
      <c r="AB12" s="89" t="s">
        <v>2</v>
      </c>
      <c r="AC12" s="90" t="s">
        <v>179</v>
      </c>
      <c r="AJ12" s="34"/>
      <c r="AK12" s="34"/>
    </row>
    <row r="13" spans="1:37" x14ac:dyDescent="0.2">
      <c r="A13" s="88" t="s">
        <v>429</v>
      </c>
      <c r="B13" s="89"/>
      <c r="C13" s="89">
        <v>5.0000000000000001E-3</v>
      </c>
      <c r="D13" s="89" t="s">
        <v>2</v>
      </c>
      <c r="E13" s="90" t="s">
        <v>179</v>
      </c>
      <c r="F13" s="34" t="s">
        <v>179</v>
      </c>
      <c r="G13" s="88" t="s">
        <v>429</v>
      </c>
      <c r="H13" s="89"/>
      <c r="I13" s="89">
        <v>5.0000000000000001E-3</v>
      </c>
      <c r="J13" s="89" t="s">
        <v>2</v>
      </c>
      <c r="K13" s="90" t="s">
        <v>179</v>
      </c>
      <c r="M13" s="88" t="s">
        <v>429</v>
      </c>
      <c r="N13" s="89"/>
      <c r="O13" s="89">
        <v>5.0000000000000001E-3</v>
      </c>
      <c r="P13" s="89" t="s">
        <v>2</v>
      </c>
      <c r="Q13" s="90" t="s">
        <v>179</v>
      </c>
      <c r="S13" s="88" t="s">
        <v>1288</v>
      </c>
      <c r="T13" s="89"/>
      <c r="U13" s="89">
        <v>5.0000000000000001E-3</v>
      </c>
      <c r="V13" s="89" t="s">
        <v>2</v>
      </c>
      <c r="W13" s="90" t="s">
        <v>179</v>
      </c>
      <c r="Y13" s="88" t="s">
        <v>1298</v>
      </c>
      <c r="Z13" s="89"/>
      <c r="AA13" s="89">
        <v>5.0000000000000001E-3</v>
      </c>
      <c r="AB13" s="89" t="s">
        <v>2</v>
      </c>
      <c r="AC13" s="90" t="s">
        <v>179</v>
      </c>
      <c r="AJ13" s="34"/>
      <c r="AK13" s="34"/>
    </row>
    <row r="14" spans="1:37" x14ac:dyDescent="0.2">
      <c r="A14" s="88" t="s">
        <v>144</v>
      </c>
      <c r="B14" s="89"/>
      <c r="C14" s="89">
        <v>0.15</v>
      </c>
      <c r="D14" s="89" t="s">
        <v>2</v>
      </c>
      <c r="E14" s="90"/>
      <c r="F14" s="34" t="s">
        <v>179</v>
      </c>
      <c r="G14" s="88" t="s">
        <v>144</v>
      </c>
      <c r="H14" s="89"/>
      <c r="I14" s="89">
        <v>0.15</v>
      </c>
      <c r="J14" s="89" t="s">
        <v>2</v>
      </c>
      <c r="K14" s="90"/>
      <c r="M14" s="88" t="s">
        <v>144</v>
      </c>
      <c r="N14" s="89"/>
      <c r="O14" s="89">
        <v>0.15</v>
      </c>
      <c r="P14" s="89" t="s">
        <v>2</v>
      </c>
      <c r="Q14" s="90"/>
      <c r="S14" s="88" t="s">
        <v>1117</v>
      </c>
      <c r="T14" s="89"/>
      <c r="U14" s="89">
        <v>0.15</v>
      </c>
      <c r="V14" s="89" t="s">
        <v>2</v>
      </c>
      <c r="W14" s="90"/>
      <c r="Y14" s="88" t="s">
        <v>1143</v>
      </c>
      <c r="Z14" s="89"/>
      <c r="AA14" s="89">
        <v>0.15</v>
      </c>
      <c r="AB14" s="89" t="s">
        <v>2</v>
      </c>
      <c r="AC14" s="90"/>
      <c r="AJ14" s="34"/>
      <c r="AK14" s="34"/>
    </row>
    <row r="15" spans="1:37" x14ac:dyDescent="0.2">
      <c r="A15" s="88" t="s">
        <v>899</v>
      </c>
      <c r="B15" s="89"/>
      <c r="C15" s="89">
        <v>0.105</v>
      </c>
      <c r="D15" s="89" t="s">
        <v>2</v>
      </c>
      <c r="E15" s="90" t="s">
        <v>179</v>
      </c>
      <c r="F15" s="34" t="s">
        <v>179</v>
      </c>
      <c r="G15" s="88" t="s">
        <v>899</v>
      </c>
      <c r="H15" s="89"/>
      <c r="I15" s="89">
        <v>0.105</v>
      </c>
      <c r="J15" s="89" t="s">
        <v>2</v>
      </c>
      <c r="K15" s="324" t="s">
        <v>283</v>
      </c>
      <c r="M15" s="88" t="s">
        <v>899</v>
      </c>
      <c r="N15" s="89"/>
      <c r="O15" s="89">
        <v>0.105</v>
      </c>
      <c r="P15" s="89" t="s">
        <v>2</v>
      </c>
      <c r="Q15" s="324" t="s">
        <v>1237</v>
      </c>
      <c r="S15" s="88" t="s">
        <v>1289</v>
      </c>
      <c r="T15" s="89"/>
      <c r="U15" s="89">
        <v>0.105</v>
      </c>
      <c r="V15" s="89" t="s">
        <v>2</v>
      </c>
      <c r="W15" s="90" t="s">
        <v>179</v>
      </c>
      <c r="Y15" s="88" t="s">
        <v>1299</v>
      </c>
      <c r="Z15" s="89"/>
      <c r="AA15" s="89">
        <v>0.105</v>
      </c>
      <c r="AB15" s="89" t="s">
        <v>2</v>
      </c>
      <c r="AC15" s="90"/>
      <c r="AJ15" s="34"/>
      <c r="AK15" s="34"/>
    </row>
    <row r="16" spans="1:37" x14ac:dyDescent="0.2">
      <c r="A16" s="88" t="s">
        <v>905</v>
      </c>
      <c r="B16" s="89"/>
      <c r="C16" s="89">
        <v>0.03</v>
      </c>
      <c r="D16" s="89" t="s">
        <v>2</v>
      </c>
      <c r="E16" s="90" t="s">
        <v>179</v>
      </c>
      <c r="F16" s="34" t="s">
        <v>179</v>
      </c>
      <c r="G16" s="88" t="s">
        <v>905</v>
      </c>
      <c r="H16" s="89"/>
      <c r="I16" s="89">
        <v>0.03</v>
      </c>
      <c r="J16" s="89" t="s">
        <v>2</v>
      </c>
      <c r="K16" s="324" t="s">
        <v>283</v>
      </c>
      <c r="M16" s="88" t="s">
        <v>905</v>
      </c>
      <c r="N16" s="89"/>
      <c r="O16" s="89">
        <v>0.03</v>
      </c>
      <c r="P16" s="89" t="s">
        <v>2</v>
      </c>
      <c r="Q16" s="324" t="s">
        <v>1237</v>
      </c>
      <c r="S16" s="88" t="s">
        <v>1290</v>
      </c>
      <c r="T16" s="89"/>
      <c r="U16" s="89">
        <v>0.03</v>
      </c>
      <c r="V16" s="89" t="s">
        <v>2</v>
      </c>
      <c r="W16" s="90" t="s">
        <v>179</v>
      </c>
      <c r="Y16" s="88" t="s">
        <v>1300</v>
      </c>
      <c r="Z16" s="89"/>
      <c r="AA16" s="89">
        <v>0.03</v>
      </c>
      <c r="AB16" s="89" t="s">
        <v>2</v>
      </c>
      <c r="AC16" s="90"/>
      <c r="AJ16" s="34"/>
      <c r="AK16" s="34"/>
    </row>
    <row r="17" spans="1:37" x14ac:dyDescent="0.2">
      <c r="A17" s="88" t="s">
        <v>902</v>
      </c>
      <c r="B17" s="89"/>
      <c r="C17" s="89">
        <v>0.16500000000000001</v>
      </c>
      <c r="D17" s="89" t="s">
        <v>2</v>
      </c>
      <c r="E17" s="90" t="s">
        <v>179</v>
      </c>
      <c r="F17" s="34" t="s">
        <v>179</v>
      </c>
      <c r="G17" s="88" t="s">
        <v>902</v>
      </c>
      <c r="H17" s="89"/>
      <c r="I17" s="89">
        <v>0.16500000000000001</v>
      </c>
      <c r="J17" s="89" t="s">
        <v>2</v>
      </c>
      <c r="K17" s="324" t="s">
        <v>283</v>
      </c>
      <c r="M17" s="88" t="s">
        <v>902</v>
      </c>
      <c r="N17" s="89"/>
      <c r="O17" s="89">
        <v>0.16500000000000001</v>
      </c>
      <c r="P17" s="89" t="s">
        <v>2</v>
      </c>
      <c r="Q17" s="324" t="s">
        <v>1237</v>
      </c>
      <c r="S17" s="88" t="s">
        <v>1291</v>
      </c>
      <c r="T17" s="89"/>
      <c r="U17" s="89">
        <v>0.16500000000000001</v>
      </c>
      <c r="V17" s="89" t="s">
        <v>2</v>
      </c>
      <c r="W17" s="90" t="s">
        <v>179</v>
      </c>
      <c r="Y17" s="88" t="s">
        <v>1301</v>
      </c>
      <c r="Z17" s="89"/>
      <c r="AA17" s="89">
        <v>0.16500000000000001</v>
      </c>
      <c r="AB17" s="89" t="s">
        <v>2</v>
      </c>
      <c r="AC17" s="90"/>
      <c r="AJ17" s="34"/>
      <c r="AK17" s="34"/>
    </row>
    <row r="18" spans="1:37" x14ac:dyDescent="0.2">
      <c r="A18" s="88" t="s">
        <v>191</v>
      </c>
      <c r="B18" s="89"/>
      <c r="C18" s="89">
        <v>0.01</v>
      </c>
      <c r="D18" s="89" t="s">
        <v>2</v>
      </c>
      <c r="E18" s="90"/>
      <c r="F18" s="34" t="s">
        <v>179</v>
      </c>
      <c r="G18" s="88" t="s">
        <v>191</v>
      </c>
      <c r="H18" s="89"/>
      <c r="I18" s="89">
        <v>0.01</v>
      </c>
      <c r="J18" s="89" t="s">
        <v>2</v>
      </c>
      <c r="K18" s="324" t="s">
        <v>283</v>
      </c>
      <c r="M18" s="88" t="s">
        <v>191</v>
      </c>
      <c r="N18" s="89"/>
      <c r="O18" s="89">
        <v>0.01</v>
      </c>
      <c r="P18" s="89" t="s">
        <v>2</v>
      </c>
      <c r="Q18" s="324" t="s">
        <v>1237</v>
      </c>
      <c r="S18" s="88" t="s">
        <v>285</v>
      </c>
      <c r="T18" s="89"/>
      <c r="U18" s="89">
        <v>0.01</v>
      </c>
      <c r="V18" s="89" t="s">
        <v>2</v>
      </c>
      <c r="W18" s="90"/>
      <c r="Y18" s="88" t="s">
        <v>1145</v>
      </c>
      <c r="Z18" s="89"/>
      <c r="AA18" s="89">
        <v>0.01</v>
      </c>
      <c r="AB18" s="89" t="s">
        <v>2</v>
      </c>
      <c r="AC18" s="90"/>
      <c r="AJ18" s="34"/>
      <c r="AK18" s="34"/>
    </row>
    <row r="19" spans="1:37" x14ac:dyDescent="0.2">
      <c r="A19" s="88" t="s">
        <v>719</v>
      </c>
      <c r="B19" s="89"/>
      <c r="C19" s="89">
        <v>0.01</v>
      </c>
      <c r="D19" s="89" t="s">
        <v>2</v>
      </c>
      <c r="E19" s="90" t="s">
        <v>179</v>
      </c>
      <c r="F19" s="34" t="s">
        <v>179</v>
      </c>
      <c r="G19" s="88" t="s">
        <v>719</v>
      </c>
      <c r="H19" s="89"/>
      <c r="I19" s="89">
        <v>0.01</v>
      </c>
      <c r="J19" s="89" t="s">
        <v>2</v>
      </c>
      <c r="K19" s="324" t="s">
        <v>283</v>
      </c>
      <c r="M19" s="88" t="s">
        <v>719</v>
      </c>
      <c r="N19" s="89"/>
      <c r="O19" s="89">
        <v>0.01</v>
      </c>
      <c r="P19" s="89" t="s">
        <v>2</v>
      </c>
      <c r="Q19" s="324" t="s">
        <v>1237</v>
      </c>
      <c r="S19" s="88" t="s">
        <v>1195</v>
      </c>
      <c r="T19" s="89"/>
      <c r="U19" s="89">
        <v>0.01</v>
      </c>
      <c r="V19" s="89" t="s">
        <v>2</v>
      </c>
      <c r="W19" s="90" t="s">
        <v>179</v>
      </c>
      <c r="Y19" s="88" t="s">
        <v>1221</v>
      </c>
      <c r="Z19" s="89"/>
      <c r="AA19" s="89">
        <v>0.01</v>
      </c>
      <c r="AB19" s="89" t="s">
        <v>2</v>
      </c>
      <c r="AC19" s="90"/>
      <c r="AJ19" s="34"/>
      <c r="AK19" s="34"/>
    </row>
    <row r="20" spans="1:37" x14ac:dyDescent="0.2">
      <c r="A20" s="88" t="s">
        <v>703</v>
      </c>
      <c r="B20" s="89"/>
      <c r="C20" s="89">
        <v>0</v>
      </c>
      <c r="D20" s="89" t="s">
        <v>2</v>
      </c>
      <c r="E20" s="90" t="s">
        <v>271</v>
      </c>
      <c r="F20" s="34" t="s">
        <v>179</v>
      </c>
      <c r="G20" s="88" t="s">
        <v>703</v>
      </c>
      <c r="H20" s="89"/>
      <c r="I20" s="89">
        <v>0.01</v>
      </c>
      <c r="J20" s="89" t="s">
        <v>2</v>
      </c>
      <c r="K20" s="324" t="s">
        <v>283</v>
      </c>
      <c r="M20" s="88" t="s">
        <v>703</v>
      </c>
      <c r="N20" s="89"/>
      <c r="O20" s="89">
        <v>0.01</v>
      </c>
      <c r="P20" s="89" t="s">
        <v>2</v>
      </c>
      <c r="Q20" s="324" t="s">
        <v>1237</v>
      </c>
      <c r="S20" s="88" t="s">
        <v>1121</v>
      </c>
      <c r="T20" s="89"/>
      <c r="U20" s="89">
        <v>0.01</v>
      </c>
      <c r="V20" s="89" t="s">
        <v>2</v>
      </c>
      <c r="W20" s="90" t="s">
        <v>179</v>
      </c>
      <c r="Y20" s="88" t="s">
        <v>1148</v>
      </c>
      <c r="Z20" s="89"/>
      <c r="AA20" s="89">
        <v>0.01</v>
      </c>
      <c r="AB20" s="89" t="s">
        <v>2</v>
      </c>
      <c r="AC20" s="90"/>
      <c r="AJ20" s="34"/>
      <c r="AK20" s="34"/>
    </row>
    <row r="21" spans="1:37" x14ac:dyDescent="0.2">
      <c r="A21" s="88" t="s">
        <v>192</v>
      </c>
      <c r="B21" s="89"/>
      <c r="C21" s="89">
        <v>5.0000000000000001E-3</v>
      </c>
      <c r="D21" s="89" t="s">
        <v>2</v>
      </c>
      <c r="E21" s="90" t="s">
        <v>179</v>
      </c>
      <c r="F21" s="34" t="s">
        <v>179</v>
      </c>
      <c r="G21" s="88" t="s">
        <v>192</v>
      </c>
      <c r="H21" s="89"/>
      <c r="I21" s="89">
        <v>5.0000000000000001E-3</v>
      </c>
      <c r="J21" s="89" t="s">
        <v>2</v>
      </c>
      <c r="K21" s="324" t="s">
        <v>283</v>
      </c>
      <c r="M21" s="88" t="s">
        <v>192</v>
      </c>
      <c r="N21" s="89"/>
      <c r="O21" s="89">
        <v>5.0000000000000001E-3</v>
      </c>
      <c r="P21" s="89" t="s">
        <v>2</v>
      </c>
      <c r="Q21" s="324" t="s">
        <v>1237</v>
      </c>
      <c r="S21" s="88" t="s">
        <v>1119</v>
      </c>
      <c r="T21" s="89"/>
      <c r="U21" s="89">
        <v>5.0000000000000001E-3</v>
      </c>
      <c r="V21" s="89" t="s">
        <v>2</v>
      </c>
      <c r="W21" s="90" t="s">
        <v>179</v>
      </c>
      <c r="Y21" s="88" t="s">
        <v>1146</v>
      </c>
      <c r="Z21" s="89"/>
      <c r="AA21" s="89">
        <v>5.0000000000000001E-3</v>
      </c>
      <c r="AB21" s="89" t="s">
        <v>2</v>
      </c>
      <c r="AC21" s="90"/>
      <c r="AJ21" s="34"/>
      <c r="AK21" s="34"/>
    </row>
    <row r="22" spans="1:37" x14ac:dyDescent="0.2">
      <c r="A22" s="88" t="s">
        <v>705</v>
      </c>
      <c r="B22" s="89"/>
      <c r="C22" s="89">
        <v>0.15</v>
      </c>
      <c r="D22" s="89" t="s">
        <v>2</v>
      </c>
      <c r="E22" s="90"/>
      <c r="F22" s="34" t="s">
        <v>179</v>
      </c>
      <c r="G22" s="88" t="s">
        <v>705</v>
      </c>
      <c r="H22" s="89"/>
      <c r="I22" s="89">
        <v>0.15</v>
      </c>
      <c r="J22" s="89" t="s">
        <v>2</v>
      </c>
      <c r="K22" s="324" t="s">
        <v>283</v>
      </c>
      <c r="M22" s="88" t="s">
        <v>705</v>
      </c>
      <c r="N22" s="89"/>
      <c r="O22" s="89">
        <v>0.15</v>
      </c>
      <c r="P22" s="89" t="s">
        <v>2</v>
      </c>
      <c r="Q22" s="324" t="s">
        <v>1237</v>
      </c>
      <c r="S22" s="88" t="s">
        <v>1125</v>
      </c>
      <c r="T22" s="89"/>
      <c r="U22" s="89">
        <v>0.15</v>
      </c>
      <c r="V22" s="89" t="s">
        <v>2</v>
      </c>
      <c r="W22" s="90"/>
      <c r="Y22" s="88" t="s">
        <v>1152</v>
      </c>
      <c r="Z22" s="89"/>
      <c r="AA22" s="89">
        <v>0.15</v>
      </c>
      <c r="AB22" s="89" t="s">
        <v>2</v>
      </c>
      <c r="AC22" s="90"/>
      <c r="AJ22" s="34"/>
      <c r="AK22" s="34"/>
    </row>
    <row r="23" spans="1:37" x14ac:dyDescent="0.2">
      <c r="A23" s="88" t="s">
        <v>900</v>
      </c>
      <c r="B23" s="89"/>
      <c r="C23" s="89">
        <v>0.105</v>
      </c>
      <c r="D23" s="89" t="s">
        <v>2</v>
      </c>
      <c r="E23" s="90" t="s">
        <v>179</v>
      </c>
      <c r="F23" s="34" t="s">
        <v>179</v>
      </c>
      <c r="G23" s="88" t="s">
        <v>900</v>
      </c>
      <c r="H23" s="89"/>
      <c r="I23" s="89">
        <v>0.105</v>
      </c>
      <c r="J23" s="89" t="s">
        <v>2</v>
      </c>
      <c r="K23" s="324" t="s">
        <v>283</v>
      </c>
      <c r="M23" s="88" t="s">
        <v>900</v>
      </c>
      <c r="N23" s="89"/>
      <c r="O23" s="89">
        <v>0.105</v>
      </c>
      <c r="P23" s="89" t="s">
        <v>2</v>
      </c>
      <c r="Q23" s="324" t="s">
        <v>1237</v>
      </c>
      <c r="S23" s="88" t="s">
        <v>1292</v>
      </c>
      <c r="T23" s="89"/>
      <c r="U23" s="89">
        <v>0.105</v>
      </c>
      <c r="V23" s="89" t="s">
        <v>2</v>
      </c>
      <c r="W23" s="90" t="s">
        <v>179</v>
      </c>
      <c r="Y23" s="88" t="s">
        <v>1302</v>
      </c>
      <c r="Z23" s="89"/>
      <c r="AA23" s="89">
        <v>0.105</v>
      </c>
      <c r="AB23" s="89" t="s">
        <v>2</v>
      </c>
      <c r="AC23" s="90"/>
      <c r="AJ23" s="34"/>
      <c r="AK23" s="34"/>
    </row>
    <row r="24" spans="1:37" x14ac:dyDescent="0.2">
      <c r="A24" s="88" t="s">
        <v>906</v>
      </c>
      <c r="B24" s="89"/>
      <c r="C24" s="89">
        <v>0.03</v>
      </c>
      <c r="D24" s="89" t="s">
        <v>2</v>
      </c>
      <c r="E24" s="90" t="s">
        <v>179</v>
      </c>
      <c r="F24" s="34" t="s">
        <v>179</v>
      </c>
      <c r="G24" s="88" t="s">
        <v>906</v>
      </c>
      <c r="H24" s="89"/>
      <c r="I24" s="89">
        <v>0.03</v>
      </c>
      <c r="J24" s="89" t="s">
        <v>2</v>
      </c>
      <c r="K24" s="324" t="s">
        <v>283</v>
      </c>
      <c r="M24" s="88" t="s">
        <v>906</v>
      </c>
      <c r="N24" s="89"/>
      <c r="O24" s="89">
        <v>0.03</v>
      </c>
      <c r="P24" s="89" t="s">
        <v>2</v>
      </c>
      <c r="Q24" s="324" t="s">
        <v>1237</v>
      </c>
      <c r="S24" s="88" t="s">
        <v>1293</v>
      </c>
      <c r="T24" s="89"/>
      <c r="U24" s="89">
        <v>0.03</v>
      </c>
      <c r="V24" s="89" t="s">
        <v>2</v>
      </c>
      <c r="W24" s="90" t="s">
        <v>179</v>
      </c>
      <c r="Y24" s="88" t="s">
        <v>1303</v>
      </c>
      <c r="Z24" s="89"/>
      <c r="AA24" s="89">
        <v>0.03</v>
      </c>
      <c r="AB24" s="89" t="s">
        <v>2</v>
      </c>
      <c r="AC24" s="90"/>
      <c r="AJ24" s="34"/>
      <c r="AK24" s="34"/>
    </row>
    <row r="25" spans="1:37" x14ac:dyDescent="0.2">
      <c r="A25" s="88" t="s">
        <v>903</v>
      </c>
      <c r="B25" s="89"/>
      <c r="C25" s="89">
        <v>0.16500000000000001</v>
      </c>
      <c r="D25" s="89" t="s">
        <v>2</v>
      </c>
      <c r="E25" s="90" t="s">
        <v>179</v>
      </c>
      <c r="F25" s="34" t="s">
        <v>179</v>
      </c>
      <c r="G25" s="88" t="s">
        <v>903</v>
      </c>
      <c r="H25" s="89"/>
      <c r="I25" s="89">
        <v>0.16500000000000001</v>
      </c>
      <c r="J25" s="89" t="s">
        <v>2</v>
      </c>
      <c r="K25" s="324" t="s">
        <v>283</v>
      </c>
      <c r="M25" s="88" t="s">
        <v>903</v>
      </c>
      <c r="N25" s="89"/>
      <c r="O25" s="89">
        <v>0.16500000000000001</v>
      </c>
      <c r="P25" s="89" t="s">
        <v>2</v>
      </c>
      <c r="Q25" s="324" t="s">
        <v>1237</v>
      </c>
      <c r="S25" s="88" t="s">
        <v>1294</v>
      </c>
      <c r="T25" s="89"/>
      <c r="U25" s="89">
        <v>0.16500000000000001</v>
      </c>
      <c r="V25" s="89" t="s">
        <v>2</v>
      </c>
      <c r="W25" s="90" t="s">
        <v>179</v>
      </c>
      <c r="Y25" s="88" t="s">
        <v>1304</v>
      </c>
      <c r="Z25" s="89"/>
      <c r="AA25" s="89">
        <v>0.16500000000000001</v>
      </c>
      <c r="AB25" s="89" t="s">
        <v>2</v>
      </c>
      <c r="AC25" s="90"/>
      <c r="AJ25" s="34"/>
      <c r="AK25" s="34"/>
    </row>
    <row r="26" spans="1:37" x14ac:dyDescent="0.2">
      <c r="A26" s="88" t="s">
        <v>706</v>
      </c>
      <c r="B26" s="89"/>
      <c r="C26" s="89">
        <v>0.01</v>
      </c>
      <c r="D26" s="89" t="s">
        <v>2</v>
      </c>
      <c r="E26" s="90"/>
      <c r="F26" s="34" t="s">
        <v>179</v>
      </c>
      <c r="G26" s="88" t="s">
        <v>706</v>
      </c>
      <c r="H26" s="89"/>
      <c r="I26" s="89">
        <v>0.01</v>
      </c>
      <c r="J26" s="89" t="s">
        <v>2</v>
      </c>
      <c r="K26" s="324" t="s">
        <v>283</v>
      </c>
      <c r="M26" s="88" t="s">
        <v>706</v>
      </c>
      <c r="N26" s="89"/>
      <c r="O26" s="89">
        <v>0.01</v>
      </c>
      <c r="P26" s="89" t="s">
        <v>2</v>
      </c>
      <c r="Q26" s="324" t="s">
        <v>1237</v>
      </c>
      <c r="S26" s="88" t="s">
        <v>753</v>
      </c>
      <c r="T26" s="89"/>
      <c r="U26" s="89">
        <v>0.01</v>
      </c>
      <c r="V26" s="89" t="s">
        <v>2</v>
      </c>
      <c r="W26" s="90"/>
      <c r="Y26" s="88" t="s">
        <v>1180</v>
      </c>
      <c r="Z26" s="89"/>
      <c r="AA26" s="89">
        <v>0.01</v>
      </c>
      <c r="AB26" s="89" t="s">
        <v>2</v>
      </c>
      <c r="AC26" s="90"/>
      <c r="AJ26" s="34"/>
      <c r="AK26" s="34"/>
    </row>
    <row r="27" spans="1:37" x14ac:dyDescent="0.2">
      <c r="A27" s="88" t="s">
        <v>727</v>
      </c>
      <c r="B27" s="89"/>
      <c r="C27" s="89">
        <v>0.01</v>
      </c>
      <c r="D27" s="89" t="s">
        <v>2</v>
      </c>
      <c r="E27" s="90" t="s">
        <v>179</v>
      </c>
      <c r="F27" s="34" t="s">
        <v>179</v>
      </c>
      <c r="G27" s="88" t="s">
        <v>727</v>
      </c>
      <c r="H27" s="89"/>
      <c r="I27" s="89">
        <v>0.01</v>
      </c>
      <c r="J27" s="89" t="s">
        <v>2</v>
      </c>
      <c r="K27" s="324" t="s">
        <v>283</v>
      </c>
      <c r="M27" s="88" t="s">
        <v>727</v>
      </c>
      <c r="N27" s="89"/>
      <c r="O27" s="89">
        <v>0.01</v>
      </c>
      <c r="P27" s="89" t="s">
        <v>2</v>
      </c>
      <c r="Q27" s="324" t="s">
        <v>1237</v>
      </c>
      <c r="S27" s="88" t="s">
        <v>1204</v>
      </c>
      <c r="T27" s="89"/>
      <c r="U27" s="89">
        <v>0.01</v>
      </c>
      <c r="V27" s="89" t="s">
        <v>2</v>
      </c>
      <c r="W27" s="90" t="s">
        <v>179</v>
      </c>
      <c r="Y27" s="88" t="s">
        <v>1230</v>
      </c>
      <c r="Z27" s="89"/>
      <c r="AA27" s="89">
        <v>0.01</v>
      </c>
      <c r="AB27" s="89" t="s">
        <v>2</v>
      </c>
      <c r="AC27" s="90"/>
      <c r="AJ27" s="34"/>
      <c r="AK27" s="34"/>
    </row>
    <row r="28" spans="1:37" x14ac:dyDescent="0.2">
      <c r="A28" s="88" t="s">
        <v>707</v>
      </c>
      <c r="B28" s="89"/>
      <c r="C28" s="89">
        <v>0.01</v>
      </c>
      <c r="D28" s="89" t="s">
        <v>2</v>
      </c>
      <c r="E28" s="90" t="s">
        <v>179</v>
      </c>
      <c r="F28" s="34" t="s">
        <v>179</v>
      </c>
      <c r="G28" s="88" t="s">
        <v>707</v>
      </c>
      <c r="H28" s="89"/>
      <c r="I28" s="89">
        <v>0.01</v>
      </c>
      <c r="J28" s="89" t="s">
        <v>2</v>
      </c>
      <c r="K28" s="324" t="s">
        <v>283</v>
      </c>
      <c r="M28" s="88" t="s">
        <v>707</v>
      </c>
      <c r="N28" s="89"/>
      <c r="O28" s="89">
        <v>0.01</v>
      </c>
      <c r="P28" s="89" t="s">
        <v>2</v>
      </c>
      <c r="Q28" s="324" t="s">
        <v>1237</v>
      </c>
      <c r="S28" s="88" t="s">
        <v>1173</v>
      </c>
      <c r="T28" s="89"/>
      <c r="U28" s="89">
        <v>0.01</v>
      </c>
      <c r="V28" s="89" t="s">
        <v>2</v>
      </c>
      <c r="W28" s="90" t="s">
        <v>179</v>
      </c>
      <c r="Y28" s="88" t="s">
        <v>1182</v>
      </c>
      <c r="Z28" s="89"/>
      <c r="AA28" s="89">
        <v>0.01</v>
      </c>
      <c r="AB28" s="89" t="s">
        <v>2</v>
      </c>
      <c r="AC28" s="90"/>
      <c r="AJ28" s="34"/>
      <c r="AK28" s="34"/>
    </row>
    <row r="29" spans="1:37" x14ac:dyDescent="0.2">
      <c r="A29" s="88" t="s">
        <v>198</v>
      </c>
      <c r="B29" s="89"/>
      <c r="C29" s="89">
        <v>5.0000000000000001E-3</v>
      </c>
      <c r="D29" s="89" t="s">
        <v>2</v>
      </c>
      <c r="E29" s="90" t="s">
        <v>179</v>
      </c>
      <c r="F29" s="34" t="s">
        <v>179</v>
      </c>
      <c r="G29" s="88" t="s">
        <v>198</v>
      </c>
      <c r="H29" s="89"/>
      <c r="I29" s="89">
        <v>5.0000000000000001E-3</v>
      </c>
      <c r="J29" s="89" t="s">
        <v>2</v>
      </c>
      <c r="K29" s="324" t="s">
        <v>283</v>
      </c>
      <c r="M29" s="88" t="s">
        <v>198</v>
      </c>
      <c r="N29" s="89"/>
      <c r="O29" s="89">
        <v>5.0000000000000001E-3</v>
      </c>
      <c r="P29" s="89" t="s">
        <v>2</v>
      </c>
      <c r="Q29" s="324" t="s">
        <v>1237</v>
      </c>
      <c r="S29" s="88" t="s">
        <v>1128</v>
      </c>
      <c r="T29" s="89"/>
      <c r="U29" s="89">
        <v>5.0000000000000001E-3</v>
      </c>
      <c r="V29" s="89" t="s">
        <v>2</v>
      </c>
      <c r="W29" s="90" t="s">
        <v>179</v>
      </c>
      <c r="Y29" s="88" t="s">
        <v>1155</v>
      </c>
      <c r="Z29" s="89"/>
      <c r="AA29" s="89">
        <v>5.0000000000000001E-3</v>
      </c>
      <c r="AB29" s="89" t="s">
        <v>2</v>
      </c>
      <c r="AC29" s="90"/>
      <c r="AJ29" s="34"/>
      <c r="AK29" s="34"/>
    </row>
    <row r="30" spans="1:37" x14ac:dyDescent="0.2">
      <c r="A30" s="88" t="s">
        <v>204</v>
      </c>
      <c r="B30" s="89"/>
      <c r="C30" s="89">
        <v>0.15</v>
      </c>
      <c r="D30" s="89" t="s">
        <v>2</v>
      </c>
      <c r="E30" s="90"/>
      <c r="F30" s="34" t="s">
        <v>179</v>
      </c>
      <c r="G30" s="88" t="s">
        <v>204</v>
      </c>
      <c r="H30" s="89"/>
      <c r="I30" s="89">
        <v>0.15</v>
      </c>
      <c r="J30" s="89" t="s">
        <v>2</v>
      </c>
      <c r="K30" s="324" t="s">
        <v>283</v>
      </c>
      <c r="M30" s="88" t="s">
        <v>204</v>
      </c>
      <c r="N30" s="89"/>
      <c r="O30" s="89">
        <v>0.15</v>
      </c>
      <c r="P30" s="89" t="s">
        <v>2</v>
      </c>
      <c r="Q30" s="324" t="s">
        <v>1237</v>
      </c>
      <c r="S30" s="88" t="s">
        <v>1134</v>
      </c>
      <c r="T30" s="89"/>
      <c r="U30" s="89">
        <v>0.15</v>
      </c>
      <c r="V30" s="89" t="s">
        <v>2</v>
      </c>
      <c r="W30" s="90"/>
      <c r="Y30" s="88" t="s">
        <v>1161</v>
      </c>
      <c r="Z30" s="89"/>
      <c r="AA30" s="89">
        <v>0.15</v>
      </c>
      <c r="AB30" s="89" t="s">
        <v>2</v>
      </c>
      <c r="AC30" s="90"/>
      <c r="AJ30" s="34"/>
      <c r="AK30" s="34"/>
    </row>
    <row r="31" spans="1:37" s="35" customFormat="1" x14ac:dyDescent="0.2">
      <c r="A31" s="277" t="s">
        <v>205</v>
      </c>
      <c r="B31" s="278"/>
      <c r="C31" s="278"/>
      <c r="D31" s="278"/>
      <c r="E31" s="279"/>
      <c r="F31" s="1"/>
      <c r="G31" s="277" t="s">
        <v>205</v>
      </c>
      <c r="H31" s="278"/>
      <c r="I31" s="278"/>
      <c r="J31" s="278"/>
      <c r="K31" s="279"/>
      <c r="L31" s="1"/>
      <c r="M31" s="277" t="s">
        <v>205</v>
      </c>
      <c r="N31" s="278"/>
      <c r="O31" s="278"/>
      <c r="P31" s="278"/>
      <c r="Q31" s="279"/>
      <c r="R31" s="1"/>
      <c r="S31" s="277" t="s">
        <v>205</v>
      </c>
      <c r="T31" s="278"/>
      <c r="U31" s="278"/>
      <c r="V31" s="278"/>
      <c r="W31" s="279"/>
      <c r="X31" s="1"/>
      <c r="Y31" s="277" t="s">
        <v>205</v>
      </c>
      <c r="Z31" s="278"/>
      <c r="AA31" s="278"/>
      <c r="AB31" s="278"/>
      <c r="AC31" s="279"/>
      <c r="AD31" s="99"/>
      <c r="AE31" s="99"/>
      <c r="AF31" s="99"/>
      <c r="AG31" s="99"/>
      <c r="AH31" s="99"/>
      <c r="AI31" s="99"/>
      <c r="AJ31" s="99"/>
      <c r="AK31" s="99"/>
    </row>
    <row r="32" spans="1:37" x14ac:dyDescent="0.2">
      <c r="A32" s="280" t="s">
        <v>206</v>
      </c>
      <c r="B32" s="281"/>
      <c r="C32" s="288">
        <v>0.112</v>
      </c>
      <c r="D32" s="281" t="s">
        <v>207</v>
      </c>
      <c r="E32" s="373" t="s">
        <v>1163</v>
      </c>
      <c r="F32" s="244" t="s">
        <v>179</v>
      </c>
      <c r="G32" s="280" t="s">
        <v>206</v>
      </c>
      <c r="H32" s="281"/>
      <c r="I32" s="288">
        <v>0.112</v>
      </c>
      <c r="J32" s="281" t="s">
        <v>207</v>
      </c>
      <c r="K32" s="373" t="s">
        <v>1163</v>
      </c>
      <c r="L32" s="244"/>
      <c r="M32" s="280" t="s">
        <v>206</v>
      </c>
      <c r="N32" s="281"/>
      <c r="O32" s="288">
        <v>0.112</v>
      </c>
      <c r="P32" s="281" t="s">
        <v>207</v>
      </c>
      <c r="Q32" s="373" t="s">
        <v>1163</v>
      </c>
      <c r="R32" s="244"/>
      <c r="S32" s="280" t="s">
        <v>206</v>
      </c>
      <c r="T32" s="281"/>
      <c r="U32" s="288">
        <v>0.112</v>
      </c>
      <c r="V32" s="281" t="s">
        <v>207</v>
      </c>
      <c r="W32" s="373" t="s">
        <v>1163</v>
      </c>
      <c r="X32" t="s">
        <v>87</v>
      </c>
      <c r="Y32" s="280" t="s">
        <v>206</v>
      </c>
      <c r="Z32" s="281"/>
      <c r="AA32" s="288">
        <v>0.112</v>
      </c>
      <c r="AB32" s="281" t="s">
        <v>207</v>
      </c>
      <c r="AC32" s="373" t="s">
        <v>1163</v>
      </c>
      <c r="AD32" s="40" t="s">
        <v>87</v>
      </c>
    </row>
    <row r="33" spans="1:41" x14ac:dyDescent="0.2">
      <c r="A33" s="280" t="s">
        <v>208</v>
      </c>
      <c r="B33" s="281"/>
      <c r="C33" s="288">
        <v>0.52700000000000002</v>
      </c>
      <c r="D33" s="281" t="s">
        <v>207</v>
      </c>
      <c r="E33" s="373"/>
      <c r="F33" s="244" t="s">
        <v>179</v>
      </c>
      <c r="G33" s="280" t="s">
        <v>208</v>
      </c>
      <c r="H33" s="281"/>
      <c r="I33" s="288">
        <v>0.52700000000000002</v>
      </c>
      <c r="J33" s="281" t="s">
        <v>207</v>
      </c>
      <c r="K33" s="373"/>
      <c r="L33" s="244"/>
      <c r="M33" s="280" t="s">
        <v>208</v>
      </c>
      <c r="N33" s="281"/>
      <c r="O33" s="288">
        <v>0.52700000000000002</v>
      </c>
      <c r="P33" s="281" t="s">
        <v>207</v>
      </c>
      <c r="Q33" s="373"/>
      <c r="R33" s="244"/>
      <c r="S33" s="280" t="s">
        <v>208</v>
      </c>
      <c r="T33" s="281"/>
      <c r="U33" s="288">
        <v>0.52700000000000002</v>
      </c>
      <c r="V33" s="281" t="s">
        <v>207</v>
      </c>
      <c r="W33" s="373"/>
      <c r="X33" s="244"/>
      <c r="Y33" s="280" t="s">
        <v>208</v>
      </c>
      <c r="Z33" s="281"/>
      <c r="AA33" s="288">
        <v>0.52700000000000002</v>
      </c>
      <c r="AB33" s="281" t="s">
        <v>207</v>
      </c>
      <c r="AC33" s="373"/>
    </row>
    <row r="34" spans="1:41" s="35" customFormat="1" x14ac:dyDescent="0.2">
      <c r="A34" s="277" t="s">
        <v>209</v>
      </c>
      <c r="B34" s="278"/>
      <c r="C34" s="278"/>
      <c r="D34" s="278"/>
      <c r="E34" s="279"/>
      <c r="F34" s="1"/>
      <c r="G34" s="277" t="s">
        <v>209</v>
      </c>
      <c r="H34" s="278"/>
      <c r="I34" s="278"/>
      <c r="J34" s="278"/>
      <c r="K34" s="279"/>
      <c r="L34" s="1"/>
      <c r="M34" s="277" t="s">
        <v>209</v>
      </c>
      <c r="N34" s="278"/>
      <c r="O34" s="278"/>
      <c r="P34" s="278"/>
      <c r="Q34" s="279"/>
      <c r="R34" s="1"/>
      <c r="S34" s="277" t="s">
        <v>209</v>
      </c>
      <c r="T34" s="278"/>
      <c r="U34" s="278"/>
      <c r="V34" s="278"/>
      <c r="W34" s="279"/>
      <c r="X34" s="1"/>
      <c r="Y34" s="277" t="s">
        <v>209</v>
      </c>
      <c r="Z34" s="278"/>
      <c r="AA34" s="278"/>
      <c r="AB34" s="278"/>
      <c r="AC34" s="279"/>
      <c r="AD34" s="99"/>
      <c r="AE34" s="99"/>
      <c r="AF34" s="99"/>
      <c r="AG34" s="99"/>
      <c r="AH34" s="99"/>
      <c r="AI34" s="99"/>
      <c r="AJ34" s="99"/>
      <c r="AK34" s="99"/>
    </row>
    <row r="35" spans="1:41" x14ac:dyDescent="0.2">
      <c r="A35" s="280" t="s">
        <v>210</v>
      </c>
      <c r="B35" s="281"/>
      <c r="C35" s="281">
        <v>2.0000000000000001E-4</v>
      </c>
      <c r="D35" s="281" t="s">
        <v>2</v>
      </c>
      <c r="E35" s="282" t="s">
        <v>211</v>
      </c>
      <c r="F35" s="244" t="s">
        <v>179</v>
      </c>
      <c r="G35" s="280" t="s">
        <v>210</v>
      </c>
      <c r="H35" s="281"/>
      <c r="I35" s="281">
        <v>2.0000000000000002E-5</v>
      </c>
      <c r="J35" s="281" t="s">
        <v>2</v>
      </c>
      <c r="K35" s="324" t="s">
        <v>283</v>
      </c>
      <c r="L35" t="s">
        <v>87</v>
      </c>
      <c r="M35" s="280" t="s">
        <v>210</v>
      </c>
      <c r="N35" s="281"/>
      <c r="O35" s="281">
        <v>2E-3</v>
      </c>
      <c r="P35" s="281" t="s">
        <v>2</v>
      </c>
      <c r="Q35" s="373" t="s">
        <v>1164</v>
      </c>
      <c r="R35" t="s">
        <v>87</v>
      </c>
      <c r="S35" s="280" t="s">
        <v>210</v>
      </c>
      <c r="T35" s="281"/>
      <c r="U35" s="281">
        <v>2.0000000000000001E-4</v>
      </c>
      <c r="V35" s="281" t="s">
        <v>2</v>
      </c>
      <c r="W35" s="282" t="s">
        <v>211</v>
      </c>
      <c r="X35" t="s">
        <v>87</v>
      </c>
      <c r="Y35" s="280" t="s">
        <v>210</v>
      </c>
      <c r="Z35" s="281"/>
      <c r="AA35" s="281">
        <v>2.0000000000000001E-4</v>
      </c>
      <c r="AB35" s="281" t="s">
        <v>2</v>
      </c>
      <c r="AC35" s="282" t="s">
        <v>211</v>
      </c>
      <c r="AD35" s="40" t="s">
        <v>87</v>
      </c>
    </row>
    <row r="36" spans="1:41" s="35" customFormat="1" x14ac:dyDescent="0.2">
      <c r="A36" s="85" t="s">
        <v>212</v>
      </c>
      <c r="B36" s="86"/>
      <c r="C36" s="86"/>
      <c r="D36" s="86"/>
      <c r="E36" s="87"/>
      <c r="G36" s="85" t="s">
        <v>212</v>
      </c>
      <c r="H36" s="86"/>
      <c r="I36" s="86"/>
      <c r="J36" s="86"/>
      <c r="K36" s="87"/>
      <c r="M36" s="85" t="s">
        <v>212</v>
      </c>
      <c r="N36" s="86"/>
      <c r="O36" s="86"/>
      <c r="P36" s="86"/>
      <c r="Q36" s="87"/>
      <c r="S36" s="85" t="s">
        <v>212</v>
      </c>
      <c r="T36" s="86"/>
      <c r="U36" s="86"/>
      <c r="V36" s="86"/>
      <c r="W36" s="87"/>
      <c r="Y36" s="85" t="s">
        <v>212</v>
      </c>
      <c r="Z36" s="86"/>
      <c r="AA36" s="86"/>
      <c r="AB36" s="86"/>
      <c r="AC36" s="87"/>
      <c r="AD36" s="99"/>
      <c r="AE36" s="99"/>
      <c r="AF36" s="99"/>
      <c r="AG36" s="99"/>
      <c r="AH36" s="99"/>
      <c r="AI36" s="99"/>
      <c r="AJ36" s="99"/>
      <c r="AK36" s="99"/>
    </row>
    <row r="37" spans="1:41" ht="13.5" thickBot="1" x14ac:dyDescent="0.25">
      <c r="A37" s="100" t="s">
        <v>213</v>
      </c>
      <c r="B37" s="101"/>
      <c r="C37" s="192">
        <v>0.5</v>
      </c>
      <c r="D37" s="101" t="s">
        <v>2</v>
      </c>
      <c r="E37" s="102" t="s">
        <v>214</v>
      </c>
      <c r="F37" s="34" t="s">
        <v>179</v>
      </c>
      <c r="G37" s="100" t="s">
        <v>213</v>
      </c>
      <c r="H37" s="101"/>
      <c r="I37" s="192">
        <v>0.5</v>
      </c>
      <c r="J37" s="101" t="s">
        <v>2</v>
      </c>
      <c r="K37" s="102" t="s">
        <v>214</v>
      </c>
      <c r="M37" s="100" t="s">
        <v>213</v>
      </c>
      <c r="N37" s="101"/>
      <c r="O37" s="192">
        <v>0.5</v>
      </c>
      <c r="P37" s="101" t="s">
        <v>2</v>
      </c>
      <c r="Q37" s="102" t="s">
        <v>214</v>
      </c>
      <c r="S37" s="100" t="s">
        <v>213</v>
      </c>
      <c r="T37" s="101"/>
      <c r="U37" s="192">
        <v>0.5</v>
      </c>
      <c r="V37" s="101" t="s">
        <v>2</v>
      </c>
      <c r="W37" s="102" t="s">
        <v>214</v>
      </c>
      <c r="Y37" s="100" t="s">
        <v>213</v>
      </c>
      <c r="Z37" s="101"/>
      <c r="AA37" s="192">
        <v>0.5</v>
      </c>
      <c r="AB37" s="101" t="s">
        <v>2</v>
      </c>
      <c r="AC37" s="102" t="s">
        <v>214</v>
      </c>
    </row>
    <row r="41" spans="1:41" x14ac:dyDescent="0.2">
      <c r="Y41" s="34"/>
      <c r="Z41" s="34"/>
    </row>
    <row r="42" spans="1:41" x14ac:dyDescent="0.2">
      <c r="Y42" s="34"/>
      <c r="Z42" s="34"/>
    </row>
    <row r="43" spans="1:41" x14ac:dyDescent="0.2">
      <c r="Y43" s="34"/>
      <c r="Z43" s="34"/>
    </row>
    <row r="44" spans="1:41" s="59" customFormat="1" x14ac:dyDescent="0.2">
      <c r="A44" s="58"/>
      <c r="B44" s="58"/>
    </row>
    <row r="45" spans="1:41" s="7" customFormat="1" x14ac:dyDescent="0.2">
      <c r="A45" s="17" t="s">
        <v>708</v>
      </c>
      <c r="U45" s="197" t="s">
        <v>550</v>
      </c>
      <c r="V45" s="198" t="s">
        <v>551</v>
      </c>
      <c r="W45" s="198" t="s">
        <v>550</v>
      </c>
      <c r="X45" s="198" t="s">
        <v>551</v>
      </c>
      <c r="Y45" s="199" t="s">
        <v>552</v>
      </c>
      <c r="Z45" s="200"/>
      <c r="AA45" s="201"/>
      <c r="AB45" s="17" t="s">
        <v>105</v>
      </c>
      <c r="AC45" s="17"/>
      <c r="AD45" s="148" t="s">
        <v>549</v>
      </c>
      <c r="AE45" s="149"/>
      <c r="AF45" s="149"/>
      <c r="AG45" s="149" t="s">
        <v>548</v>
      </c>
      <c r="AH45" s="149"/>
      <c r="AI45" s="149"/>
      <c r="AJ45" s="149" t="s">
        <v>547</v>
      </c>
      <c r="AK45" s="149"/>
      <c r="AL45" s="149"/>
      <c r="AM45" s="202" t="s">
        <v>553</v>
      </c>
      <c r="AN45" s="200"/>
      <c r="AO45" s="201"/>
    </row>
    <row r="46" spans="1:41" s="49" customFormat="1" ht="15" customHeight="1" x14ac:dyDescent="0.2">
      <c r="A46" s="57" t="s">
        <v>58</v>
      </c>
      <c r="B46" s="55" t="s">
        <v>289</v>
      </c>
      <c r="C46" s="56" t="s">
        <v>100</v>
      </c>
      <c r="D46" s="56" t="s">
        <v>11</v>
      </c>
      <c r="E46" s="63" t="s">
        <v>291</v>
      </c>
      <c r="F46" s="63"/>
      <c r="G46" s="66" t="s">
        <v>292</v>
      </c>
      <c r="H46" s="66" t="s">
        <v>8</v>
      </c>
      <c r="I46" s="66" t="s">
        <v>217</v>
      </c>
      <c r="J46" s="66" t="s">
        <v>11</v>
      </c>
      <c r="K46" s="66" t="s">
        <v>291</v>
      </c>
      <c r="L46" s="63"/>
      <c r="M46" s="67" t="s">
        <v>293</v>
      </c>
      <c r="N46" s="67" t="s">
        <v>8</v>
      </c>
      <c r="O46" s="67" t="s">
        <v>217</v>
      </c>
      <c r="P46" s="67" t="s">
        <v>11</v>
      </c>
      <c r="Q46" s="67" t="s">
        <v>291</v>
      </c>
      <c r="R46" s="67"/>
      <c r="S46" s="63"/>
      <c r="T46" s="79" t="s">
        <v>275</v>
      </c>
      <c r="U46" s="126" t="s">
        <v>530</v>
      </c>
      <c r="V46" s="114" t="s">
        <v>531</v>
      </c>
      <c r="W46" s="114" t="s">
        <v>532</v>
      </c>
      <c r="X46" s="114" t="s">
        <v>533</v>
      </c>
      <c r="Y46" s="114" t="s">
        <v>534</v>
      </c>
      <c r="Z46" s="114" t="s">
        <v>535</v>
      </c>
      <c r="AA46" s="131" t="s">
        <v>536</v>
      </c>
      <c r="AB46" s="22" t="s">
        <v>545</v>
      </c>
      <c r="AC46" s="23" t="s">
        <v>546</v>
      </c>
      <c r="AD46" s="148" t="s">
        <v>31</v>
      </c>
      <c r="AE46" s="149" t="s">
        <v>32</v>
      </c>
      <c r="AF46" s="150" t="s">
        <v>33</v>
      </c>
      <c r="AG46" s="148" t="s">
        <v>31</v>
      </c>
      <c r="AH46" s="149" t="s">
        <v>32</v>
      </c>
      <c r="AI46" s="150" t="s">
        <v>33</v>
      </c>
      <c r="AJ46" s="148" t="s">
        <v>31</v>
      </c>
      <c r="AK46" s="149" t="s">
        <v>32</v>
      </c>
      <c r="AL46" s="149" t="s">
        <v>33</v>
      </c>
      <c r="AM46" s="159"/>
      <c r="AN46" s="156"/>
      <c r="AO46" s="160"/>
    </row>
    <row r="47" spans="1:41" s="8" customFormat="1" ht="15" customHeight="1" x14ac:dyDescent="0.2">
      <c r="A47" s="70" t="str">
        <f>'36. Generic chemical products'!A50</f>
        <v>Thickener, average (Lyoprint DT-CS)</v>
      </c>
      <c r="B47" s="70" t="str">
        <f>'36. Generic chemical products'!B50</f>
        <v>Distillates, petroleum, hydrotreated heavy paraffinic</v>
      </c>
      <c r="C47" s="70">
        <f>'36. Generic chemical products'!C50</f>
        <v>0.35</v>
      </c>
      <c r="D47" s="70" t="str">
        <f>'36. Generic chemical products'!D50</f>
        <v>kg</v>
      </c>
      <c r="E47" s="70" t="str">
        <f>'36. Generic chemical products'!E50</f>
        <v>MSDS</v>
      </c>
      <c r="F47" s="70">
        <f>'36. Generic chemical products'!F50</f>
        <v>0</v>
      </c>
      <c r="G47" s="70" t="str">
        <f>'36. Generic chemical products'!G50</f>
        <v>Distillates, petroleum, hydrotreated heavy paraffinic</v>
      </c>
      <c r="H47" s="70" t="str">
        <f>'36. Generic chemical products'!H50</f>
        <v>high. pop.</v>
      </c>
      <c r="I47" s="70">
        <f>'36. Generic chemical products'!I50</f>
        <v>3.5E-4</v>
      </c>
      <c r="J47" s="70" t="str">
        <f>'36. Generic chemical products'!J50</f>
        <v>kg</v>
      </c>
      <c r="K47" s="70">
        <f>'36. Generic chemical products'!K50</f>
        <v>0</v>
      </c>
      <c r="L47" s="70">
        <f>'36. Generic chemical products'!L50</f>
        <v>0</v>
      </c>
      <c r="M47" s="70" t="str">
        <f>'36. Generic chemical products'!M50</f>
        <v>Distillates, petroleum, hydrotreated heavy paraffinic</v>
      </c>
      <c r="N47" s="70" t="str">
        <f>'36. Generic chemical products'!N50</f>
        <v>river</v>
      </c>
      <c r="O47" s="70">
        <f>'36. Generic chemical products'!O50</f>
        <v>3.4999999999999996E-2</v>
      </c>
      <c r="P47" s="70" t="str">
        <f>'36. Generic chemical products'!P50</f>
        <v>kg</v>
      </c>
      <c r="Q47" s="70">
        <f>'36. Generic chemical products'!Q50</f>
        <v>0</v>
      </c>
      <c r="R47" s="70">
        <f>'36. Generic chemical products'!R50</f>
        <v>0</v>
      </c>
      <c r="S47" s="70">
        <f>'36. Generic chemical products'!S50</f>
        <v>0</v>
      </c>
      <c r="T47" s="70" t="str">
        <f>'36. Generic chemical products'!T50</f>
        <v>64742-54-7</v>
      </c>
      <c r="U47" s="70">
        <f>'36. Generic chemical products'!U50</f>
        <v>0</v>
      </c>
      <c r="V47" s="70">
        <f>'36. Generic chemical products'!V50</f>
        <v>0</v>
      </c>
      <c r="W47" s="70">
        <f>'36. Generic chemical products'!W50</f>
        <v>0</v>
      </c>
      <c r="X47" s="70">
        <f>'36. Generic chemical products'!X50</f>
        <v>0</v>
      </c>
      <c r="Y47" s="70">
        <f>'36. Generic chemical products'!Y50</f>
        <v>0.5</v>
      </c>
      <c r="Z47" s="70">
        <f>'36. Generic chemical products'!Z50</f>
        <v>39.5</v>
      </c>
      <c r="AA47" s="70" t="str">
        <f>'36. Generic chemical products'!AA50</f>
        <v>COSMEDE</v>
      </c>
      <c r="AB47" s="27">
        <f>$C$15*I47</f>
        <v>3.6749999999999999E-5</v>
      </c>
      <c r="AC47" s="29">
        <f>$C$23*O47</f>
        <v>3.6749999999999994E-3</v>
      </c>
      <c r="AD47" s="135">
        <f t="shared" ref="AD47:AD63" si="0">AB47*U47+AC47*W47</f>
        <v>0</v>
      </c>
      <c r="AE47" s="135">
        <f t="shared" ref="AE47:AE63" si="1">AB47*V47+AC47*X47</f>
        <v>0</v>
      </c>
      <c r="AF47" s="24">
        <f t="shared" ref="AF47:AF63" si="2">AB47*Y47+AC47*Z47</f>
        <v>0.14518087499999996</v>
      </c>
      <c r="AG47" s="24">
        <f t="shared" ref="AG47:AG63" si="3">AB47*U47</f>
        <v>0</v>
      </c>
      <c r="AH47" s="24">
        <f t="shared" ref="AH47:AH63" si="4">AB47*V47</f>
        <v>0</v>
      </c>
      <c r="AI47" s="24">
        <f t="shared" ref="AI47:AI63" si="5">AB47*Y47</f>
        <v>1.8374999999999999E-5</v>
      </c>
      <c r="AJ47" s="24">
        <f t="shared" ref="AJ47:AJ63" si="6">AC47*W47</f>
        <v>0</v>
      </c>
      <c r="AK47" s="24">
        <f t="shared" ref="AK47:AK63" si="7">AC47*X47</f>
        <v>0</v>
      </c>
      <c r="AL47" s="24">
        <f t="shared" ref="AL47:AL63" si="8">AC47*Z47</f>
        <v>0.14516249999999997</v>
      </c>
      <c r="AM47" s="161">
        <f t="shared" ref="AM47:AO63" si="9">AG47+AJ47</f>
        <v>0</v>
      </c>
      <c r="AN47" s="157">
        <f t="shared" si="9"/>
        <v>0</v>
      </c>
      <c r="AO47" s="162">
        <f t="shared" si="9"/>
        <v>0.14518087499999996</v>
      </c>
    </row>
    <row r="48" spans="1:41" s="8" customFormat="1" ht="15" customHeight="1" x14ac:dyDescent="0.2">
      <c r="A48" s="70" t="str">
        <f>'36. Generic chemical products'!A51</f>
        <v>Thickener, average (Lyoprint DT-CS)</v>
      </c>
      <c r="B48" s="70" t="str">
        <f>'36. Generic chemical products'!B51</f>
        <v>Poly(oxy-1,2-ethanediyl) , .alpha.-tridecyl-.omega.-hydroxy-, phosphate</v>
      </c>
      <c r="C48" s="70">
        <f>'36. Generic chemical products'!C51</f>
        <v>0.05</v>
      </c>
      <c r="D48" s="70" t="str">
        <f>'36. Generic chemical products'!D51</f>
        <v>kg</v>
      </c>
      <c r="E48" s="70" t="str">
        <f>'36. Generic chemical products'!E51</f>
        <v>MSDS</v>
      </c>
      <c r="F48" s="70">
        <f>'36. Generic chemical products'!F51</f>
        <v>0</v>
      </c>
      <c r="G48" s="70" t="str">
        <f>'36. Generic chemical products'!G51</f>
        <v>Poly(oxy-1,2-ethanediyl) , .alpha.-tridecyl-.omega.-hydroxy-, phosphate</v>
      </c>
      <c r="H48" s="70" t="str">
        <f>'36. Generic chemical products'!H51</f>
        <v>high. pop.</v>
      </c>
      <c r="I48" s="70">
        <f>'36. Generic chemical products'!I51</f>
        <v>5.0000000000000002E-5</v>
      </c>
      <c r="J48" s="70" t="str">
        <f>'36. Generic chemical products'!J51</f>
        <v>kg</v>
      </c>
      <c r="K48" s="70">
        <f>'36. Generic chemical products'!K51</f>
        <v>0</v>
      </c>
      <c r="L48" s="70">
        <f>'36. Generic chemical products'!L51</f>
        <v>0</v>
      </c>
      <c r="M48" s="70" t="str">
        <f>'36. Generic chemical products'!M51</f>
        <v>Poly(oxy-1,2-ethanediyl) , .alpha.-tridecyl-.omega.-hydroxy-, phosphate</v>
      </c>
      <c r="N48" s="70" t="str">
        <f>'36. Generic chemical products'!N51</f>
        <v>river</v>
      </c>
      <c r="O48" s="70">
        <f>'36. Generic chemical products'!O51</f>
        <v>5.000000000000001E-3</v>
      </c>
      <c r="P48" s="70" t="str">
        <f>'36. Generic chemical products'!P51</f>
        <v>kg</v>
      </c>
      <c r="Q48" s="70">
        <f>'36. Generic chemical products'!Q51</f>
        <v>0</v>
      </c>
      <c r="R48" s="70">
        <f>'36. Generic chemical products'!R51</f>
        <v>0</v>
      </c>
      <c r="S48" s="70">
        <f>'36. Generic chemical products'!S51</f>
        <v>0</v>
      </c>
      <c r="T48" s="70" t="str">
        <f>'36. Generic chemical products'!T51</f>
        <v>9046-01-9</v>
      </c>
      <c r="U48" s="70">
        <f>'36. Generic chemical products'!U51</f>
        <v>0</v>
      </c>
      <c r="V48" s="70">
        <f>'36. Generic chemical products'!V51</f>
        <v>1.1135698593690228E-7</v>
      </c>
      <c r="W48" s="70">
        <f>'36. Generic chemical products'!W51</f>
        <v>0</v>
      </c>
      <c r="X48" s="70">
        <f>'36. Generic chemical products'!X51</f>
        <v>5.8568889081207134E-7</v>
      </c>
      <c r="Y48" s="70">
        <f>'36. Generic chemical products'!Y51</f>
        <v>9807.1010123430624</v>
      </c>
      <c r="Z48" s="70">
        <f>'36. Generic chemical products'!Z51</f>
        <v>478403.0544103132</v>
      </c>
      <c r="AA48" s="70" t="str">
        <f>'36. Generic chemical products'!AA51</f>
        <v>Roos 2017</v>
      </c>
      <c r="AB48" s="27">
        <f>$C$15*I48</f>
        <v>5.2499999999999997E-6</v>
      </c>
      <c r="AC48" s="29">
        <f>$C$23*O48</f>
        <v>5.2500000000000008E-4</v>
      </c>
      <c r="AD48" s="135">
        <f t="shared" si="0"/>
        <v>0</v>
      </c>
      <c r="AE48" s="135">
        <f t="shared" si="1"/>
        <v>3.0807129185250625E-10</v>
      </c>
      <c r="AF48" s="24">
        <f t="shared" si="2"/>
        <v>251.21309084572925</v>
      </c>
      <c r="AG48" s="24">
        <f t="shared" si="3"/>
        <v>0</v>
      </c>
      <c r="AH48" s="24">
        <f t="shared" si="4"/>
        <v>5.8462417616873691E-13</v>
      </c>
      <c r="AI48" s="24">
        <f t="shared" si="5"/>
        <v>5.1487280314801077E-2</v>
      </c>
      <c r="AJ48" s="24">
        <f t="shared" si="6"/>
        <v>0</v>
      </c>
      <c r="AK48" s="24">
        <f t="shared" si="7"/>
        <v>3.0748666767633752E-10</v>
      </c>
      <c r="AL48" s="24">
        <f t="shared" si="8"/>
        <v>251.16160356541445</v>
      </c>
      <c r="AM48" s="161">
        <f t="shared" si="9"/>
        <v>0</v>
      </c>
      <c r="AN48" s="157">
        <f t="shared" si="9"/>
        <v>3.0807129185250625E-10</v>
      </c>
      <c r="AO48" s="162">
        <f t="shared" si="9"/>
        <v>251.21309084572925</v>
      </c>
    </row>
    <row r="49" spans="1:41" s="49" customFormat="1" ht="15" customHeight="1" x14ac:dyDescent="0.2">
      <c r="A49" s="136" t="str">
        <f>'36. Generic chemical products'!A52</f>
        <v>Thickener, average (Lyoprint DT-CS)</v>
      </c>
      <c r="B49" s="136" t="str">
        <f>'36. Generic chemical products'!B52</f>
        <v>Naphtha, petroleum, hydrotreated heavy</v>
      </c>
      <c r="C49" s="136">
        <f>'36. Generic chemical products'!C52</f>
        <v>0.1</v>
      </c>
      <c r="D49" s="136" t="str">
        <f>'36. Generic chemical products'!D52</f>
        <v>kg</v>
      </c>
      <c r="E49" s="136" t="str">
        <f>'36. Generic chemical products'!E52</f>
        <v>MSDS</v>
      </c>
      <c r="F49" s="136">
        <f>'36. Generic chemical products'!F52</f>
        <v>0</v>
      </c>
      <c r="G49" s="136" t="str">
        <f>'36. Generic chemical products'!G52</f>
        <v>Naphtha, petroleum, hydrotreated heavy</v>
      </c>
      <c r="H49" s="136" t="str">
        <f>'36. Generic chemical products'!H52</f>
        <v>high. pop.</v>
      </c>
      <c r="I49" s="136">
        <f>'36. Generic chemical products'!I52</f>
        <v>1E-4</v>
      </c>
      <c r="J49" s="136" t="str">
        <f>'36. Generic chemical products'!J52</f>
        <v>kg</v>
      </c>
      <c r="K49" s="136">
        <f>'36. Generic chemical products'!K52</f>
        <v>0</v>
      </c>
      <c r="L49" s="136">
        <f>'36. Generic chemical products'!L52</f>
        <v>0</v>
      </c>
      <c r="M49" s="136" t="str">
        <f>'36. Generic chemical products'!M52</f>
        <v>Naphtha, petroleum, hydrotreated heavy</v>
      </c>
      <c r="N49" s="136" t="str">
        <f>'36. Generic chemical products'!N52</f>
        <v>river</v>
      </c>
      <c r="O49" s="136">
        <f>'36. Generic chemical products'!O52</f>
        <v>1.0000000000000002E-2</v>
      </c>
      <c r="P49" s="136" t="str">
        <f>'36. Generic chemical products'!P52</f>
        <v>kg</v>
      </c>
      <c r="Q49" s="136">
        <f>'36. Generic chemical products'!Q52</f>
        <v>0</v>
      </c>
      <c r="R49" s="136">
        <f>'36. Generic chemical products'!R52</f>
        <v>0</v>
      </c>
      <c r="S49" s="136">
        <f>'36. Generic chemical products'!S52</f>
        <v>0</v>
      </c>
      <c r="T49" s="136" t="str">
        <f>'36. Generic chemical products'!T52</f>
        <v>64742-48-9</v>
      </c>
      <c r="U49" s="136">
        <f>'36. Generic chemical products'!U52</f>
        <v>0</v>
      </c>
      <c r="V49" s="136">
        <f>'36. Generic chemical products'!V52</f>
        <v>0</v>
      </c>
      <c r="W49" s="136">
        <f>'36. Generic chemical products'!W52</f>
        <v>0</v>
      </c>
      <c r="X49" s="136">
        <f>'36. Generic chemical products'!X52</f>
        <v>0</v>
      </c>
      <c r="Y49" s="136">
        <f>'36. Generic chemical products'!Y52</f>
        <v>1.1999999999999999E-3</v>
      </c>
      <c r="Z49" s="136">
        <f>'36. Generic chemical products'!Z52</f>
        <v>165</v>
      </c>
      <c r="AA49" s="136" t="str">
        <f>'36. Generic chemical products'!AA52</f>
        <v>COSMEDE</v>
      </c>
      <c r="AB49" s="28">
        <f>$C$15*I49</f>
        <v>1.0499999999999999E-5</v>
      </c>
      <c r="AC49" s="146">
        <f>$C$23*O49</f>
        <v>1.0500000000000002E-3</v>
      </c>
      <c r="AD49" s="147">
        <f t="shared" si="0"/>
        <v>0</v>
      </c>
      <c r="AE49" s="147">
        <f t="shared" si="1"/>
        <v>0</v>
      </c>
      <c r="AF49" s="25">
        <f t="shared" si="2"/>
        <v>0.1732500126</v>
      </c>
      <c r="AG49" s="25">
        <f t="shared" si="3"/>
        <v>0</v>
      </c>
      <c r="AH49" s="25">
        <f t="shared" si="4"/>
        <v>0</v>
      </c>
      <c r="AI49" s="25">
        <f t="shared" si="5"/>
        <v>1.2599999999999999E-8</v>
      </c>
      <c r="AJ49" s="25">
        <f t="shared" si="6"/>
        <v>0</v>
      </c>
      <c r="AK49" s="25">
        <f t="shared" si="7"/>
        <v>0</v>
      </c>
      <c r="AL49" s="25">
        <f t="shared" si="8"/>
        <v>0.17325000000000002</v>
      </c>
      <c r="AM49" s="163">
        <f t="shared" si="9"/>
        <v>0</v>
      </c>
      <c r="AN49" s="164">
        <f t="shared" si="9"/>
        <v>0</v>
      </c>
      <c r="AO49" s="165">
        <f t="shared" si="9"/>
        <v>0.1732500126</v>
      </c>
    </row>
    <row r="50" spans="1:41" s="8" customFormat="1" ht="15" customHeight="1" x14ac:dyDescent="0.2">
      <c r="A50" s="68" t="str">
        <f>'36. Generic chemical products'!A53</f>
        <v>Reduction agent printing (Lyoprint AIR 1:1)</v>
      </c>
      <c r="B50" s="68" t="str">
        <f>'36. Generic chemical products'!B53</f>
        <v>Decane and other higher alkanes</v>
      </c>
      <c r="C50" s="68">
        <f>'36. Generic chemical products'!C53</f>
        <v>0.5</v>
      </c>
      <c r="D50" s="68" t="str">
        <f>'36. Generic chemical products'!D53</f>
        <v>kg</v>
      </c>
      <c r="E50" s="68" t="str">
        <f>'36. Generic chemical products'!E53</f>
        <v>MSDS</v>
      </c>
      <c r="F50" s="68">
        <f>'36. Generic chemical products'!F53</f>
        <v>0</v>
      </c>
      <c r="G50" s="68" t="str">
        <f>'36. Generic chemical products'!G53</f>
        <v>Decane and other higher alkanes</v>
      </c>
      <c r="H50" s="68" t="str">
        <f>'36. Generic chemical products'!H53</f>
        <v>high. pop.</v>
      </c>
      <c r="I50" s="68">
        <f>'36. Generic chemical products'!I53</f>
        <v>5.0000000000000001E-4</v>
      </c>
      <c r="J50" s="68" t="str">
        <f>'36. Generic chemical products'!J53</f>
        <v>kg</v>
      </c>
      <c r="K50" s="68">
        <f>'36. Generic chemical products'!K53</f>
        <v>0</v>
      </c>
      <c r="L50" s="68">
        <f>'36. Generic chemical products'!L53</f>
        <v>0</v>
      </c>
      <c r="M50" s="68" t="str">
        <f>'36. Generic chemical products'!M53</f>
        <v>Decane and other higher alkanes</v>
      </c>
      <c r="N50" s="68" t="str">
        <f>'36. Generic chemical products'!N53</f>
        <v>river</v>
      </c>
      <c r="O50" s="68">
        <f>'36. Generic chemical products'!O53</f>
        <v>0.05</v>
      </c>
      <c r="P50" s="68" t="str">
        <f>'36. Generic chemical products'!P53</f>
        <v>kg</v>
      </c>
      <c r="Q50" s="68">
        <f>'36. Generic chemical products'!Q53</f>
        <v>0</v>
      </c>
      <c r="R50" s="68">
        <f>'36. Generic chemical products'!R53</f>
        <v>0</v>
      </c>
      <c r="S50" s="68">
        <f>'36. Generic chemical products'!S53</f>
        <v>0</v>
      </c>
      <c r="T50" s="68" t="str">
        <f>'36. Generic chemical products'!T53</f>
        <v>64742-47-8</v>
      </c>
      <c r="U50" s="68">
        <f>'36. Generic chemical products'!U53</f>
        <v>0</v>
      </c>
      <c r="V50" s="68">
        <f>'36. Generic chemical products'!V53</f>
        <v>0</v>
      </c>
      <c r="W50" s="68">
        <f>'36. Generic chemical products'!W53</f>
        <v>0</v>
      </c>
      <c r="X50" s="68">
        <f>'36. Generic chemical products'!X53</f>
        <v>0</v>
      </c>
      <c r="Y50" s="68">
        <f>'36. Generic chemical products'!Y53</f>
        <v>2.8999999999999998E-3</v>
      </c>
      <c r="Z50" s="68">
        <f>'36. Generic chemical products'!Z53</f>
        <v>194</v>
      </c>
      <c r="AA50" s="68" t="str">
        <f>'36. Generic chemical products'!AA53</f>
        <v>COSMEDE</v>
      </c>
      <c r="AB50" s="27">
        <f>$C$16*I50</f>
        <v>1.5E-5</v>
      </c>
      <c r="AC50" s="29">
        <f>$C$24*O50</f>
        <v>1.5E-3</v>
      </c>
      <c r="AD50" s="135">
        <f t="shared" si="0"/>
        <v>0</v>
      </c>
      <c r="AE50" s="135">
        <f t="shared" si="1"/>
        <v>0</v>
      </c>
      <c r="AF50" s="24">
        <f t="shared" si="2"/>
        <v>0.29100004349999997</v>
      </c>
      <c r="AG50" s="24">
        <f t="shared" si="3"/>
        <v>0</v>
      </c>
      <c r="AH50" s="24">
        <f t="shared" si="4"/>
        <v>0</v>
      </c>
      <c r="AI50" s="24">
        <f t="shared" si="5"/>
        <v>4.3499999999999999E-8</v>
      </c>
      <c r="AJ50" s="24">
        <f t="shared" si="6"/>
        <v>0</v>
      </c>
      <c r="AK50" s="24">
        <f t="shared" si="7"/>
        <v>0</v>
      </c>
      <c r="AL50" s="24">
        <f t="shared" si="8"/>
        <v>0.29099999999999998</v>
      </c>
      <c r="AM50" s="161">
        <f t="shared" si="9"/>
        <v>0</v>
      </c>
      <c r="AN50" s="157">
        <f t="shared" si="9"/>
        <v>0</v>
      </c>
      <c r="AO50" s="162">
        <f t="shared" si="9"/>
        <v>0.29100004349999997</v>
      </c>
    </row>
    <row r="51" spans="1:41" s="8" customFormat="1" ht="15" customHeight="1" x14ac:dyDescent="0.2">
      <c r="A51" s="68" t="str">
        <f>'36. Generic chemical products'!A54</f>
        <v>Reduction agent printing (Lyoprint AIR 1:1)</v>
      </c>
      <c r="B51" s="68" t="str">
        <f>'36. Generic chemical products'!B54</f>
        <v>Maleinsyra, bis(2-etylhexyl)ester</v>
      </c>
      <c r="C51" s="68">
        <f>'36. Generic chemical products'!C54</f>
        <v>0.1</v>
      </c>
      <c r="D51" s="68" t="str">
        <f>'36. Generic chemical products'!D54</f>
        <v>kg</v>
      </c>
      <c r="E51" s="68" t="str">
        <f>'36. Generic chemical products'!E54</f>
        <v>MSDS</v>
      </c>
      <c r="F51" s="68">
        <f>'36. Generic chemical products'!F54</f>
        <v>0</v>
      </c>
      <c r="G51" s="68" t="str">
        <f>'36. Generic chemical products'!G54</f>
        <v>Maleinsyra, bis(2-etylhexyl)ester</v>
      </c>
      <c r="H51" s="68" t="str">
        <f>'36. Generic chemical products'!H54</f>
        <v>high. pop.</v>
      </c>
      <c r="I51" s="68">
        <f>'36. Generic chemical products'!I54</f>
        <v>1E-4</v>
      </c>
      <c r="J51" s="68" t="str">
        <f>'36. Generic chemical products'!J54</f>
        <v>kg</v>
      </c>
      <c r="K51" s="68">
        <f>'36. Generic chemical products'!K54</f>
        <v>0</v>
      </c>
      <c r="L51" s="68">
        <f>'36. Generic chemical products'!L54</f>
        <v>0</v>
      </c>
      <c r="M51" s="68" t="str">
        <f>'36. Generic chemical products'!M54</f>
        <v>Maleinsyra, bis(2-etylhexyl)ester</v>
      </c>
      <c r="N51" s="68" t="str">
        <f>'36. Generic chemical products'!N54</f>
        <v>river</v>
      </c>
      <c r="O51" s="68">
        <f>'36. Generic chemical products'!O54</f>
        <v>1.0000000000000002E-2</v>
      </c>
      <c r="P51" s="68" t="str">
        <f>'36. Generic chemical products'!P54</f>
        <v>kg</v>
      </c>
      <c r="Q51" s="68">
        <f>'36. Generic chemical products'!Q54</f>
        <v>0</v>
      </c>
      <c r="R51" s="68">
        <f>'36. Generic chemical products'!R54</f>
        <v>0</v>
      </c>
      <c r="S51" s="68">
        <f>'36. Generic chemical products'!S54</f>
        <v>0</v>
      </c>
      <c r="T51" s="68" t="str">
        <f>'36. Generic chemical products'!T54</f>
        <v>142-16-5</v>
      </c>
      <c r="U51" s="68">
        <f>'36. Generic chemical products'!U54</f>
        <v>0</v>
      </c>
      <c r="V51" s="68">
        <f>'36. Generic chemical products'!V54</f>
        <v>0</v>
      </c>
      <c r="W51" s="68">
        <f>'36. Generic chemical products'!W54</f>
        <v>0</v>
      </c>
      <c r="X51" s="68">
        <f>'36. Generic chemical products'!X54</f>
        <v>0</v>
      </c>
      <c r="Y51" s="68">
        <f>'36. Generic chemical products'!Y54</f>
        <v>0.16</v>
      </c>
      <c r="Z51" s="68">
        <f>'36. Generic chemical products'!Z54</f>
        <v>16.600000000000001</v>
      </c>
      <c r="AA51" s="68" t="str">
        <f>'36. Generic chemical products'!AA54</f>
        <v>COSMEDE</v>
      </c>
      <c r="AB51" s="27">
        <f>$C$16*I51</f>
        <v>3.0000000000000001E-6</v>
      </c>
      <c r="AC51" s="29">
        <f>$C$24*O51</f>
        <v>3.0000000000000003E-4</v>
      </c>
      <c r="AD51" s="135">
        <f t="shared" si="0"/>
        <v>0</v>
      </c>
      <c r="AE51" s="135">
        <f t="shared" si="1"/>
        <v>0</v>
      </c>
      <c r="AF51" s="24">
        <f t="shared" si="2"/>
        <v>4.9804800000000007E-3</v>
      </c>
      <c r="AG51" s="24">
        <f t="shared" si="3"/>
        <v>0</v>
      </c>
      <c r="AH51" s="24">
        <f t="shared" si="4"/>
        <v>0</v>
      </c>
      <c r="AI51" s="24">
        <f t="shared" si="5"/>
        <v>4.8000000000000006E-7</v>
      </c>
      <c r="AJ51" s="24">
        <f t="shared" si="6"/>
        <v>0</v>
      </c>
      <c r="AK51" s="24">
        <f t="shared" si="7"/>
        <v>0</v>
      </c>
      <c r="AL51" s="24">
        <f t="shared" si="8"/>
        <v>4.9800000000000009E-3</v>
      </c>
      <c r="AM51" s="161">
        <f t="shared" si="9"/>
        <v>0</v>
      </c>
      <c r="AN51" s="157">
        <f t="shared" si="9"/>
        <v>0</v>
      </c>
      <c r="AO51" s="162">
        <f t="shared" si="9"/>
        <v>4.9804800000000007E-3</v>
      </c>
    </row>
    <row r="52" spans="1:41" s="49" customFormat="1" ht="15" customHeight="1" x14ac:dyDescent="0.2">
      <c r="A52" s="193" t="str">
        <f>'36. Generic chemical products'!A55</f>
        <v>Reduction agent printing (Lyoprint AIR 1:1)</v>
      </c>
      <c r="B52" s="193" t="str">
        <f>'36. Generic chemical products'!B55</f>
        <v>Decanol</v>
      </c>
      <c r="C52" s="193">
        <f>'36. Generic chemical products'!C55</f>
        <v>0.4</v>
      </c>
      <c r="D52" s="193" t="str">
        <f>'36. Generic chemical products'!D55</f>
        <v>kg</v>
      </c>
      <c r="E52" s="193" t="str">
        <f>'36. Generic chemical products'!E55</f>
        <v>assumption decanol</v>
      </c>
      <c r="F52" s="193">
        <f>'36. Generic chemical products'!F55</f>
        <v>0</v>
      </c>
      <c r="G52" s="193" t="str">
        <f>'36. Generic chemical products'!G55</f>
        <v>Decanol</v>
      </c>
      <c r="H52" s="193" t="str">
        <f>'36. Generic chemical products'!H55</f>
        <v>high. pop.</v>
      </c>
      <c r="I52" s="193">
        <f>'36. Generic chemical products'!I55</f>
        <v>4.0000000000000002E-4</v>
      </c>
      <c r="J52" s="193" t="str">
        <f>'36. Generic chemical products'!J55</f>
        <v>kg</v>
      </c>
      <c r="K52" s="193">
        <f>'36. Generic chemical products'!K55</f>
        <v>0</v>
      </c>
      <c r="L52" s="193">
        <f>'36. Generic chemical products'!L55</f>
        <v>0</v>
      </c>
      <c r="M52" s="193" t="str">
        <f>'36. Generic chemical products'!M55</f>
        <v>Decanol</v>
      </c>
      <c r="N52" s="193" t="str">
        <f>'36. Generic chemical products'!N55</f>
        <v>river</v>
      </c>
      <c r="O52" s="193">
        <f>'36. Generic chemical products'!O55</f>
        <v>4.0000000000000008E-2</v>
      </c>
      <c r="P52" s="193" t="str">
        <f>'36. Generic chemical products'!P55</f>
        <v>kg</v>
      </c>
      <c r="Q52" s="193">
        <f>'36. Generic chemical products'!Q55</f>
        <v>0</v>
      </c>
      <c r="R52" s="193">
        <f>'36. Generic chemical products'!R55</f>
        <v>0</v>
      </c>
      <c r="S52" s="193">
        <f>'36. Generic chemical products'!S55</f>
        <v>0</v>
      </c>
      <c r="T52" s="193" t="str">
        <f>'36. Generic chemical products'!T55</f>
        <v>112-30-1</v>
      </c>
      <c r="U52" s="193">
        <f>'36. Generic chemical products'!U55</f>
        <v>0</v>
      </c>
      <c r="V52" s="193">
        <f>'36. Generic chemical products'!V55</f>
        <v>0</v>
      </c>
      <c r="W52" s="193">
        <f>'36. Generic chemical products'!W55</f>
        <v>0</v>
      </c>
      <c r="X52" s="193">
        <f>'36. Generic chemical products'!X55</f>
        <v>0</v>
      </c>
      <c r="Y52" s="193">
        <f>'36. Generic chemical products'!Y55</f>
        <v>11.002755396890556</v>
      </c>
      <c r="Z52" s="193">
        <f>'36. Generic chemical products'!Z55</f>
        <v>992.92073813061654</v>
      </c>
      <c r="AA52" s="193" t="str">
        <f>'36. Generic chemical products'!AA55</f>
        <v>USEtox</v>
      </c>
      <c r="AB52" s="28">
        <f>$C$16*I52</f>
        <v>1.2E-5</v>
      </c>
      <c r="AC52" s="146">
        <f>$C$24*O52</f>
        <v>1.2000000000000001E-3</v>
      </c>
      <c r="AD52" s="147">
        <f t="shared" si="0"/>
        <v>0</v>
      </c>
      <c r="AE52" s="147">
        <f t="shared" si="1"/>
        <v>0</v>
      </c>
      <c r="AF52" s="25">
        <f t="shared" si="2"/>
        <v>1.1916369188215026</v>
      </c>
      <c r="AG52" s="25">
        <f t="shared" si="3"/>
        <v>0</v>
      </c>
      <c r="AH52" s="25">
        <f t="shared" si="4"/>
        <v>0</v>
      </c>
      <c r="AI52" s="25">
        <f t="shared" si="5"/>
        <v>1.3203306476268668E-4</v>
      </c>
      <c r="AJ52" s="25">
        <f t="shared" si="6"/>
        <v>0</v>
      </c>
      <c r="AK52" s="25">
        <f t="shared" si="7"/>
        <v>0</v>
      </c>
      <c r="AL52" s="25">
        <f t="shared" si="8"/>
        <v>1.1915048857567399</v>
      </c>
      <c r="AM52" s="163">
        <f t="shared" si="9"/>
        <v>0</v>
      </c>
      <c r="AN52" s="164">
        <f t="shared" si="9"/>
        <v>0</v>
      </c>
      <c r="AO52" s="165">
        <f t="shared" si="9"/>
        <v>1.1916369188215026</v>
      </c>
    </row>
    <row r="53" spans="1:41" s="361" customFormat="1" ht="15" customHeight="1" x14ac:dyDescent="0.2">
      <c r="A53" s="400" t="str">
        <f>'36. Generic chemical products'!A76</f>
        <v>Red disperse/VAT dyestuff PES, average (Terasil W Red W-FS)</v>
      </c>
      <c r="B53" s="400" t="str">
        <f>'36. Generic chemical products'!B76</f>
        <v>2-(3-oxobenzo[b]thien-2(3H)-ylidene)benzo[b]thiophene-3(2H)-one</v>
      </c>
      <c r="C53" s="400">
        <f>'36. Generic chemical products'!C76</f>
        <v>1</v>
      </c>
      <c r="D53" s="400" t="str">
        <f>'36. Generic chemical products'!D76</f>
        <v>kg</v>
      </c>
      <c r="E53" s="400" t="str">
        <f>'36. Generic chemical products'!E76</f>
        <v>Selected from Colour Index database. Assumption. This substance is pre-registered under REACH.</v>
      </c>
      <c r="F53" s="400">
        <f>'36. Generic chemical products'!F76</f>
        <v>0</v>
      </c>
      <c r="G53" s="400" t="str">
        <f>'36. Generic chemical products'!G76</f>
        <v>2-(3-oxobenzo[b]thien-2(3H)-ylidene)benzo[b]thiophene-3(2H)-one</v>
      </c>
      <c r="H53" s="400" t="str">
        <f>'36. Generic chemical products'!H76</f>
        <v>high. pop.</v>
      </c>
      <c r="I53" s="400">
        <f>'36. Generic chemical products'!I76</f>
        <v>1E-3</v>
      </c>
      <c r="J53" s="400" t="str">
        <f>'36. Generic chemical products'!J76</f>
        <v>kg</v>
      </c>
      <c r="K53" s="400">
        <f>'36. Generic chemical products'!K76</f>
        <v>0</v>
      </c>
      <c r="L53" s="400">
        <f>'36. Generic chemical products'!L76</f>
        <v>0</v>
      </c>
      <c r="M53" s="400" t="str">
        <f>'36. Generic chemical products'!M76</f>
        <v>2-(3-oxobenzo[b]thien-2(3H)-ylidene)benzo[b]thiophene-3(2H)-one</v>
      </c>
      <c r="N53" s="400" t="str">
        <f>'36. Generic chemical products'!N76</f>
        <v>river</v>
      </c>
      <c r="O53" s="400">
        <f>'36. Generic chemical products'!O76</f>
        <v>5.000000000000001E-3</v>
      </c>
      <c r="P53" s="400" t="str">
        <f>'36. Generic chemical products'!P76</f>
        <v>kg</v>
      </c>
      <c r="Q53" s="400" t="str">
        <f>'36. Generic chemical products'!Q76</f>
        <v>95% on fabric</v>
      </c>
      <c r="R53" s="400">
        <f>'36. Generic chemical products'!R76</f>
        <v>0</v>
      </c>
      <c r="S53" s="400">
        <f>'36. Generic chemical products'!S76</f>
        <v>0</v>
      </c>
      <c r="T53" s="400" t="str">
        <f>'36. Generic chemical products'!T76</f>
        <v>522-75-8</v>
      </c>
      <c r="U53" s="400">
        <f>'36. Generic chemical products'!U76</f>
        <v>0</v>
      </c>
      <c r="V53" s="400">
        <f>'36. Generic chemical products'!V76</f>
        <v>4.7523947982961088E-7</v>
      </c>
      <c r="W53" s="400">
        <f>'36. Generic chemical products'!W76</f>
        <v>0</v>
      </c>
      <c r="X53" s="400">
        <f>'36. Generic chemical products'!X76</f>
        <v>5.9553870155211211E-7</v>
      </c>
      <c r="Y53" s="400">
        <f>'36. Generic chemical products'!Y76</f>
        <v>174.02319075927511</v>
      </c>
      <c r="Z53" s="400">
        <f>'36. Generic chemical products'!Z76</f>
        <v>462.56767404636184</v>
      </c>
      <c r="AA53" s="400" t="str">
        <f>'36. Generic chemical products'!AA76</f>
        <v>Roos 2017</v>
      </c>
      <c r="AB53" s="401">
        <f>$C$17*I53</f>
        <v>1.65E-4</v>
      </c>
      <c r="AC53" s="362">
        <f>$C$25*O53</f>
        <v>8.2500000000000021E-4</v>
      </c>
      <c r="AD53" s="402">
        <f t="shared" si="0"/>
        <v>0</v>
      </c>
      <c r="AE53" s="402">
        <f t="shared" si="1"/>
        <v>5.6973394295237845E-10</v>
      </c>
      <c r="AF53" s="403">
        <f t="shared" si="2"/>
        <v>0.41033215756352898</v>
      </c>
      <c r="AG53" s="403">
        <f t="shared" si="3"/>
        <v>0</v>
      </c>
      <c r="AH53" s="403">
        <f t="shared" si="4"/>
        <v>7.8414514171885791E-11</v>
      </c>
      <c r="AI53" s="403">
        <f t="shared" si="5"/>
        <v>2.8713826475280393E-2</v>
      </c>
      <c r="AJ53" s="403">
        <f t="shared" si="6"/>
        <v>0</v>
      </c>
      <c r="AK53" s="403">
        <f t="shared" si="7"/>
        <v>4.9131942878049265E-10</v>
      </c>
      <c r="AL53" s="403">
        <f t="shared" si="8"/>
        <v>0.38161833108824861</v>
      </c>
      <c r="AM53" s="404">
        <f t="shared" si="9"/>
        <v>0</v>
      </c>
      <c r="AN53" s="405">
        <f t="shared" si="9"/>
        <v>5.6973394295237845E-10</v>
      </c>
      <c r="AO53" s="406">
        <f t="shared" si="9"/>
        <v>0.41033215756352898</v>
      </c>
    </row>
    <row r="54" spans="1:41" s="8" customFormat="1" ht="15" customHeight="1" x14ac:dyDescent="0.2">
      <c r="A54" s="68" t="str">
        <f>'36. Generic chemical products'!A57</f>
        <v>Detergent/wetting agent, average (Eriopon OS)</v>
      </c>
      <c r="B54" s="68" t="str">
        <f>'36. Generic chemical products'!B57</f>
        <v>2-[2-(2-butoxietoxi)etoxi]etanol</v>
      </c>
      <c r="C54" s="68">
        <f>'36. Generic chemical products'!C57</f>
        <v>0.2</v>
      </c>
      <c r="D54" s="68" t="str">
        <f>'36. Generic chemical products'!D57</f>
        <v>kg</v>
      </c>
      <c r="E54" s="68" t="str">
        <f>'36. Generic chemical products'!E57</f>
        <v>MSDS</v>
      </c>
      <c r="F54" s="68">
        <f>'36. Generic chemical products'!F57</f>
        <v>0</v>
      </c>
      <c r="G54" s="68" t="str">
        <f>'36. Generic chemical products'!G57</f>
        <v>2-[2-(2-butoxietoxi)etoxi]etanol</v>
      </c>
      <c r="H54" s="68" t="str">
        <f>'36. Generic chemical products'!H57</f>
        <v>high. pop.</v>
      </c>
      <c r="I54" s="68">
        <f>'36. Generic chemical products'!I57</f>
        <v>2.0000000000000001E-4</v>
      </c>
      <c r="J54" s="68" t="str">
        <f>'36. Generic chemical products'!J57</f>
        <v>kg</v>
      </c>
      <c r="K54" s="68">
        <f>'36. Generic chemical products'!K57</f>
        <v>0</v>
      </c>
      <c r="L54" s="68">
        <f>'36. Generic chemical products'!L57</f>
        <v>0</v>
      </c>
      <c r="M54" s="68" t="str">
        <f>'36. Generic chemical products'!M57</f>
        <v>2-[2-(2-butoxietoxi)etoxi]etanol</v>
      </c>
      <c r="N54" s="68" t="str">
        <f>'36. Generic chemical products'!N57</f>
        <v>river</v>
      </c>
      <c r="O54" s="68">
        <f>'36. Generic chemical products'!O57</f>
        <v>2.0000000000000004E-2</v>
      </c>
      <c r="P54" s="68" t="str">
        <f>'36. Generic chemical products'!P57</f>
        <v>kg</v>
      </c>
      <c r="Q54" s="68">
        <f>'36. Generic chemical products'!Q57</f>
        <v>0</v>
      </c>
      <c r="R54" s="68">
        <f>'36. Generic chemical products'!R57</f>
        <v>0</v>
      </c>
      <c r="S54" s="68">
        <f>'36. Generic chemical products'!S57</f>
        <v>0</v>
      </c>
      <c r="T54" s="68" t="str">
        <f>'36. Generic chemical products'!T57</f>
        <v>143-22-6</v>
      </c>
      <c r="U54" s="68">
        <f>'36. Generic chemical products'!U57</f>
        <v>0</v>
      </c>
      <c r="V54" s="68">
        <f>'36. Generic chemical products'!V57</f>
        <v>0</v>
      </c>
      <c r="W54" s="68">
        <f>'36. Generic chemical products'!W57</f>
        <v>0</v>
      </c>
      <c r="X54" s="68">
        <f>'36. Generic chemical products'!X57</f>
        <v>0</v>
      </c>
      <c r="Y54" s="68">
        <f>'36. Generic chemical products'!Y57</f>
        <v>1.1682046242533708</v>
      </c>
      <c r="Z54" s="68">
        <f>'36. Generic chemical products'!Z57</f>
        <v>20.47656722055984</v>
      </c>
      <c r="AA54" s="68" t="str">
        <f>'36. Generic chemical products'!AA57</f>
        <v>USEtox</v>
      </c>
      <c r="AB54" s="27">
        <f>$C$18*I54</f>
        <v>2.0000000000000003E-6</v>
      </c>
      <c r="AC54" s="29">
        <f>$C$26*O54</f>
        <v>2.0000000000000004E-4</v>
      </c>
      <c r="AD54" s="135">
        <f t="shared" si="0"/>
        <v>0</v>
      </c>
      <c r="AE54" s="135">
        <f t="shared" si="1"/>
        <v>0</v>
      </c>
      <c r="AF54" s="24">
        <f t="shared" si="2"/>
        <v>4.0976498533604761E-3</v>
      </c>
      <c r="AG54" s="24">
        <f t="shared" si="3"/>
        <v>0</v>
      </c>
      <c r="AH54" s="24">
        <f t="shared" si="4"/>
        <v>0</v>
      </c>
      <c r="AI54" s="24">
        <f t="shared" si="5"/>
        <v>2.336409248506742E-6</v>
      </c>
      <c r="AJ54" s="24">
        <f t="shared" si="6"/>
        <v>0</v>
      </c>
      <c r="AK54" s="24">
        <f t="shared" si="7"/>
        <v>0</v>
      </c>
      <c r="AL54" s="24">
        <f t="shared" si="8"/>
        <v>4.0953134441119692E-3</v>
      </c>
      <c r="AM54" s="161">
        <f t="shared" si="9"/>
        <v>0</v>
      </c>
      <c r="AN54" s="157">
        <f t="shared" si="9"/>
        <v>0</v>
      </c>
      <c r="AO54" s="162">
        <f t="shared" si="9"/>
        <v>4.0976498533604761E-3</v>
      </c>
    </row>
    <row r="55" spans="1:41" s="49" customFormat="1" ht="15" customHeight="1" x14ac:dyDescent="0.2">
      <c r="A55" s="193" t="str">
        <f>'36. Generic chemical products'!A58</f>
        <v>Detergent/wetting agent, average (Eriopon OS)</v>
      </c>
      <c r="B55" s="193" t="str">
        <f>'36. Generic chemical products'!B58</f>
        <v>Maleinsyra, bis(2-etylhexyl)ester</v>
      </c>
      <c r="C55" s="193">
        <f>'36. Generic chemical products'!C58</f>
        <v>0.1</v>
      </c>
      <c r="D55" s="193" t="str">
        <f>'36. Generic chemical products'!D58</f>
        <v>kg</v>
      </c>
      <c r="E55" s="193" t="str">
        <f>'36. Generic chemical products'!E58</f>
        <v>MSDS</v>
      </c>
      <c r="F55" s="193">
        <f>'36. Generic chemical products'!F58</f>
        <v>0</v>
      </c>
      <c r="G55" s="193" t="str">
        <f>'36. Generic chemical products'!G58</f>
        <v>Maleinsyra, bis(2-etylhexyl)ester</v>
      </c>
      <c r="H55" s="193" t="str">
        <f>'36. Generic chemical products'!H58</f>
        <v>high. pop.</v>
      </c>
      <c r="I55" s="193">
        <f>'36. Generic chemical products'!I58</f>
        <v>1E-4</v>
      </c>
      <c r="J55" s="193" t="str">
        <f>'36. Generic chemical products'!J58</f>
        <v>kg</v>
      </c>
      <c r="K55" s="193">
        <f>'36. Generic chemical products'!K58</f>
        <v>0</v>
      </c>
      <c r="L55" s="193">
        <f>'36. Generic chemical products'!L58</f>
        <v>0</v>
      </c>
      <c r="M55" s="193" t="str">
        <f>'36. Generic chemical products'!M58</f>
        <v>Maleinsyra, bis(2-etylhexyl)ester</v>
      </c>
      <c r="N55" s="193" t="str">
        <f>'36. Generic chemical products'!N58</f>
        <v>river</v>
      </c>
      <c r="O55" s="193">
        <f>'36. Generic chemical products'!O58</f>
        <v>1.0000000000000002E-2</v>
      </c>
      <c r="P55" s="193" t="str">
        <f>'36. Generic chemical products'!P58</f>
        <v>kg</v>
      </c>
      <c r="Q55" s="193">
        <f>'36. Generic chemical products'!Q58</f>
        <v>0</v>
      </c>
      <c r="R55" s="193">
        <f>'36. Generic chemical products'!R58</f>
        <v>0</v>
      </c>
      <c r="S55" s="193">
        <f>'36. Generic chemical products'!S58</f>
        <v>0</v>
      </c>
      <c r="T55" s="193" t="str">
        <f>'36. Generic chemical products'!T58</f>
        <v>142-16-5</v>
      </c>
      <c r="U55" s="193">
        <f>'36. Generic chemical products'!U58</f>
        <v>0</v>
      </c>
      <c r="V55" s="193">
        <f>'36. Generic chemical products'!V58</f>
        <v>0</v>
      </c>
      <c r="W55" s="193">
        <f>'36. Generic chemical products'!W58</f>
        <v>0</v>
      </c>
      <c r="X55" s="193">
        <f>'36. Generic chemical products'!X58</f>
        <v>0</v>
      </c>
      <c r="Y55" s="193">
        <f>'36. Generic chemical products'!Y58</f>
        <v>0.16</v>
      </c>
      <c r="Z55" s="193">
        <f>'36. Generic chemical products'!Z58</f>
        <v>16.600000000000001</v>
      </c>
      <c r="AA55" s="193" t="str">
        <f>'36. Generic chemical products'!AA58</f>
        <v>COSMEDE</v>
      </c>
      <c r="AB55" s="28">
        <f>$C$18*I55</f>
        <v>1.0000000000000002E-6</v>
      </c>
      <c r="AC55" s="146">
        <f>$C$26*O55</f>
        <v>1.0000000000000002E-4</v>
      </c>
      <c r="AD55" s="147">
        <f t="shared" si="0"/>
        <v>0</v>
      </c>
      <c r="AE55" s="147">
        <f t="shared" si="1"/>
        <v>0</v>
      </c>
      <c r="AF55" s="25">
        <f t="shared" si="2"/>
        <v>1.6601600000000004E-3</v>
      </c>
      <c r="AG55" s="25">
        <f t="shared" si="3"/>
        <v>0</v>
      </c>
      <c r="AH55" s="25">
        <f t="shared" si="4"/>
        <v>0</v>
      </c>
      <c r="AI55" s="25">
        <f t="shared" si="5"/>
        <v>1.6000000000000003E-7</v>
      </c>
      <c r="AJ55" s="25">
        <f t="shared" si="6"/>
        <v>0</v>
      </c>
      <c r="AK55" s="25">
        <f t="shared" si="7"/>
        <v>0</v>
      </c>
      <c r="AL55" s="25">
        <f t="shared" si="8"/>
        <v>1.6600000000000005E-3</v>
      </c>
      <c r="AM55" s="163">
        <f t="shared" si="9"/>
        <v>0</v>
      </c>
      <c r="AN55" s="164">
        <f t="shared" si="9"/>
        <v>0</v>
      </c>
      <c r="AO55" s="165">
        <f t="shared" si="9"/>
        <v>1.6601600000000004E-3</v>
      </c>
    </row>
    <row r="56" spans="1:41" s="8" customFormat="1" ht="15" customHeight="1" x14ac:dyDescent="0.2">
      <c r="A56" s="70" t="str">
        <f>'36. Generic chemical products'!A41</f>
        <v>Reducing agent, average</v>
      </c>
      <c r="B56" s="70" t="str">
        <f>'36. Generic chemical products'!B41</f>
        <v>Sodium dithionite</v>
      </c>
      <c r="C56" s="70">
        <f>'36. Generic chemical products'!C41</f>
        <v>0.9</v>
      </c>
      <c r="D56" s="70" t="str">
        <f>'36. Generic chemical products'!D41</f>
        <v>kg</v>
      </c>
      <c r="E56" s="70" t="str">
        <f>'36. Generic chemical products'!E41</f>
        <v>MSDS</v>
      </c>
      <c r="F56" s="70">
        <f>'36. Generic chemical products'!F41</f>
        <v>0</v>
      </c>
      <c r="G56" s="70" t="str">
        <f>'36. Generic chemical products'!G41</f>
        <v>-</v>
      </c>
      <c r="H56" s="70">
        <f>'36. Generic chemical products'!H41</f>
        <v>0</v>
      </c>
      <c r="I56" s="70">
        <f>'36. Generic chemical products'!I41</f>
        <v>0</v>
      </c>
      <c r="J56" s="70">
        <f>'36. Generic chemical products'!J41</f>
        <v>0</v>
      </c>
      <c r="K56" s="70">
        <f>'36. Generic chemical products'!K41</f>
        <v>0</v>
      </c>
      <c r="L56" s="70">
        <f>'36. Generic chemical products'!L41</f>
        <v>0</v>
      </c>
      <c r="M56" s="70" t="str">
        <f>'36. Generic chemical products'!M41</f>
        <v>Sodium dithionite</v>
      </c>
      <c r="N56" s="70" t="str">
        <f>'36. Generic chemical products'!N41</f>
        <v>river</v>
      </c>
      <c r="O56" s="70">
        <f>'36. Generic chemical products'!O41</f>
        <v>9.0000000000000011E-2</v>
      </c>
      <c r="P56" s="70" t="str">
        <f>'36. Generic chemical products'!P41</f>
        <v>kg</v>
      </c>
      <c r="Q56" s="70">
        <f>'36. Generic chemical products'!Q41</f>
        <v>0</v>
      </c>
      <c r="R56" s="70">
        <f>'36. Generic chemical products'!R41</f>
        <v>0</v>
      </c>
      <c r="S56" s="70">
        <f>'36. Generic chemical products'!S41</f>
        <v>0</v>
      </c>
      <c r="T56" s="70" t="str">
        <f>'36. Generic chemical products'!T41</f>
        <v>7775-14-6</v>
      </c>
      <c r="U56" s="70">
        <f>'36. Generic chemical products'!U41</f>
        <v>0</v>
      </c>
      <c r="V56" s="70">
        <f>'36. Generic chemical products'!V41</f>
        <v>0</v>
      </c>
      <c r="W56" s="70">
        <f>'36. Generic chemical products'!W41</f>
        <v>0</v>
      </c>
      <c r="X56" s="70">
        <f>'36. Generic chemical products'!X41</f>
        <v>0</v>
      </c>
      <c r="Y56" s="70">
        <f>'36. Generic chemical products'!Y41</f>
        <v>52.575000000000003</v>
      </c>
      <c r="Z56" s="70">
        <f>'36. Generic chemical products'!Z41</f>
        <v>125.31</v>
      </c>
      <c r="AA56" s="70" t="str">
        <f>'36. Generic chemical products'!AA41</f>
        <v>COSMEDE</v>
      </c>
      <c r="AB56" s="27">
        <f>$C$19*I56</f>
        <v>0</v>
      </c>
      <c r="AC56" s="29">
        <f>$C$27*O56</f>
        <v>9.0000000000000008E-4</v>
      </c>
      <c r="AD56" s="135">
        <f t="shared" si="0"/>
        <v>0</v>
      </c>
      <c r="AE56" s="135">
        <f t="shared" si="1"/>
        <v>0</v>
      </c>
      <c r="AF56" s="24">
        <f t="shared" si="2"/>
        <v>0.11277900000000002</v>
      </c>
      <c r="AG56" s="24">
        <f t="shared" si="3"/>
        <v>0</v>
      </c>
      <c r="AH56" s="24">
        <f t="shared" si="4"/>
        <v>0</v>
      </c>
      <c r="AI56" s="24">
        <f t="shared" si="5"/>
        <v>0</v>
      </c>
      <c r="AJ56" s="24">
        <f t="shared" si="6"/>
        <v>0</v>
      </c>
      <c r="AK56" s="24">
        <f t="shared" si="7"/>
        <v>0</v>
      </c>
      <c r="AL56" s="24">
        <f t="shared" si="8"/>
        <v>0.11277900000000002</v>
      </c>
      <c r="AM56" s="161">
        <f t="shared" si="9"/>
        <v>0</v>
      </c>
      <c r="AN56" s="157">
        <f t="shared" si="9"/>
        <v>0</v>
      </c>
      <c r="AO56" s="162">
        <f t="shared" si="9"/>
        <v>0.11277900000000002</v>
      </c>
    </row>
    <row r="57" spans="1:41" s="8" customFormat="1" ht="15" customHeight="1" x14ac:dyDescent="0.2">
      <c r="A57" s="70" t="str">
        <f>'36. Generic chemical products'!A42</f>
        <v>Reducing agent, average</v>
      </c>
      <c r="B57" s="70" t="str">
        <f>'36. Generic chemical products'!B42</f>
        <v>Sodium disulfate</v>
      </c>
      <c r="C57" s="70">
        <f>'36. Generic chemical products'!C42</f>
        <v>0.08</v>
      </c>
      <c r="D57" s="70" t="str">
        <f>'36. Generic chemical products'!D42</f>
        <v>kg</v>
      </c>
      <c r="E57" s="70" t="str">
        <f>'36. Generic chemical products'!E42</f>
        <v>MSDS</v>
      </c>
      <c r="F57" s="70">
        <f>'36. Generic chemical products'!F42</f>
        <v>0</v>
      </c>
      <c r="G57" s="70" t="str">
        <f>'36. Generic chemical products'!G42</f>
        <v>-</v>
      </c>
      <c r="H57" s="70">
        <f>'36. Generic chemical products'!H42</f>
        <v>0</v>
      </c>
      <c r="I57" s="70">
        <f>'36. Generic chemical products'!I42</f>
        <v>0</v>
      </c>
      <c r="J57" s="70">
        <f>'36. Generic chemical products'!J42</f>
        <v>0</v>
      </c>
      <c r="K57" s="70">
        <f>'36. Generic chemical products'!K42</f>
        <v>0</v>
      </c>
      <c r="L57" s="70">
        <f>'36. Generic chemical products'!L42</f>
        <v>0</v>
      </c>
      <c r="M57" s="70" t="str">
        <f>'36. Generic chemical products'!M42</f>
        <v>Sodium disulfate</v>
      </c>
      <c r="N57" s="70" t="str">
        <f>'36. Generic chemical products'!N42</f>
        <v>river</v>
      </c>
      <c r="O57" s="70">
        <f>'36. Generic chemical products'!O42</f>
        <v>8.0000000000000002E-3</v>
      </c>
      <c r="P57" s="70" t="str">
        <f>'36. Generic chemical products'!P42</f>
        <v>kg</v>
      </c>
      <c r="Q57" s="70">
        <f>'36. Generic chemical products'!Q42</f>
        <v>0</v>
      </c>
      <c r="R57" s="70">
        <f>'36. Generic chemical products'!R42</f>
        <v>0</v>
      </c>
      <c r="S57" s="70">
        <f>'36. Generic chemical products'!S42</f>
        <v>0</v>
      </c>
      <c r="T57" s="70" t="str">
        <f>'36. Generic chemical products'!T42</f>
        <v>7681-57-4</v>
      </c>
      <c r="U57" s="70">
        <f>'36. Generic chemical products'!U42</f>
        <v>0</v>
      </c>
      <c r="V57" s="70">
        <f>'36. Generic chemical products'!V42</f>
        <v>0</v>
      </c>
      <c r="W57" s="70">
        <f>'36. Generic chemical products'!W42</f>
        <v>0</v>
      </c>
      <c r="X57" s="70">
        <f>'36. Generic chemical products'!X42</f>
        <v>0</v>
      </c>
      <c r="Y57" s="70">
        <f>'36. Generic chemical products'!Y42</f>
        <v>6.0401999999999996</v>
      </c>
      <c r="Z57" s="70">
        <f>'36. Generic chemical products'!Z42</f>
        <v>126.48</v>
      </c>
      <c r="AA57" s="70" t="str">
        <f>'36. Generic chemical products'!AA42</f>
        <v>COSMEDE</v>
      </c>
      <c r="AB57" s="27">
        <f>$C$19*I57</f>
        <v>0</v>
      </c>
      <c r="AC57" s="29">
        <f>$C$27*O57</f>
        <v>8.0000000000000007E-5</v>
      </c>
      <c r="AD57" s="135">
        <f t="shared" si="0"/>
        <v>0</v>
      </c>
      <c r="AE57" s="135">
        <f t="shared" si="1"/>
        <v>0</v>
      </c>
      <c r="AF57" s="24">
        <f t="shared" si="2"/>
        <v>1.0118400000000001E-2</v>
      </c>
      <c r="AG57" s="24">
        <f t="shared" si="3"/>
        <v>0</v>
      </c>
      <c r="AH57" s="24">
        <f t="shared" si="4"/>
        <v>0</v>
      </c>
      <c r="AI57" s="24">
        <f t="shared" si="5"/>
        <v>0</v>
      </c>
      <c r="AJ57" s="24">
        <f t="shared" si="6"/>
        <v>0</v>
      </c>
      <c r="AK57" s="24">
        <f t="shared" si="7"/>
        <v>0</v>
      </c>
      <c r="AL57" s="24">
        <f t="shared" si="8"/>
        <v>1.0118400000000001E-2</v>
      </c>
      <c r="AM57" s="161">
        <f t="shared" si="9"/>
        <v>0</v>
      </c>
      <c r="AN57" s="157">
        <f t="shared" si="9"/>
        <v>0</v>
      </c>
      <c r="AO57" s="162">
        <f t="shared" si="9"/>
        <v>1.0118400000000001E-2</v>
      </c>
    </row>
    <row r="58" spans="1:41" s="8" customFormat="1" ht="15" customHeight="1" x14ac:dyDescent="0.2">
      <c r="A58" s="70" t="str">
        <f>'36. Generic chemical products'!A43</f>
        <v>Reducing agent, average</v>
      </c>
      <c r="B58" s="70" t="str">
        <f>'36. Generic chemical products'!B43</f>
        <v>Sodium carbonate (Na2CO3)</v>
      </c>
      <c r="C58" s="70">
        <f>'36. Generic chemical products'!C43</f>
        <v>0.02</v>
      </c>
      <c r="D58" s="70" t="str">
        <f>'36. Generic chemical products'!D43</f>
        <v>kg</v>
      </c>
      <c r="E58" s="70" t="str">
        <f>'36. Generic chemical products'!E43</f>
        <v>MSDS</v>
      </c>
      <c r="F58" s="70">
        <f>'36. Generic chemical products'!F43</f>
        <v>0</v>
      </c>
      <c r="G58" s="70" t="str">
        <f>'36. Generic chemical products'!G43</f>
        <v>-</v>
      </c>
      <c r="H58" s="70">
        <f>'36. Generic chemical products'!H43</f>
        <v>0</v>
      </c>
      <c r="I58" s="70">
        <f>'36. Generic chemical products'!I43</f>
        <v>0</v>
      </c>
      <c r="J58" s="70">
        <f>'36. Generic chemical products'!J43</f>
        <v>0</v>
      </c>
      <c r="K58" s="70" t="str">
        <f>'36. Generic chemical products'!K43</f>
        <v>Worst case - mist carries substance</v>
      </c>
      <c r="L58" s="70">
        <f>'36. Generic chemical products'!L43</f>
        <v>0</v>
      </c>
      <c r="M58" s="70" t="str">
        <f>'36. Generic chemical products'!M43</f>
        <v>Sodium carbonate (Na2CO3)</v>
      </c>
      <c r="N58" s="70" t="str">
        <f>'36. Generic chemical products'!N43</f>
        <v>river</v>
      </c>
      <c r="O58" s="70">
        <f>'36. Generic chemical products'!O43</f>
        <v>2E-3</v>
      </c>
      <c r="P58" s="70" t="str">
        <f>'36. Generic chemical products'!P43</f>
        <v>kg</v>
      </c>
      <c r="Q58" s="70">
        <f>'36. Generic chemical products'!Q43</f>
        <v>0</v>
      </c>
      <c r="R58" s="70">
        <f>'36. Generic chemical products'!R43</f>
        <v>0</v>
      </c>
      <c r="S58" s="70">
        <f>'36. Generic chemical products'!S43</f>
        <v>0</v>
      </c>
      <c r="T58" s="70" t="str">
        <f>'36. Generic chemical products'!T43</f>
        <v>497-19-8</v>
      </c>
      <c r="U58" s="70">
        <f>'36. Generic chemical products'!U43</f>
        <v>0</v>
      </c>
      <c r="V58" s="70">
        <f>'36. Generic chemical products'!V43</f>
        <v>0</v>
      </c>
      <c r="W58" s="70">
        <f>'36. Generic chemical products'!W43</f>
        <v>0</v>
      </c>
      <c r="X58" s="70">
        <f>'36. Generic chemical products'!X43</f>
        <v>0</v>
      </c>
      <c r="Y58" s="70">
        <f>'36. Generic chemical products'!Y43</f>
        <v>31</v>
      </c>
      <c r="Z58" s="70">
        <f>'36. Generic chemical products'!Z43</f>
        <v>73.7</v>
      </c>
      <c r="AA58" s="70" t="str">
        <f>'36. Generic chemical products'!AA43</f>
        <v>COSMEDE</v>
      </c>
      <c r="AB58" s="27">
        <f>$C$19*I58</f>
        <v>0</v>
      </c>
      <c r="AC58" s="29">
        <f>$C$27*O58</f>
        <v>2.0000000000000002E-5</v>
      </c>
      <c r="AD58" s="135">
        <f t="shared" si="0"/>
        <v>0</v>
      </c>
      <c r="AE58" s="135">
        <f t="shared" si="1"/>
        <v>0</v>
      </c>
      <c r="AF58" s="24">
        <f t="shared" si="2"/>
        <v>1.4740000000000003E-3</v>
      </c>
      <c r="AG58" s="24">
        <f t="shared" si="3"/>
        <v>0</v>
      </c>
      <c r="AH58" s="24">
        <f t="shared" si="4"/>
        <v>0</v>
      </c>
      <c r="AI58" s="24">
        <f t="shared" si="5"/>
        <v>0</v>
      </c>
      <c r="AJ58" s="24">
        <f t="shared" si="6"/>
        <v>0</v>
      </c>
      <c r="AK58" s="24">
        <f t="shared" si="7"/>
        <v>0</v>
      </c>
      <c r="AL58" s="24">
        <f t="shared" si="8"/>
        <v>1.4740000000000003E-3</v>
      </c>
      <c r="AM58" s="161">
        <f t="shared" si="9"/>
        <v>0</v>
      </c>
      <c r="AN58" s="157">
        <f t="shared" si="9"/>
        <v>0</v>
      </c>
      <c r="AO58" s="162">
        <f t="shared" si="9"/>
        <v>1.4740000000000003E-3</v>
      </c>
    </row>
    <row r="59" spans="1:41" s="49" customFormat="1" ht="15" customHeight="1" x14ac:dyDescent="0.2">
      <c r="A59" s="136" t="str">
        <f>'36. Generic chemical products'!A44</f>
        <v>Reducing agent, average</v>
      </c>
      <c r="B59" s="136" t="str">
        <f>'36. Generic chemical products'!B44</f>
        <v xml:space="preserve"> </v>
      </c>
      <c r="C59" s="136">
        <f>'36. Generic chemical products'!C44</f>
        <v>0</v>
      </c>
      <c r="D59" s="136">
        <f>'36. Generic chemical products'!D44</f>
        <v>0</v>
      </c>
      <c r="E59" s="136" t="str">
        <f>'36. Generic chemical products'!E44</f>
        <v>MSDS</v>
      </c>
      <c r="F59" s="136">
        <f>'36. Generic chemical products'!F44</f>
        <v>0</v>
      </c>
      <c r="G59" s="136" t="str">
        <f>'36. Generic chemical products'!G44</f>
        <v>-</v>
      </c>
      <c r="H59" s="136">
        <f>'36. Generic chemical products'!H44</f>
        <v>0</v>
      </c>
      <c r="I59" s="136">
        <f>'36. Generic chemical products'!I44</f>
        <v>0</v>
      </c>
      <c r="J59" s="136">
        <f>'36. Generic chemical products'!J44</f>
        <v>0</v>
      </c>
      <c r="K59" s="136" t="str">
        <f>'36. Generic chemical products'!K44</f>
        <v>Worst case - mist carries substance</v>
      </c>
      <c r="L59" s="136">
        <f>'36. Generic chemical products'!L44</f>
        <v>0</v>
      </c>
      <c r="M59" s="136" t="str">
        <f>'36. Generic chemical products'!M44</f>
        <v>Thiosulfate</v>
      </c>
      <c r="N59" s="136" t="str">
        <f>'36. Generic chemical products'!N44</f>
        <v>river</v>
      </c>
      <c r="O59" s="136">
        <f>'36. Generic chemical products'!O44</f>
        <v>9.0000000000000019E-5</v>
      </c>
      <c r="P59" s="136" t="str">
        <f>'36. Generic chemical products'!P44</f>
        <v>kg</v>
      </c>
      <c r="Q59" s="136" t="str">
        <f>'36. Generic chemical products'!Q44</f>
        <v>0.1 % of the content is degraded to common breakdown products.</v>
      </c>
      <c r="R59" s="136">
        <f>'36. Generic chemical products'!R44</f>
        <v>0</v>
      </c>
      <c r="S59" s="136">
        <f>'36. Generic chemical products'!S44</f>
        <v>0</v>
      </c>
      <c r="T59" s="136" t="str">
        <f>'36. Generic chemical products'!T44</f>
        <v>7772-98-7/10102-17-7</v>
      </c>
      <c r="U59" s="136">
        <f>'36. Generic chemical products'!U44</f>
        <v>0</v>
      </c>
      <c r="V59" s="136">
        <f>'36. Generic chemical products'!V44</f>
        <v>0</v>
      </c>
      <c r="W59" s="136">
        <f>'36. Generic chemical products'!W44</f>
        <v>0</v>
      </c>
      <c r="X59" s="136">
        <f>'36. Generic chemical products'!X44</f>
        <v>0</v>
      </c>
      <c r="Y59" s="136">
        <f>'36. Generic chemical products'!Y44</f>
        <v>13</v>
      </c>
      <c r="Z59" s="136">
        <f>'36. Generic chemical products'!Z44</f>
        <v>31.7</v>
      </c>
      <c r="AA59" s="136" t="str">
        <f>'36. Generic chemical products'!AA44</f>
        <v>COSMEDE</v>
      </c>
      <c r="AB59" s="28">
        <f>$C$19*I59</f>
        <v>0</v>
      </c>
      <c r="AC59" s="146">
        <f>$C$27*O59</f>
        <v>9.0000000000000017E-7</v>
      </c>
      <c r="AD59" s="147">
        <f>AB59*U59+AC59*W59</f>
        <v>0</v>
      </c>
      <c r="AE59" s="147">
        <f t="shared" si="1"/>
        <v>0</v>
      </c>
      <c r="AF59" s="25">
        <f t="shared" si="2"/>
        <v>2.8530000000000006E-5</v>
      </c>
      <c r="AG59" s="25">
        <f t="shared" si="3"/>
        <v>0</v>
      </c>
      <c r="AH59" s="25">
        <f t="shared" si="4"/>
        <v>0</v>
      </c>
      <c r="AI59" s="25">
        <f t="shared" si="5"/>
        <v>0</v>
      </c>
      <c r="AJ59" s="25">
        <f t="shared" si="6"/>
        <v>0</v>
      </c>
      <c r="AK59" s="25">
        <f t="shared" si="7"/>
        <v>0</v>
      </c>
      <c r="AL59" s="25">
        <f t="shared" si="8"/>
        <v>2.8530000000000006E-5</v>
      </c>
      <c r="AM59" s="163">
        <f t="shared" si="9"/>
        <v>0</v>
      </c>
      <c r="AN59" s="164">
        <f t="shared" si="9"/>
        <v>0</v>
      </c>
      <c r="AO59" s="165">
        <f t="shared" si="9"/>
        <v>2.8530000000000006E-5</v>
      </c>
    </row>
    <row r="60" spans="1:41" s="361" customFormat="1" ht="15" customHeight="1" x14ac:dyDescent="0.2">
      <c r="A60" s="196" t="str">
        <f>'36. Generic chemical products'!A32</f>
        <v>Base/Soda ash (Na2CO3), average</v>
      </c>
      <c r="B60" s="196" t="str">
        <f>'36. Generic chemical products'!B32</f>
        <v>Sodium carbonate (Na2CO3)</v>
      </c>
      <c r="C60" s="196">
        <f>'36. Generic chemical products'!C32</f>
        <v>1</v>
      </c>
      <c r="D60" s="196" t="str">
        <f>'36. Generic chemical products'!D32</f>
        <v>kg</v>
      </c>
      <c r="E60" s="196">
        <f>'36. Generic chemical products'!E32</f>
        <v>1</v>
      </c>
      <c r="F60" s="196">
        <f>'36. Generic chemical products'!F32</f>
        <v>0</v>
      </c>
      <c r="G60" s="196" t="str">
        <f>'36. Generic chemical products'!G32</f>
        <v>-</v>
      </c>
      <c r="H60" s="196">
        <f>'36. Generic chemical products'!H32</f>
        <v>0</v>
      </c>
      <c r="I60" s="196">
        <f>'36. Generic chemical products'!I32</f>
        <v>0</v>
      </c>
      <c r="J60" s="196">
        <f>'36. Generic chemical products'!J32</f>
        <v>0</v>
      </c>
      <c r="K60" s="196" t="str">
        <f>'36. Generic chemical products'!K32</f>
        <v>Worst case - mist carries substance</v>
      </c>
      <c r="L60" s="196">
        <f>'36. Generic chemical products'!L32</f>
        <v>0</v>
      </c>
      <c r="M60" s="196" t="str">
        <f>'36. Generic chemical products'!M32</f>
        <v>Sodium carbonate (Na2CO3)</v>
      </c>
      <c r="N60" s="196" t="str">
        <f>'36. Generic chemical products'!N32</f>
        <v>river</v>
      </c>
      <c r="O60" s="196">
        <f>'36. Generic chemical products'!O32</f>
        <v>0.1</v>
      </c>
      <c r="P60" s="196" t="str">
        <f>'36. Generic chemical products'!P32</f>
        <v>kg</v>
      </c>
      <c r="Q60" s="196">
        <f>'36. Generic chemical products'!Q32</f>
        <v>0</v>
      </c>
      <c r="R60" s="196">
        <f>'36. Generic chemical products'!R32</f>
        <v>0</v>
      </c>
      <c r="S60" s="196">
        <f>'36. Generic chemical products'!S32</f>
        <v>0</v>
      </c>
      <c r="T60" s="196" t="str">
        <f>'36. Generic chemical products'!T32</f>
        <v>497-19-8</v>
      </c>
      <c r="U60" s="196">
        <f>'36. Generic chemical products'!U32</f>
        <v>0</v>
      </c>
      <c r="V60" s="196">
        <f>'36. Generic chemical products'!V32</f>
        <v>0</v>
      </c>
      <c r="W60" s="196">
        <f>'36. Generic chemical products'!W32</f>
        <v>0</v>
      </c>
      <c r="X60" s="196">
        <f>'36. Generic chemical products'!X32</f>
        <v>0</v>
      </c>
      <c r="Y60" s="196">
        <f>'36. Generic chemical products'!Y32</f>
        <v>31</v>
      </c>
      <c r="Z60" s="196">
        <f>'36. Generic chemical products'!Z32</f>
        <v>73.7</v>
      </c>
      <c r="AA60" s="196" t="str">
        <f>'36. Generic chemical products'!AA32</f>
        <v>COSMEDE</v>
      </c>
      <c r="AB60" s="401">
        <f>$C$20*I60</f>
        <v>0</v>
      </c>
      <c r="AC60" s="362">
        <f>$C$28*O60</f>
        <v>1E-3</v>
      </c>
      <c r="AD60" s="402">
        <f t="shared" si="0"/>
        <v>0</v>
      </c>
      <c r="AE60" s="402">
        <f t="shared" si="1"/>
        <v>0</v>
      </c>
      <c r="AF60" s="403">
        <f t="shared" si="2"/>
        <v>7.3700000000000002E-2</v>
      </c>
      <c r="AG60" s="403">
        <f t="shared" si="3"/>
        <v>0</v>
      </c>
      <c r="AH60" s="403">
        <f t="shared" si="4"/>
        <v>0</v>
      </c>
      <c r="AI60" s="403">
        <f t="shared" si="5"/>
        <v>0</v>
      </c>
      <c r="AJ60" s="403">
        <f t="shared" si="6"/>
        <v>0</v>
      </c>
      <c r="AK60" s="403">
        <f t="shared" si="7"/>
        <v>0</v>
      </c>
      <c r="AL60" s="403">
        <f t="shared" si="8"/>
        <v>7.3700000000000002E-2</v>
      </c>
      <c r="AM60" s="404">
        <f t="shared" si="9"/>
        <v>0</v>
      </c>
      <c r="AN60" s="405">
        <f t="shared" si="9"/>
        <v>0</v>
      </c>
      <c r="AO60" s="406">
        <f t="shared" si="9"/>
        <v>7.3700000000000002E-2</v>
      </c>
    </row>
    <row r="61" spans="1:41" s="361" customFormat="1" ht="15" customHeight="1" x14ac:dyDescent="0.2">
      <c r="A61" s="387" t="str">
        <f>'36. Generic chemical products'!A11</f>
        <v>Acid, formic acid, average</v>
      </c>
      <c r="B61" s="387" t="str">
        <f>'36. Generic chemical products'!B11</f>
        <v>Formic acid</v>
      </c>
      <c r="C61" s="387">
        <f>'36. Generic chemical products'!C11</f>
        <v>1</v>
      </c>
      <c r="D61" s="387" t="str">
        <f>'36. Generic chemical products'!D11</f>
        <v>kg</v>
      </c>
      <c r="E61" s="387">
        <f>'36. Generic chemical products'!E11</f>
        <v>1</v>
      </c>
      <c r="F61" s="387">
        <f>'36. Generic chemical products'!F11</f>
        <v>0</v>
      </c>
      <c r="G61" s="387" t="str">
        <f>'36. Generic chemical products'!G11</f>
        <v>Formic acid</v>
      </c>
      <c r="H61" s="387" t="str">
        <f>'36. Generic chemical products'!H11</f>
        <v>high. pop.</v>
      </c>
      <c r="I61" s="387">
        <f>'36. Generic chemical products'!I11</f>
        <v>1E-3</v>
      </c>
      <c r="J61" s="387" t="str">
        <f>'36. Generic chemical products'!J11</f>
        <v>kg</v>
      </c>
      <c r="K61" s="387">
        <f>'36. Generic chemical products'!K11</f>
        <v>0</v>
      </c>
      <c r="L61" s="387">
        <f>'36. Generic chemical products'!L11</f>
        <v>0</v>
      </c>
      <c r="M61" s="387" t="str">
        <f>'36. Generic chemical products'!M11</f>
        <v>Formic acid</v>
      </c>
      <c r="N61" s="387" t="str">
        <f>'36. Generic chemical products'!N11</f>
        <v>river</v>
      </c>
      <c r="O61" s="387">
        <f>'36. Generic chemical products'!O11</f>
        <v>0.1</v>
      </c>
      <c r="P61" s="387" t="str">
        <f>'36. Generic chemical products'!P11</f>
        <v>kg</v>
      </c>
      <c r="Q61" s="387">
        <f>'36. Generic chemical products'!Q11</f>
        <v>0</v>
      </c>
      <c r="R61" s="387">
        <f>'36. Generic chemical products'!R11</f>
        <v>0</v>
      </c>
      <c r="S61" s="387">
        <f>'36. Generic chemical products'!S11</f>
        <v>0</v>
      </c>
      <c r="T61" s="387" t="str">
        <f>'36. Generic chemical products'!T11</f>
        <v>64-18-6</v>
      </c>
      <c r="U61" s="387">
        <f>'36. Generic chemical products'!U11</f>
        <v>0</v>
      </c>
      <c r="V61" s="387">
        <f>'36. Generic chemical products'!V11</f>
        <v>0</v>
      </c>
      <c r="W61" s="387">
        <f>'36. Generic chemical products'!W11</f>
        <v>0</v>
      </c>
      <c r="X61" s="387">
        <f>'36. Generic chemical products'!X11</f>
        <v>0</v>
      </c>
      <c r="Y61" s="387">
        <f>'36. Generic chemical products'!Y11</f>
        <v>2.8072892978694037</v>
      </c>
      <c r="Z61" s="387">
        <f>'36. Generic chemical products'!Z11</f>
        <v>44.680467206809801</v>
      </c>
      <c r="AA61" s="387" t="str">
        <f>'36. Generic chemical products'!AA11</f>
        <v>USEtox</v>
      </c>
      <c r="AB61" s="401">
        <f>$C$21*I61</f>
        <v>5.0000000000000004E-6</v>
      </c>
      <c r="AC61" s="362">
        <f>$C$29*O61</f>
        <v>5.0000000000000001E-4</v>
      </c>
      <c r="AD61" s="402">
        <f>AB61*U61+AC61*W61</f>
        <v>0</v>
      </c>
      <c r="AE61" s="402">
        <f t="shared" ref="AE61" si="10">AB61*V61+AC61*X61</f>
        <v>0</v>
      </c>
      <c r="AF61" s="403">
        <f t="shared" ref="AF61" si="11">AB61*Y61+AC61*Z61</f>
        <v>2.2354270049894247E-2</v>
      </c>
      <c r="AG61" s="403">
        <f t="shared" ref="AG61" si="12">AB61*U61</f>
        <v>0</v>
      </c>
      <c r="AH61" s="403">
        <f t="shared" ref="AH61" si="13">AB61*V61</f>
        <v>0</v>
      </c>
      <c r="AI61" s="403">
        <f t="shared" ref="AI61" si="14">AB61*Y61</f>
        <v>1.403644648934702E-5</v>
      </c>
      <c r="AJ61" s="403">
        <f t="shared" ref="AJ61" si="15">AC61*W61</f>
        <v>0</v>
      </c>
      <c r="AK61" s="403">
        <f t="shared" ref="AK61" si="16">AC61*X61</f>
        <v>0</v>
      </c>
      <c r="AL61" s="403">
        <f t="shared" ref="AL61" si="17">AC61*Z61</f>
        <v>2.23402336034049E-2</v>
      </c>
      <c r="AM61" s="404">
        <f t="shared" ref="AM61" si="18">AG61+AJ61</f>
        <v>0</v>
      </c>
      <c r="AN61" s="405">
        <f t="shared" ref="AN61" si="19">AH61+AK61</f>
        <v>0</v>
      </c>
      <c r="AO61" s="406">
        <f t="shared" ref="AO61" si="20">AI61+AL61</f>
        <v>2.2354270049894247E-2</v>
      </c>
    </row>
    <row r="62" spans="1:41" s="8" customFormat="1" ht="15" customHeight="1" x14ac:dyDescent="0.2">
      <c r="A62" s="68" t="str">
        <f>'36. Generic chemical products'!A20</f>
        <v>Softener, average (Sapamine SFC)</v>
      </c>
      <c r="B62" s="68" t="str">
        <f>'36. Generic chemical products'!B20</f>
        <v>Octadecanoic acid</v>
      </c>
      <c r="C62" s="68">
        <f>'36. Generic chemical products'!C20</f>
        <v>0.2</v>
      </c>
      <c r="D62" s="68" t="str">
        <f>'36. Generic chemical products'!D20</f>
        <v>kg</v>
      </c>
      <c r="E62" s="68" t="str">
        <f>'36. Generic chemical products'!E20</f>
        <v>MSDS</v>
      </c>
      <c r="F62" s="68">
        <f>'36. Generic chemical products'!F20</f>
        <v>0</v>
      </c>
      <c r="G62" s="68" t="str">
        <f>'36. Generic chemical products'!G20</f>
        <v>-</v>
      </c>
      <c r="H62" s="68">
        <f>'36. Generic chemical products'!H20</f>
        <v>0</v>
      </c>
      <c r="I62" s="68">
        <f>'36. Generic chemical products'!I20</f>
        <v>0</v>
      </c>
      <c r="J62" s="68">
        <f>'36. Generic chemical products'!J20</f>
        <v>0</v>
      </c>
      <c r="K62" s="68">
        <f>'36. Generic chemical products'!K20</f>
        <v>0</v>
      </c>
      <c r="L62" s="68">
        <f>'36. Generic chemical products'!L20</f>
        <v>0</v>
      </c>
      <c r="M62" s="68" t="str">
        <f>'36. Generic chemical products'!M20</f>
        <v>Octadecanoic acid</v>
      </c>
      <c r="N62" s="68" t="str">
        <f>'36. Generic chemical products'!N20</f>
        <v>river</v>
      </c>
      <c r="O62" s="68">
        <f>'36. Generic chemical products'!O20</f>
        <v>1.0000000000000002E-3</v>
      </c>
      <c r="P62" s="68" t="str">
        <f>'36. Generic chemical products'!P20</f>
        <v>kg</v>
      </c>
      <c r="Q62" s="68" t="str">
        <f>'36. Generic chemical products'!Q20</f>
        <v>95% on fabric</v>
      </c>
      <c r="R62" s="68">
        <f>'36. Generic chemical products'!R20</f>
        <v>0</v>
      </c>
      <c r="S62" s="68">
        <f>'36. Generic chemical products'!S20</f>
        <v>0</v>
      </c>
      <c r="T62" s="68" t="str">
        <f>'36. Generic chemical products'!T20</f>
        <v>57-11-4</v>
      </c>
      <c r="U62" s="68">
        <f>'36. Generic chemical products'!U20</f>
        <v>0</v>
      </c>
      <c r="V62" s="68">
        <f>'36. Generic chemical products'!V20</f>
        <v>0</v>
      </c>
      <c r="W62" s="68">
        <f>'36. Generic chemical products'!W20</f>
        <v>0</v>
      </c>
      <c r="X62" s="68">
        <f>'36. Generic chemical products'!X20</f>
        <v>0</v>
      </c>
      <c r="Y62" s="68">
        <f>'36. Generic chemical products'!Y20</f>
        <v>9.2999999999999999E-2</v>
      </c>
      <c r="Z62" s="68">
        <f>'36. Generic chemical products'!Z20</f>
        <v>33.799999999999997</v>
      </c>
      <c r="AA62" s="68" t="str">
        <f>'36. Generic chemical products'!AA20</f>
        <v>COSMEDE</v>
      </c>
      <c r="AB62" s="27">
        <f>$C$22*I62</f>
        <v>0</v>
      </c>
      <c r="AC62" s="29">
        <f>$C$30*O62</f>
        <v>1.5000000000000004E-4</v>
      </c>
      <c r="AD62" s="135">
        <f t="shared" si="0"/>
        <v>0</v>
      </c>
      <c r="AE62" s="135">
        <f t="shared" si="1"/>
        <v>0</v>
      </c>
      <c r="AF62" s="24">
        <f t="shared" si="2"/>
        <v>5.0700000000000007E-3</v>
      </c>
      <c r="AG62" s="24">
        <f t="shared" si="3"/>
        <v>0</v>
      </c>
      <c r="AH62" s="24">
        <f t="shared" si="4"/>
        <v>0</v>
      </c>
      <c r="AI62" s="24">
        <f t="shared" si="5"/>
        <v>0</v>
      </c>
      <c r="AJ62" s="24">
        <f t="shared" si="6"/>
        <v>0</v>
      </c>
      <c r="AK62" s="24">
        <f t="shared" si="7"/>
        <v>0</v>
      </c>
      <c r="AL62" s="24">
        <f t="shared" si="8"/>
        <v>5.0700000000000007E-3</v>
      </c>
      <c r="AM62" s="161">
        <f t="shared" si="9"/>
        <v>0</v>
      </c>
      <c r="AN62" s="157">
        <f t="shared" si="9"/>
        <v>0</v>
      </c>
      <c r="AO62" s="162">
        <f t="shared" si="9"/>
        <v>5.0700000000000007E-3</v>
      </c>
    </row>
    <row r="63" spans="1:41" s="49" customFormat="1" ht="15" customHeight="1" x14ac:dyDescent="0.2">
      <c r="A63" s="193" t="str">
        <f>'36. Generic chemical products'!A21</f>
        <v>Softener, average (Sapamine SFC)</v>
      </c>
      <c r="B63" s="193" t="str">
        <f>'36. Generic chemical products'!B21</f>
        <v>Diethanolamine</v>
      </c>
      <c r="C63" s="193">
        <f>'36. Generic chemical products'!C21</f>
        <v>0.03</v>
      </c>
      <c r="D63" s="193" t="str">
        <f>'36. Generic chemical products'!D21</f>
        <v>kg</v>
      </c>
      <c r="E63" s="193" t="str">
        <f>'36. Generic chemical products'!E21</f>
        <v>MSDS</v>
      </c>
      <c r="F63" s="193">
        <f>'36. Generic chemical products'!F21</f>
        <v>0</v>
      </c>
      <c r="G63" s="193" t="str">
        <f>'36. Generic chemical products'!G21</f>
        <v>-</v>
      </c>
      <c r="H63" s="193">
        <f>'36. Generic chemical products'!H21</f>
        <v>0</v>
      </c>
      <c r="I63" s="193">
        <f>'36. Generic chemical products'!I21</f>
        <v>0</v>
      </c>
      <c r="J63" s="193">
        <f>'36. Generic chemical products'!J21</f>
        <v>0</v>
      </c>
      <c r="K63" s="193">
        <f>'36. Generic chemical products'!K21</f>
        <v>0</v>
      </c>
      <c r="L63" s="193">
        <f>'36. Generic chemical products'!L21</f>
        <v>0</v>
      </c>
      <c r="M63" s="193" t="str">
        <f>'36. Generic chemical products'!M21</f>
        <v>Diethanolamine</v>
      </c>
      <c r="N63" s="193" t="str">
        <f>'36. Generic chemical products'!N21</f>
        <v>river</v>
      </c>
      <c r="O63" s="193">
        <f>'36. Generic chemical products'!O21</f>
        <v>1.5000000000000001E-4</v>
      </c>
      <c r="P63" s="193" t="str">
        <f>'36. Generic chemical products'!P21</f>
        <v>kg</v>
      </c>
      <c r="Q63" s="193" t="str">
        <f>'36. Generic chemical products'!Q21</f>
        <v>95% on fabric</v>
      </c>
      <c r="R63" s="193">
        <f>'36. Generic chemical products'!R21</f>
        <v>0</v>
      </c>
      <c r="S63" s="193">
        <f>'36. Generic chemical products'!S21</f>
        <v>0</v>
      </c>
      <c r="T63" s="193" t="str">
        <f>'36. Generic chemical products'!T21</f>
        <v>111-42-2</v>
      </c>
      <c r="U63" s="193">
        <f>'36. Generic chemical products'!U21</f>
        <v>0</v>
      </c>
      <c r="V63" s="193">
        <f>'36. Generic chemical products'!V21</f>
        <v>0</v>
      </c>
      <c r="W63" s="193">
        <f>'36. Generic chemical products'!W21</f>
        <v>0</v>
      </c>
      <c r="X63" s="193">
        <f>'36. Generic chemical products'!X21</f>
        <v>0</v>
      </c>
      <c r="Y63" s="193">
        <f>'36. Generic chemical products'!Y21</f>
        <v>0.92690099117499369</v>
      </c>
      <c r="Z63" s="193">
        <f>'36. Generic chemical products'!Z21</f>
        <v>47.139947928233759</v>
      </c>
      <c r="AA63" s="193" t="str">
        <f>'36. Generic chemical products'!AA21</f>
        <v>USEtox</v>
      </c>
      <c r="AB63" s="28">
        <f>$C$22*I63</f>
        <v>0</v>
      </c>
      <c r="AC63" s="146">
        <f>$C$30*O63</f>
        <v>2.2500000000000001E-5</v>
      </c>
      <c r="AD63" s="147">
        <f t="shared" si="0"/>
        <v>0</v>
      </c>
      <c r="AE63" s="147">
        <f t="shared" si="1"/>
        <v>0</v>
      </c>
      <c r="AF63" s="25">
        <f t="shared" si="2"/>
        <v>1.0606488283852597E-3</v>
      </c>
      <c r="AG63" s="25">
        <f t="shared" si="3"/>
        <v>0</v>
      </c>
      <c r="AH63" s="25">
        <f t="shared" si="4"/>
        <v>0</v>
      </c>
      <c r="AI63" s="25">
        <f t="shared" si="5"/>
        <v>0</v>
      </c>
      <c r="AJ63" s="25">
        <f t="shared" si="6"/>
        <v>0</v>
      </c>
      <c r="AK63" s="25">
        <f t="shared" si="7"/>
        <v>0</v>
      </c>
      <c r="AL63" s="25">
        <f t="shared" si="8"/>
        <v>1.0606488283852597E-3</v>
      </c>
      <c r="AM63" s="163">
        <f t="shared" si="9"/>
        <v>0</v>
      </c>
      <c r="AN63" s="164">
        <f t="shared" si="9"/>
        <v>0</v>
      </c>
      <c r="AO63" s="165">
        <f t="shared" si="9"/>
        <v>1.0606488283852597E-3</v>
      </c>
    </row>
    <row r="64" spans="1:41" s="8" customFormat="1" ht="15" customHeight="1" x14ac:dyDescent="0.2">
      <c r="A64" s="34"/>
      <c r="B64" s="54"/>
      <c r="C64" s="74"/>
      <c r="D64" s="51"/>
      <c r="E64" s="64"/>
      <c r="F64" s="51"/>
      <c r="G64" s="51"/>
      <c r="H64" s="69"/>
      <c r="I64" s="51"/>
      <c r="J64" s="51"/>
      <c r="K64" s="51"/>
      <c r="L64" s="51"/>
      <c r="M64" s="69"/>
      <c r="N64" s="51"/>
      <c r="O64" s="51"/>
      <c r="P64" s="54"/>
      <c r="Q64" s="115"/>
      <c r="R64" s="115"/>
      <c r="S64" s="115"/>
      <c r="T64" s="115"/>
      <c r="U64" s="115"/>
      <c r="V64" s="115"/>
      <c r="W64" s="125"/>
      <c r="X64" s="203"/>
      <c r="Y64" s="204"/>
      <c r="Z64" s="205"/>
      <c r="AA64" s="205"/>
      <c r="AB64" s="203"/>
      <c r="AC64" s="203"/>
      <c r="AD64" s="177">
        <f>SUM(AD47:AD63)</f>
        <v>0</v>
      </c>
      <c r="AE64" s="177">
        <f t="shared" ref="AE64:AK64" si="21">SUM(AE47:AE63)</f>
        <v>8.778052348048847E-10</v>
      </c>
      <c r="AF64" s="177">
        <f t="shared" si="21"/>
        <v>253.66181399194588</v>
      </c>
      <c r="AG64" s="177">
        <f t="shared" si="21"/>
        <v>0</v>
      </c>
      <c r="AH64" s="177">
        <f t="shared" si="21"/>
        <v>7.8999138348054523E-11</v>
      </c>
      <c r="AI64" s="177">
        <f>SUM(AI47:AI63)</f>
        <v>8.0368583810581998E-2</v>
      </c>
      <c r="AJ64" s="177">
        <f t="shared" si="21"/>
        <v>0</v>
      </c>
      <c r="AK64" s="177">
        <f t="shared" si="21"/>
        <v>7.9880609645683022E-10</v>
      </c>
      <c r="AL64" s="177">
        <f>SUM(AL47:AL63)</f>
        <v>253.58144540813529</v>
      </c>
    </row>
    <row r="65" spans="1:41" x14ac:dyDescent="0.2">
      <c r="A65" s="47" t="s">
        <v>1379</v>
      </c>
      <c r="AI65" s="40" t="s">
        <v>1035</v>
      </c>
      <c r="AL65" s="34" t="s">
        <v>1035</v>
      </c>
    </row>
    <row r="67" spans="1:41" s="59" customFormat="1" x14ac:dyDescent="0.2">
      <c r="A67" s="58"/>
      <c r="B67" s="58"/>
    </row>
    <row r="68" spans="1:41" s="7" customFormat="1" x14ac:dyDescent="0.2">
      <c r="A68" s="17" t="s">
        <v>1038</v>
      </c>
      <c r="U68" s="197" t="s">
        <v>550</v>
      </c>
      <c r="V68" s="198" t="s">
        <v>551</v>
      </c>
      <c r="W68" s="198" t="s">
        <v>550</v>
      </c>
      <c r="X68" s="198" t="s">
        <v>551</v>
      </c>
      <c r="Y68" s="199" t="s">
        <v>552</v>
      </c>
      <c r="Z68" s="200"/>
      <c r="AA68" s="201"/>
      <c r="AB68" s="17" t="s">
        <v>105</v>
      </c>
      <c r="AC68" s="17"/>
      <c r="AD68" s="148" t="s">
        <v>549</v>
      </c>
      <c r="AE68" s="149"/>
      <c r="AF68" s="149"/>
      <c r="AG68" s="149" t="s">
        <v>548</v>
      </c>
      <c r="AH68" s="149"/>
      <c r="AI68" s="149"/>
      <c r="AJ68" s="149" t="s">
        <v>547</v>
      </c>
      <c r="AK68" s="149"/>
      <c r="AL68" s="149"/>
      <c r="AM68" s="202" t="s">
        <v>553</v>
      </c>
      <c r="AN68" s="200"/>
      <c r="AO68" s="201"/>
    </row>
    <row r="69" spans="1:41" s="49" customFormat="1" ht="15" customHeight="1" x14ac:dyDescent="0.2">
      <c r="A69" s="57" t="s">
        <v>58</v>
      </c>
      <c r="B69" s="55" t="s">
        <v>289</v>
      </c>
      <c r="C69" s="56" t="s">
        <v>100</v>
      </c>
      <c r="D69" s="56" t="s">
        <v>11</v>
      </c>
      <c r="E69" s="63" t="s">
        <v>291</v>
      </c>
      <c r="F69" s="63"/>
      <c r="G69" s="66" t="s">
        <v>292</v>
      </c>
      <c r="H69" s="66" t="s">
        <v>8</v>
      </c>
      <c r="I69" s="66" t="s">
        <v>217</v>
      </c>
      <c r="J69" s="66" t="s">
        <v>11</v>
      </c>
      <c r="K69" s="66" t="s">
        <v>291</v>
      </c>
      <c r="L69" s="63"/>
      <c r="M69" s="67" t="s">
        <v>293</v>
      </c>
      <c r="N69" s="67" t="s">
        <v>8</v>
      </c>
      <c r="O69" s="67" t="s">
        <v>217</v>
      </c>
      <c r="P69" s="67" t="s">
        <v>11</v>
      </c>
      <c r="Q69" s="67" t="s">
        <v>291</v>
      </c>
      <c r="R69" s="67"/>
      <c r="S69" s="63"/>
      <c r="T69" s="79" t="s">
        <v>275</v>
      </c>
      <c r="U69" s="126" t="s">
        <v>530</v>
      </c>
      <c r="V69" s="114" t="s">
        <v>531</v>
      </c>
      <c r="W69" s="114" t="s">
        <v>532</v>
      </c>
      <c r="X69" s="114" t="s">
        <v>533</v>
      </c>
      <c r="Y69" s="114" t="s">
        <v>534</v>
      </c>
      <c r="Z69" s="114" t="s">
        <v>535</v>
      </c>
      <c r="AA69" s="131" t="s">
        <v>536</v>
      </c>
      <c r="AB69" s="22" t="s">
        <v>545</v>
      </c>
      <c r="AC69" s="23" t="s">
        <v>546</v>
      </c>
      <c r="AD69" s="148" t="s">
        <v>31</v>
      </c>
      <c r="AE69" s="149" t="s">
        <v>32</v>
      </c>
      <c r="AF69" s="150" t="s">
        <v>33</v>
      </c>
      <c r="AG69" s="148" t="s">
        <v>31</v>
      </c>
      <c r="AH69" s="149" t="s">
        <v>32</v>
      </c>
      <c r="AI69" s="150" t="s">
        <v>33</v>
      </c>
      <c r="AJ69" s="148" t="s">
        <v>31</v>
      </c>
      <c r="AK69" s="149" t="s">
        <v>32</v>
      </c>
      <c r="AL69" s="149" t="s">
        <v>33</v>
      </c>
      <c r="AM69" s="159"/>
      <c r="AN69" s="156"/>
      <c r="AO69" s="160"/>
    </row>
    <row r="70" spans="1:41" s="8" customFormat="1" ht="15" customHeight="1" x14ac:dyDescent="0.2">
      <c r="A70" s="70" t="str">
        <f>'36. Generic chemical products'!A50</f>
        <v>Thickener, average (Lyoprint DT-CS)</v>
      </c>
      <c r="B70" s="70" t="str">
        <f>'36. Generic chemical products'!B50</f>
        <v>Distillates, petroleum, hydrotreated heavy paraffinic</v>
      </c>
      <c r="C70" s="70">
        <f>'36. Generic chemical products'!C50</f>
        <v>0.35</v>
      </c>
      <c r="D70" s="70" t="str">
        <f>'36. Generic chemical products'!D50</f>
        <v>kg</v>
      </c>
      <c r="E70" s="70" t="str">
        <f>'36. Generic chemical products'!E50</f>
        <v>MSDS</v>
      </c>
      <c r="F70" s="70">
        <f>'36. Generic chemical products'!F50</f>
        <v>0</v>
      </c>
      <c r="G70" s="70" t="str">
        <f>'36. Generic chemical products'!G50</f>
        <v>Distillates, petroleum, hydrotreated heavy paraffinic</v>
      </c>
      <c r="H70" s="70" t="str">
        <f>'36. Generic chemical products'!H50</f>
        <v>high. pop.</v>
      </c>
      <c r="I70" s="70">
        <f>'36. Generic chemical products'!I50</f>
        <v>3.5E-4</v>
      </c>
      <c r="J70" s="70" t="str">
        <f>'36. Generic chemical products'!J50</f>
        <v>kg</v>
      </c>
      <c r="K70" s="70">
        <f>'36. Generic chemical products'!K50</f>
        <v>0</v>
      </c>
      <c r="L70" s="70">
        <f>'36. Generic chemical products'!L50</f>
        <v>0</v>
      </c>
      <c r="M70" s="70" t="str">
        <f>'36. Generic chemical products'!M50</f>
        <v>Distillates, petroleum, hydrotreated heavy paraffinic</v>
      </c>
      <c r="N70" s="70" t="str">
        <f>'36. Generic chemical products'!N50</f>
        <v>river</v>
      </c>
      <c r="O70" s="70">
        <f>'36. Generic chemical products'!O50</f>
        <v>3.4999999999999996E-2</v>
      </c>
      <c r="P70" s="70" t="str">
        <f>'36. Generic chemical products'!P50</f>
        <v>kg</v>
      </c>
      <c r="Q70" s="70">
        <f>'36. Generic chemical products'!Q50</f>
        <v>0</v>
      </c>
      <c r="R70" s="70">
        <f>'36. Generic chemical products'!R50</f>
        <v>0</v>
      </c>
      <c r="S70" s="70">
        <f>'36. Generic chemical products'!S50</f>
        <v>0</v>
      </c>
      <c r="T70" s="70" t="str">
        <f>'36. Generic chemical products'!T50</f>
        <v>64742-54-7</v>
      </c>
      <c r="U70" s="70">
        <f>'36. Generic chemical products'!U50</f>
        <v>0</v>
      </c>
      <c r="V70" s="70">
        <f>'36. Generic chemical products'!V50</f>
        <v>0</v>
      </c>
      <c r="W70" s="70">
        <f>'36. Generic chemical products'!W50</f>
        <v>0</v>
      </c>
      <c r="X70" s="70">
        <f>'36. Generic chemical products'!X50</f>
        <v>0</v>
      </c>
      <c r="Y70" s="70">
        <f>'36. Generic chemical products'!Y50</f>
        <v>0.5</v>
      </c>
      <c r="Z70" s="70">
        <f>'36. Generic chemical products'!Z50</f>
        <v>39.5</v>
      </c>
      <c r="AA70" s="70" t="str">
        <f>'36. Generic chemical products'!AA50</f>
        <v>COSMEDE</v>
      </c>
      <c r="AB70" s="27">
        <f>$C$15*I70</f>
        <v>3.6749999999999999E-5</v>
      </c>
      <c r="AC70" s="29">
        <f>$C$23*O70</f>
        <v>3.6749999999999994E-3</v>
      </c>
      <c r="AD70" s="135">
        <f t="shared" ref="AD70:AD81" si="22">AB70*U70+AC70*W70</f>
        <v>0</v>
      </c>
      <c r="AE70" s="135">
        <f t="shared" ref="AE70:AE86" si="23">AB70*V70+AC70*X70</f>
        <v>0</v>
      </c>
      <c r="AF70" s="24">
        <f t="shared" ref="AF70:AF86" si="24">AB70*Y70+AC70*Z70</f>
        <v>0.14518087499999996</v>
      </c>
      <c r="AG70" s="24">
        <f t="shared" ref="AG70:AG86" si="25">AB70*U70</f>
        <v>0</v>
      </c>
      <c r="AH70" s="24">
        <f t="shared" ref="AH70:AH86" si="26">AB70*V70</f>
        <v>0</v>
      </c>
      <c r="AI70" s="24">
        <f t="shared" ref="AI70:AI86" si="27">AB70*Y70</f>
        <v>1.8374999999999999E-5</v>
      </c>
      <c r="AJ70" s="24">
        <f t="shared" ref="AJ70:AJ86" si="28">AC70*W70</f>
        <v>0</v>
      </c>
      <c r="AK70" s="24">
        <f t="shared" ref="AK70:AK86" si="29">AC70*X70</f>
        <v>0</v>
      </c>
      <c r="AL70" s="24">
        <f t="shared" ref="AL70:AL86" si="30">AC70*Z70</f>
        <v>0.14516249999999997</v>
      </c>
      <c r="AM70" s="161">
        <f t="shared" ref="AM70:AM86" si="31">AG70+AJ70</f>
        <v>0</v>
      </c>
      <c r="AN70" s="157">
        <f t="shared" ref="AN70:AN86" si="32">AH70+AK70</f>
        <v>0</v>
      </c>
      <c r="AO70" s="162">
        <f t="shared" ref="AO70:AO86" si="33">AI70+AL70</f>
        <v>0.14518087499999996</v>
      </c>
    </row>
    <row r="71" spans="1:41" s="8" customFormat="1" ht="15" customHeight="1" x14ac:dyDescent="0.2">
      <c r="A71" s="70" t="str">
        <f>'36. Generic chemical products'!A51</f>
        <v>Thickener, average (Lyoprint DT-CS)</v>
      </c>
      <c r="B71" s="70" t="str">
        <f>'36. Generic chemical products'!B51</f>
        <v>Poly(oxy-1,2-ethanediyl) , .alpha.-tridecyl-.omega.-hydroxy-, phosphate</v>
      </c>
      <c r="C71" s="70">
        <f>'36. Generic chemical products'!C51</f>
        <v>0.05</v>
      </c>
      <c r="D71" s="70" t="str">
        <f>'36. Generic chemical products'!D51</f>
        <v>kg</v>
      </c>
      <c r="E71" s="70" t="str">
        <f>'36. Generic chemical products'!E51</f>
        <v>MSDS</v>
      </c>
      <c r="F71" s="70">
        <f>'36. Generic chemical products'!F51</f>
        <v>0</v>
      </c>
      <c r="G71" s="70" t="str">
        <f>'36. Generic chemical products'!G51</f>
        <v>Poly(oxy-1,2-ethanediyl) , .alpha.-tridecyl-.omega.-hydroxy-, phosphate</v>
      </c>
      <c r="H71" s="70" t="str">
        <f>'36. Generic chemical products'!H51</f>
        <v>high. pop.</v>
      </c>
      <c r="I71" s="70">
        <f>'36. Generic chemical products'!I51</f>
        <v>5.0000000000000002E-5</v>
      </c>
      <c r="J71" s="70" t="str">
        <f>'36. Generic chemical products'!J51</f>
        <v>kg</v>
      </c>
      <c r="K71" s="70">
        <f>'36. Generic chemical products'!K51</f>
        <v>0</v>
      </c>
      <c r="L71" s="70">
        <f>'36. Generic chemical products'!L51</f>
        <v>0</v>
      </c>
      <c r="M71" s="70" t="str">
        <f>'36. Generic chemical products'!M51</f>
        <v>Poly(oxy-1,2-ethanediyl) , .alpha.-tridecyl-.omega.-hydroxy-, phosphate</v>
      </c>
      <c r="N71" s="70" t="str">
        <f>'36. Generic chemical products'!N51</f>
        <v>river</v>
      </c>
      <c r="O71" s="70">
        <f>'36. Generic chemical products'!O51</f>
        <v>5.000000000000001E-3</v>
      </c>
      <c r="P71" s="70" t="str">
        <f>'36. Generic chemical products'!P51</f>
        <v>kg</v>
      </c>
      <c r="Q71" s="70">
        <f>'36. Generic chemical products'!Q51</f>
        <v>0</v>
      </c>
      <c r="R71" s="70">
        <f>'36. Generic chemical products'!R51</f>
        <v>0</v>
      </c>
      <c r="S71" s="70">
        <f>'36. Generic chemical products'!S51</f>
        <v>0</v>
      </c>
      <c r="T71" s="70" t="str">
        <f>'36. Generic chemical products'!T51</f>
        <v>9046-01-9</v>
      </c>
      <c r="U71" s="70">
        <f>'36. Generic chemical products'!U51</f>
        <v>0</v>
      </c>
      <c r="V71" s="70">
        <f>'36. Generic chemical products'!V51</f>
        <v>1.1135698593690228E-7</v>
      </c>
      <c r="W71" s="70">
        <f>'36. Generic chemical products'!W51</f>
        <v>0</v>
      </c>
      <c r="X71" s="70">
        <f>'36. Generic chemical products'!X51</f>
        <v>5.8568889081207134E-7</v>
      </c>
      <c r="Y71" s="70">
        <f>'36. Generic chemical products'!Y51</f>
        <v>9807.1010123430624</v>
      </c>
      <c r="Z71" s="70">
        <f>'36. Generic chemical products'!Z51</f>
        <v>478403.0544103132</v>
      </c>
      <c r="AA71" s="70" t="str">
        <f>'36. Generic chemical products'!AA51</f>
        <v>Roos 2017</v>
      </c>
      <c r="AB71" s="27">
        <f>$C$15*I71</f>
        <v>5.2499999999999997E-6</v>
      </c>
      <c r="AC71" s="29">
        <f>$C$23*O71</f>
        <v>5.2500000000000008E-4</v>
      </c>
      <c r="AD71" s="135">
        <f t="shared" si="22"/>
        <v>0</v>
      </c>
      <c r="AE71" s="135">
        <f t="shared" si="23"/>
        <v>3.0807129185250625E-10</v>
      </c>
      <c r="AF71" s="24">
        <f t="shared" si="24"/>
        <v>251.21309084572925</v>
      </c>
      <c r="AG71" s="24">
        <f t="shared" si="25"/>
        <v>0</v>
      </c>
      <c r="AH71" s="24">
        <f t="shared" si="26"/>
        <v>5.8462417616873691E-13</v>
      </c>
      <c r="AI71" s="24">
        <f t="shared" si="27"/>
        <v>5.1487280314801077E-2</v>
      </c>
      <c r="AJ71" s="24">
        <f t="shared" si="28"/>
        <v>0</v>
      </c>
      <c r="AK71" s="24">
        <f t="shared" si="29"/>
        <v>3.0748666767633752E-10</v>
      </c>
      <c r="AL71" s="24">
        <f t="shared" si="30"/>
        <v>251.16160356541445</v>
      </c>
      <c r="AM71" s="161">
        <f t="shared" si="31"/>
        <v>0</v>
      </c>
      <c r="AN71" s="157">
        <f t="shared" si="32"/>
        <v>3.0807129185250625E-10</v>
      </c>
      <c r="AO71" s="162">
        <f t="shared" si="33"/>
        <v>251.21309084572925</v>
      </c>
    </row>
    <row r="72" spans="1:41" s="49" customFormat="1" ht="15" customHeight="1" x14ac:dyDescent="0.2">
      <c r="A72" s="136" t="str">
        <f>'36. Generic chemical products'!A52</f>
        <v>Thickener, average (Lyoprint DT-CS)</v>
      </c>
      <c r="B72" s="136" t="str">
        <f>'36. Generic chemical products'!B52</f>
        <v>Naphtha, petroleum, hydrotreated heavy</v>
      </c>
      <c r="C72" s="136">
        <f>'36. Generic chemical products'!C52</f>
        <v>0.1</v>
      </c>
      <c r="D72" s="136" t="str">
        <f>'36. Generic chemical products'!D52</f>
        <v>kg</v>
      </c>
      <c r="E72" s="136" t="str">
        <f>'36. Generic chemical products'!E52</f>
        <v>MSDS</v>
      </c>
      <c r="F72" s="136">
        <f>'36. Generic chemical products'!F52</f>
        <v>0</v>
      </c>
      <c r="G72" s="136" t="str">
        <f>'36. Generic chemical products'!G52</f>
        <v>Naphtha, petroleum, hydrotreated heavy</v>
      </c>
      <c r="H72" s="136" t="str">
        <f>'36. Generic chemical products'!H52</f>
        <v>high. pop.</v>
      </c>
      <c r="I72" s="136">
        <f>'36. Generic chemical products'!I52</f>
        <v>1E-4</v>
      </c>
      <c r="J72" s="136" t="str">
        <f>'36. Generic chemical products'!J52</f>
        <v>kg</v>
      </c>
      <c r="K72" s="136">
        <f>'36. Generic chemical products'!K52</f>
        <v>0</v>
      </c>
      <c r="L72" s="136">
        <f>'36. Generic chemical products'!L52</f>
        <v>0</v>
      </c>
      <c r="M72" s="136" t="str">
        <f>'36. Generic chemical products'!M52</f>
        <v>Naphtha, petroleum, hydrotreated heavy</v>
      </c>
      <c r="N72" s="136" t="str">
        <f>'36. Generic chemical products'!N52</f>
        <v>river</v>
      </c>
      <c r="O72" s="136">
        <f>'36. Generic chemical products'!O52</f>
        <v>1.0000000000000002E-2</v>
      </c>
      <c r="P72" s="136" t="str">
        <f>'36. Generic chemical products'!P52</f>
        <v>kg</v>
      </c>
      <c r="Q72" s="136">
        <f>'36. Generic chemical products'!Q52</f>
        <v>0</v>
      </c>
      <c r="R72" s="136">
        <f>'36. Generic chemical products'!R52</f>
        <v>0</v>
      </c>
      <c r="S72" s="136">
        <f>'36. Generic chemical products'!S52</f>
        <v>0</v>
      </c>
      <c r="T72" s="136" t="str">
        <f>'36. Generic chemical products'!T52</f>
        <v>64742-48-9</v>
      </c>
      <c r="U72" s="136">
        <f>'36. Generic chemical products'!U52</f>
        <v>0</v>
      </c>
      <c r="V72" s="136">
        <f>'36. Generic chemical products'!V52</f>
        <v>0</v>
      </c>
      <c r="W72" s="136">
        <f>'36. Generic chemical products'!W52</f>
        <v>0</v>
      </c>
      <c r="X72" s="136">
        <f>'36. Generic chemical products'!X52</f>
        <v>0</v>
      </c>
      <c r="Y72" s="136">
        <f>'36. Generic chemical products'!Y52</f>
        <v>1.1999999999999999E-3</v>
      </c>
      <c r="Z72" s="136">
        <f>'36. Generic chemical products'!Z52</f>
        <v>165</v>
      </c>
      <c r="AA72" s="136" t="str">
        <f>'36. Generic chemical products'!AA52</f>
        <v>COSMEDE</v>
      </c>
      <c r="AB72" s="28">
        <f>$C$15*I72</f>
        <v>1.0499999999999999E-5</v>
      </c>
      <c r="AC72" s="146">
        <f>$C$23*O72</f>
        <v>1.0500000000000002E-3</v>
      </c>
      <c r="AD72" s="147">
        <f t="shared" si="22"/>
        <v>0</v>
      </c>
      <c r="AE72" s="147">
        <f t="shared" si="23"/>
        <v>0</v>
      </c>
      <c r="AF72" s="25">
        <f t="shared" si="24"/>
        <v>0.1732500126</v>
      </c>
      <c r="AG72" s="25">
        <f t="shared" si="25"/>
        <v>0</v>
      </c>
      <c r="AH72" s="25">
        <f t="shared" si="26"/>
        <v>0</v>
      </c>
      <c r="AI72" s="25">
        <f t="shared" si="27"/>
        <v>1.2599999999999999E-8</v>
      </c>
      <c r="AJ72" s="25">
        <f t="shared" si="28"/>
        <v>0</v>
      </c>
      <c r="AK72" s="25">
        <f t="shared" si="29"/>
        <v>0</v>
      </c>
      <c r="AL72" s="25">
        <f t="shared" si="30"/>
        <v>0.17325000000000002</v>
      </c>
      <c r="AM72" s="163">
        <f t="shared" si="31"/>
        <v>0</v>
      </c>
      <c r="AN72" s="164">
        <f t="shared" si="32"/>
        <v>0</v>
      </c>
      <c r="AO72" s="165">
        <f t="shared" si="33"/>
        <v>0.1732500126</v>
      </c>
    </row>
    <row r="73" spans="1:41" s="8" customFormat="1" ht="15" customHeight="1" x14ac:dyDescent="0.2">
      <c r="A73" s="68" t="str">
        <f>'36. Generic chemical products'!A53</f>
        <v>Reduction agent printing (Lyoprint AIR 1:1)</v>
      </c>
      <c r="B73" s="68" t="str">
        <f>'36. Generic chemical products'!B53</f>
        <v>Decane and other higher alkanes</v>
      </c>
      <c r="C73" s="68">
        <f>'36. Generic chemical products'!C53</f>
        <v>0.5</v>
      </c>
      <c r="D73" s="68" t="str">
        <f>'36. Generic chemical products'!D53</f>
        <v>kg</v>
      </c>
      <c r="E73" s="68" t="str">
        <f>'36. Generic chemical products'!E53</f>
        <v>MSDS</v>
      </c>
      <c r="F73" s="68">
        <f>'36. Generic chemical products'!F53</f>
        <v>0</v>
      </c>
      <c r="G73" s="68" t="str">
        <f>'36. Generic chemical products'!G53</f>
        <v>Decane and other higher alkanes</v>
      </c>
      <c r="H73" s="68" t="str">
        <f>'36. Generic chemical products'!H53</f>
        <v>high. pop.</v>
      </c>
      <c r="I73" s="68">
        <f>'36. Generic chemical products'!I53</f>
        <v>5.0000000000000001E-4</v>
      </c>
      <c r="J73" s="68" t="str">
        <f>'36. Generic chemical products'!J53</f>
        <v>kg</v>
      </c>
      <c r="K73" s="68">
        <f>'36. Generic chemical products'!K53</f>
        <v>0</v>
      </c>
      <c r="L73" s="68">
        <f>'36. Generic chemical products'!L53</f>
        <v>0</v>
      </c>
      <c r="M73" s="68" t="str">
        <f>'36. Generic chemical products'!M53</f>
        <v>Decane and other higher alkanes</v>
      </c>
      <c r="N73" s="68" t="str">
        <f>'36. Generic chemical products'!N53</f>
        <v>river</v>
      </c>
      <c r="O73" s="68">
        <f>'36. Generic chemical products'!O53</f>
        <v>0.05</v>
      </c>
      <c r="P73" s="68" t="str">
        <f>'36. Generic chemical products'!P53</f>
        <v>kg</v>
      </c>
      <c r="Q73" s="68">
        <f>'36. Generic chemical products'!Q53</f>
        <v>0</v>
      </c>
      <c r="R73" s="68">
        <f>'36. Generic chemical products'!R53</f>
        <v>0</v>
      </c>
      <c r="S73" s="68">
        <f>'36. Generic chemical products'!S53</f>
        <v>0</v>
      </c>
      <c r="T73" s="68" t="str">
        <f>'36. Generic chemical products'!T53</f>
        <v>64742-47-8</v>
      </c>
      <c r="U73" s="68">
        <f>'36. Generic chemical products'!U53</f>
        <v>0</v>
      </c>
      <c r="V73" s="68">
        <f>'36. Generic chemical products'!V53</f>
        <v>0</v>
      </c>
      <c r="W73" s="68">
        <f>'36. Generic chemical products'!W53</f>
        <v>0</v>
      </c>
      <c r="X73" s="68">
        <f>'36. Generic chemical products'!X53</f>
        <v>0</v>
      </c>
      <c r="Y73" s="68">
        <f>'36. Generic chemical products'!Y53</f>
        <v>2.8999999999999998E-3</v>
      </c>
      <c r="Z73" s="68">
        <f>'36. Generic chemical products'!Z53</f>
        <v>194</v>
      </c>
      <c r="AA73" s="68" t="str">
        <f>'36. Generic chemical products'!AA53</f>
        <v>COSMEDE</v>
      </c>
      <c r="AB73" s="27">
        <f>$C$16*I73</f>
        <v>1.5E-5</v>
      </c>
      <c r="AC73" s="29">
        <f>$C$24*O73</f>
        <v>1.5E-3</v>
      </c>
      <c r="AD73" s="135">
        <f t="shared" si="22"/>
        <v>0</v>
      </c>
      <c r="AE73" s="135">
        <f t="shared" si="23"/>
        <v>0</v>
      </c>
      <c r="AF73" s="24">
        <f t="shared" si="24"/>
        <v>0.29100004349999997</v>
      </c>
      <c r="AG73" s="24">
        <f t="shared" si="25"/>
        <v>0</v>
      </c>
      <c r="AH73" s="24">
        <f t="shared" si="26"/>
        <v>0</v>
      </c>
      <c r="AI73" s="24">
        <f t="shared" si="27"/>
        <v>4.3499999999999999E-8</v>
      </c>
      <c r="AJ73" s="24">
        <f t="shared" si="28"/>
        <v>0</v>
      </c>
      <c r="AK73" s="24">
        <f t="shared" si="29"/>
        <v>0</v>
      </c>
      <c r="AL73" s="24">
        <f t="shared" si="30"/>
        <v>0.29099999999999998</v>
      </c>
      <c r="AM73" s="161">
        <f t="shared" si="31"/>
        <v>0</v>
      </c>
      <c r="AN73" s="157">
        <f t="shared" si="32"/>
        <v>0</v>
      </c>
      <c r="AO73" s="162">
        <f t="shared" si="33"/>
        <v>0.29100004349999997</v>
      </c>
    </row>
    <row r="74" spans="1:41" s="8" customFormat="1" ht="15" customHeight="1" x14ac:dyDescent="0.2">
      <c r="A74" s="68" t="str">
        <f>'36. Generic chemical products'!A54</f>
        <v>Reduction agent printing (Lyoprint AIR 1:1)</v>
      </c>
      <c r="B74" s="68" t="str">
        <f>'36. Generic chemical products'!B54</f>
        <v>Maleinsyra, bis(2-etylhexyl)ester</v>
      </c>
      <c r="C74" s="68">
        <f>'36. Generic chemical products'!C54</f>
        <v>0.1</v>
      </c>
      <c r="D74" s="68" t="str">
        <f>'36. Generic chemical products'!D54</f>
        <v>kg</v>
      </c>
      <c r="E74" s="68" t="str">
        <f>'36. Generic chemical products'!E54</f>
        <v>MSDS</v>
      </c>
      <c r="F74" s="68">
        <f>'36. Generic chemical products'!F54</f>
        <v>0</v>
      </c>
      <c r="G74" s="68" t="str">
        <f>'36. Generic chemical products'!G54</f>
        <v>Maleinsyra, bis(2-etylhexyl)ester</v>
      </c>
      <c r="H74" s="68" t="str">
        <f>'36. Generic chemical products'!H54</f>
        <v>high. pop.</v>
      </c>
      <c r="I74" s="68">
        <f>'36. Generic chemical products'!I54</f>
        <v>1E-4</v>
      </c>
      <c r="J74" s="68" t="str">
        <f>'36. Generic chemical products'!J54</f>
        <v>kg</v>
      </c>
      <c r="K74" s="68">
        <f>'36. Generic chemical products'!K54</f>
        <v>0</v>
      </c>
      <c r="L74" s="68">
        <f>'36. Generic chemical products'!L54</f>
        <v>0</v>
      </c>
      <c r="M74" s="68" t="str">
        <f>'36. Generic chemical products'!M54</f>
        <v>Maleinsyra, bis(2-etylhexyl)ester</v>
      </c>
      <c r="N74" s="68" t="str">
        <f>'36. Generic chemical products'!N54</f>
        <v>river</v>
      </c>
      <c r="O74" s="68">
        <f>'36. Generic chemical products'!O54</f>
        <v>1.0000000000000002E-2</v>
      </c>
      <c r="P74" s="68" t="str">
        <f>'36. Generic chemical products'!P54</f>
        <v>kg</v>
      </c>
      <c r="Q74" s="68">
        <f>'36. Generic chemical products'!Q54</f>
        <v>0</v>
      </c>
      <c r="R74" s="68">
        <f>'36. Generic chemical products'!R54</f>
        <v>0</v>
      </c>
      <c r="S74" s="68">
        <f>'36. Generic chemical products'!S54</f>
        <v>0</v>
      </c>
      <c r="T74" s="68" t="str">
        <f>'36. Generic chemical products'!T54</f>
        <v>142-16-5</v>
      </c>
      <c r="U74" s="68">
        <f>'36. Generic chemical products'!U54</f>
        <v>0</v>
      </c>
      <c r="V74" s="68">
        <f>'36. Generic chemical products'!V54</f>
        <v>0</v>
      </c>
      <c r="W74" s="68">
        <f>'36. Generic chemical products'!W54</f>
        <v>0</v>
      </c>
      <c r="X74" s="68">
        <f>'36. Generic chemical products'!X54</f>
        <v>0</v>
      </c>
      <c r="Y74" s="68">
        <f>'36. Generic chemical products'!Y54</f>
        <v>0.16</v>
      </c>
      <c r="Z74" s="68">
        <f>'36. Generic chemical products'!Z54</f>
        <v>16.600000000000001</v>
      </c>
      <c r="AA74" s="68" t="str">
        <f>'36. Generic chemical products'!AA54</f>
        <v>COSMEDE</v>
      </c>
      <c r="AB74" s="27">
        <f>$C$16*I74</f>
        <v>3.0000000000000001E-6</v>
      </c>
      <c r="AC74" s="29">
        <f>$C$24*O74</f>
        <v>3.0000000000000003E-4</v>
      </c>
      <c r="AD74" s="135">
        <f t="shared" si="22"/>
        <v>0</v>
      </c>
      <c r="AE74" s="135">
        <f t="shared" si="23"/>
        <v>0</v>
      </c>
      <c r="AF74" s="24">
        <f t="shared" si="24"/>
        <v>4.9804800000000007E-3</v>
      </c>
      <c r="AG74" s="24">
        <f t="shared" si="25"/>
        <v>0</v>
      </c>
      <c r="AH74" s="24">
        <f t="shared" si="26"/>
        <v>0</v>
      </c>
      <c r="AI74" s="24">
        <f t="shared" si="27"/>
        <v>4.8000000000000006E-7</v>
      </c>
      <c r="AJ74" s="24">
        <f t="shared" si="28"/>
        <v>0</v>
      </c>
      <c r="AK74" s="24">
        <f t="shared" si="29"/>
        <v>0</v>
      </c>
      <c r="AL74" s="24">
        <f t="shared" si="30"/>
        <v>4.9800000000000009E-3</v>
      </c>
      <c r="AM74" s="161">
        <f t="shared" si="31"/>
        <v>0</v>
      </c>
      <c r="AN74" s="157">
        <f t="shared" si="32"/>
        <v>0</v>
      </c>
      <c r="AO74" s="162">
        <f t="shared" si="33"/>
        <v>4.9804800000000007E-3</v>
      </c>
    </row>
    <row r="75" spans="1:41" s="49" customFormat="1" ht="15" customHeight="1" x14ac:dyDescent="0.2">
      <c r="A75" s="193" t="str">
        <f>'36. Generic chemical products'!A55</f>
        <v>Reduction agent printing (Lyoprint AIR 1:1)</v>
      </c>
      <c r="B75" s="193" t="str">
        <f>'36. Generic chemical products'!B55</f>
        <v>Decanol</v>
      </c>
      <c r="C75" s="193">
        <f>'36. Generic chemical products'!C55</f>
        <v>0.4</v>
      </c>
      <c r="D75" s="193" t="str">
        <f>'36. Generic chemical products'!D55</f>
        <v>kg</v>
      </c>
      <c r="E75" s="193" t="str">
        <f>'36. Generic chemical products'!E55</f>
        <v>assumption decanol</v>
      </c>
      <c r="F75" s="193">
        <f>'36. Generic chemical products'!F55</f>
        <v>0</v>
      </c>
      <c r="G75" s="193" t="str">
        <f>'36. Generic chemical products'!G55</f>
        <v>Decanol</v>
      </c>
      <c r="H75" s="193" t="str">
        <f>'36. Generic chemical products'!H55</f>
        <v>high. pop.</v>
      </c>
      <c r="I75" s="193">
        <f>'36. Generic chemical products'!I55</f>
        <v>4.0000000000000002E-4</v>
      </c>
      <c r="J75" s="193" t="str">
        <f>'36. Generic chemical products'!J55</f>
        <v>kg</v>
      </c>
      <c r="K75" s="193">
        <f>'36. Generic chemical products'!K55</f>
        <v>0</v>
      </c>
      <c r="L75" s="193">
        <f>'36. Generic chemical products'!L55</f>
        <v>0</v>
      </c>
      <c r="M75" s="193" t="str">
        <f>'36. Generic chemical products'!M55</f>
        <v>Decanol</v>
      </c>
      <c r="N75" s="193" t="str">
        <f>'36. Generic chemical products'!N55</f>
        <v>river</v>
      </c>
      <c r="O75" s="193">
        <f>'36. Generic chemical products'!O55</f>
        <v>4.0000000000000008E-2</v>
      </c>
      <c r="P75" s="193" t="str">
        <f>'36. Generic chemical products'!P55</f>
        <v>kg</v>
      </c>
      <c r="Q75" s="193">
        <f>'36. Generic chemical products'!Q55</f>
        <v>0</v>
      </c>
      <c r="R75" s="193">
        <f>'36. Generic chemical products'!R55</f>
        <v>0</v>
      </c>
      <c r="S75" s="193">
        <f>'36. Generic chemical products'!S55</f>
        <v>0</v>
      </c>
      <c r="T75" s="193" t="str">
        <f>'36. Generic chemical products'!T55</f>
        <v>112-30-1</v>
      </c>
      <c r="U75" s="193">
        <f>'36. Generic chemical products'!U55</f>
        <v>0</v>
      </c>
      <c r="V75" s="193">
        <f>'36. Generic chemical products'!V55</f>
        <v>0</v>
      </c>
      <c r="W75" s="193">
        <f>'36. Generic chemical products'!W55</f>
        <v>0</v>
      </c>
      <c r="X75" s="193">
        <f>'36. Generic chemical products'!X55</f>
        <v>0</v>
      </c>
      <c r="Y75" s="193">
        <f>'36. Generic chemical products'!Y55</f>
        <v>11.002755396890556</v>
      </c>
      <c r="Z75" s="193">
        <f>'36. Generic chemical products'!Z55</f>
        <v>992.92073813061654</v>
      </c>
      <c r="AA75" s="193" t="str">
        <f>'36. Generic chemical products'!AA55</f>
        <v>USEtox</v>
      </c>
      <c r="AB75" s="28">
        <f>$C$16*I75</f>
        <v>1.2E-5</v>
      </c>
      <c r="AC75" s="146">
        <f>$C$24*O75</f>
        <v>1.2000000000000001E-3</v>
      </c>
      <c r="AD75" s="147">
        <f t="shared" si="22"/>
        <v>0</v>
      </c>
      <c r="AE75" s="147">
        <f t="shared" si="23"/>
        <v>0</v>
      </c>
      <c r="AF75" s="25">
        <f t="shared" si="24"/>
        <v>1.1916369188215026</v>
      </c>
      <c r="AG75" s="25">
        <f t="shared" si="25"/>
        <v>0</v>
      </c>
      <c r="AH75" s="25">
        <f t="shared" si="26"/>
        <v>0</v>
      </c>
      <c r="AI75" s="25">
        <f t="shared" si="27"/>
        <v>1.3203306476268668E-4</v>
      </c>
      <c r="AJ75" s="25">
        <f t="shared" si="28"/>
        <v>0</v>
      </c>
      <c r="AK75" s="25">
        <f t="shared" si="29"/>
        <v>0</v>
      </c>
      <c r="AL75" s="25">
        <f t="shared" si="30"/>
        <v>1.1915048857567399</v>
      </c>
      <c r="AM75" s="163">
        <f t="shared" si="31"/>
        <v>0</v>
      </c>
      <c r="AN75" s="164">
        <f t="shared" si="32"/>
        <v>0</v>
      </c>
      <c r="AO75" s="165">
        <f t="shared" si="33"/>
        <v>1.1916369188215026</v>
      </c>
    </row>
    <row r="76" spans="1:41" s="361" customFormat="1" ht="15" customHeight="1" x14ac:dyDescent="0.2">
      <c r="A76" s="418" t="str">
        <f>'36. Generic chemical products'!A74</f>
        <v>Pigment (C.I. DIRECT BLACK 38), worst case</v>
      </c>
      <c r="B76" s="418" t="str">
        <f>'36. Generic chemical products'!B74</f>
        <v xml:space="preserve">5-hydroxy-6-(phenylazo)naphthalene-2,7-disulphonate </v>
      </c>
      <c r="C76" s="418">
        <f>'36. Generic chemical products'!C74</f>
        <v>1</v>
      </c>
      <c r="D76" s="418" t="str">
        <f>'36. Generic chemical products'!D74</f>
        <v>kg</v>
      </c>
      <c r="E76" s="418">
        <f>'36. Generic chemical products'!E74</f>
        <v>1</v>
      </c>
      <c r="F76" s="418">
        <f>'36. Generic chemical products'!F74</f>
        <v>0</v>
      </c>
      <c r="G76" s="418" t="str">
        <f>'36. Generic chemical products'!G74</f>
        <v xml:space="preserve">5-hydroxy-6-(phenylazo)naphthalene-2,7-disulphonate </v>
      </c>
      <c r="H76" s="418" t="str">
        <f>'36. Generic chemical products'!H74</f>
        <v>high. pop.</v>
      </c>
      <c r="I76" s="418">
        <f>'36. Generic chemical products'!I74</f>
        <v>1E-3</v>
      </c>
      <c r="J76" s="418" t="str">
        <f>'36. Generic chemical products'!J74</f>
        <v>kg</v>
      </c>
      <c r="K76" s="418">
        <f>'36. Generic chemical products'!K74</f>
        <v>0</v>
      </c>
      <c r="L76" s="418">
        <f>'36. Generic chemical products'!L74</f>
        <v>0</v>
      </c>
      <c r="M76" s="418" t="str">
        <f>'36. Generic chemical products'!M74</f>
        <v xml:space="preserve">5-hydroxy-6-(phenylazo)naphthalene-2,7-disulphonate </v>
      </c>
      <c r="N76" s="418" t="str">
        <f>'36. Generic chemical products'!N74</f>
        <v>river</v>
      </c>
      <c r="O76" s="418">
        <f>'36. Generic chemical products'!O74</f>
        <v>5.000000000000001E-3</v>
      </c>
      <c r="P76" s="418" t="str">
        <f>'36. Generic chemical products'!P74</f>
        <v>kg</v>
      </c>
      <c r="Q76" s="418" t="str">
        <f>'36. Generic chemical products'!Q74</f>
        <v>95% on fabric</v>
      </c>
      <c r="R76" s="418">
        <f>'36. Generic chemical products'!R74</f>
        <v>0</v>
      </c>
      <c r="S76" s="418">
        <f>'36. Generic chemical products'!S74</f>
        <v>0</v>
      </c>
      <c r="T76" s="418" t="str">
        <f>'36. Generic chemical products'!T74</f>
        <v>1937-37-7</v>
      </c>
      <c r="U76" s="418">
        <f>'36. Generic chemical products'!U74</f>
        <v>1.5391655704883262E-3</v>
      </c>
      <c r="V76" s="418">
        <f>'36. Generic chemical products'!V74</f>
        <v>0</v>
      </c>
      <c r="W76" s="418">
        <f>'36. Generic chemical products'!W74</f>
        <v>2.0371944795476309E-4</v>
      </c>
      <c r="X76" s="418">
        <f>'36. Generic chemical products'!X74</f>
        <v>0</v>
      </c>
      <c r="Y76" s="418">
        <f>'36. Generic chemical products'!Y74</f>
        <v>0</v>
      </c>
      <c r="Z76" s="418">
        <f>'36. Generic chemical products'!Z74</f>
        <v>0</v>
      </c>
      <c r="AA76" s="418" t="str">
        <f>'36. Generic chemical products'!AA74</f>
        <v>USEtox</v>
      </c>
      <c r="AB76" s="401">
        <f>$C$17*I76</f>
        <v>1.65E-4</v>
      </c>
      <c r="AC76" s="362">
        <f>$C$25*O76</f>
        <v>8.2500000000000021E-4</v>
      </c>
      <c r="AD76" s="402">
        <f t="shared" si="22"/>
        <v>4.2203086369325341E-7</v>
      </c>
      <c r="AE76" s="402">
        <f t="shared" si="23"/>
        <v>0</v>
      </c>
      <c r="AF76" s="403">
        <f t="shared" si="24"/>
        <v>0</v>
      </c>
      <c r="AG76" s="403">
        <f t="shared" si="25"/>
        <v>2.5396231913057381E-7</v>
      </c>
      <c r="AH76" s="403">
        <f t="shared" si="26"/>
        <v>0</v>
      </c>
      <c r="AI76" s="403">
        <f t="shared" si="27"/>
        <v>0</v>
      </c>
      <c r="AJ76" s="403">
        <f t="shared" si="28"/>
        <v>1.680685445626796E-7</v>
      </c>
      <c r="AK76" s="403">
        <f t="shared" si="29"/>
        <v>0</v>
      </c>
      <c r="AL76" s="403">
        <f t="shared" si="30"/>
        <v>0</v>
      </c>
      <c r="AM76" s="404">
        <f t="shared" si="31"/>
        <v>4.2203086369325341E-7</v>
      </c>
      <c r="AN76" s="405">
        <f t="shared" si="32"/>
        <v>0</v>
      </c>
      <c r="AO76" s="406">
        <f t="shared" si="33"/>
        <v>0</v>
      </c>
    </row>
    <row r="77" spans="1:41" s="8" customFormat="1" ht="15" customHeight="1" x14ac:dyDescent="0.2">
      <c r="A77" s="68" t="str">
        <f>'36. Generic chemical products'!A57</f>
        <v>Detergent/wetting agent, average (Eriopon OS)</v>
      </c>
      <c r="B77" s="68" t="str">
        <f>'36. Generic chemical products'!B57</f>
        <v>2-[2-(2-butoxietoxi)etoxi]etanol</v>
      </c>
      <c r="C77" s="68">
        <f>'36. Generic chemical products'!C57</f>
        <v>0.2</v>
      </c>
      <c r="D77" s="68" t="str">
        <f>'36. Generic chemical products'!D57</f>
        <v>kg</v>
      </c>
      <c r="E77" s="68" t="str">
        <f>'36. Generic chemical products'!E57</f>
        <v>MSDS</v>
      </c>
      <c r="F77" s="68">
        <f>'36. Generic chemical products'!F57</f>
        <v>0</v>
      </c>
      <c r="G77" s="68" t="str">
        <f>'36. Generic chemical products'!G57</f>
        <v>2-[2-(2-butoxietoxi)etoxi]etanol</v>
      </c>
      <c r="H77" s="68" t="str">
        <f>'36. Generic chemical products'!H57</f>
        <v>high. pop.</v>
      </c>
      <c r="I77" s="68">
        <f>'36. Generic chemical products'!I57</f>
        <v>2.0000000000000001E-4</v>
      </c>
      <c r="J77" s="68" t="str">
        <f>'36. Generic chemical products'!J57</f>
        <v>kg</v>
      </c>
      <c r="K77" s="68">
        <f>'36. Generic chemical products'!K57</f>
        <v>0</v>
      </c>
      <c r="L77" s="68">
        <f>'36. Generic chemical products'!L57</f>
        <v>0</v>
      </c>
      <c r="M77" s="68" t="str">
        <f>'36. Generic chemical products'!M57</f>
        <v>2-[2-(2-butoxietoxi)etoxi]etanol</v>
      </c>
      <c r="N77" s="68" t="str">
        <f>'36. Generic chemical products'!N57</f>
        <v>river</v>
      </c>
      <c r="O77" s="68">
        <f>'36. Generic chemical products'!O57</f>
        <v>2.0000000000000004E-2</v>
      </c>
      <c r="P77" s="68" t="str">
        <f>'36. Generic chemical products'!P57</f>
        <v>kg</v>
      </c>
      <c r="Q77" s="68">
        <f>'36. Generic chemical products'!Q57</f>
        <v>0</v>
      </c>
      <c r="R77" s="68">
        <f>'36. Generic chemical products'!R57</f>
        <v>0</v>
      </c>
      <c r="S77" s="68">
        <f>'36. Generic chemical products'!S57</f>
        <v>0</v>
      </c>
      <c r="T77" s="68" t="str">
        <f>'36. Generic chemical products'!T57</f>
        <v>143-22-6</v>
      </c>
      <c r="U77" s="68">
        <f>'36. Generic chemical products'!U57</f>
        <v>0</v>
      </c>
      <c r="V77" s="68">
        <f>'36. Generic chemical products'!V57</f>
        <v>0</v>
      </c>
      <c r="W77" s="68">
        <f>'36. Generic chemical products'!W57</f>
        <v>0</v>
      </c>
      <c r="X77" s="68">
        <f>'36. Generic chemical products'!X57</f>
        <v>0</v>
      </c>
      <c r="Y77" s="68">
        <f>'36. Generic chemical products'!Y57</f>
        <v>1.1682046242533708</v>
      </c>
      <c r="Z77" s="68">
        <f>'36. Generic chemical products'!Z57</f>
        <v>20.47656722055984</v>
      </c>
      <c r="AA77" s="68" t="str">
        <f>'36. Generic chemical products'!AA57</f>
        <v>USEtox</v>
      </c>
      <c r="AB77" s="27">
        <f>$C$18*I77</f>
        <v>2.0000000000000003E-6</v>
      </c>
      <c r="AC77" s="29">
        <f>$C$26*O77</f>
        <v>2.0000000000000004E-4</v>
      </c>
      <c r="AD77" s="135">
        <f t="shared" si="22"/>
        <v>0</v>
      </c>
      <c r="AE77" s="135">
        <f t="shared" si="23"/>
        <v>0</v>
      </c>
      <c r="AF77" s="24">
        <f t="shared" si="24"/>
        <v>4.0976498533604761E-3</v>
      </c>
      <c r="AG77" s="24">
        <f t="shared" si="25"/>
        <v>0</v>
      </c>
      <c r="AH77" s="24">
        <f t="shared" si="26"/>
        <v>0</v>
      </c>
      <c r="AI77" s="24">
        <f t="shared" si="27"/>
        <v>2.336409248506742E-6</v>
      </c>
      <c r="AJ77" s="24">
        <f t="shared" si="28"/>
        <v>0</v>
      </c>
      <c r="AK77" s="24">
        <f t="shared" si="29"/>
        <v>0</v>
      </c>
      <c r="AL77" s="24">
        <f t="shared" si="30"/>
        <v>4.0953134441119692E-3</v>
      </c>
      <c r="AM77" s="161">
        <f t="shared" si="31"/>
        <v>0</v>
      </c>
      <c r="AN77" s="157">
        <f t="shared" si="32"/>
        <v>0</v>
      </c>
      <c r="AO77" s="162">
        <f t="shared" si="33"/>
        <v>4.0976498533604761E-3</v>
      </c>
    </row>
    <row r="78" spans="1:41" s="49" customFormat="1" ht="15" customHeight="1" x14ac:dyDescent="0.2">
      <c r="A78" s="193" t="str">
        <f>'36. Generic chemical products'!A58</f>
        <v>Detergent/wetting agent, average (Eriopon OS)</v>
      </c>
      <c r="B78" s="193" t="str">
        <f>'36. Generic chemical products'!B58</f>
        <v>Maleinsyra, bis(2-etylhexyl)ester</v>
      </c>
      <c r="C78" s="193">
        <f>'36. Generic chemical products'!C58</f>
        <v>0.1</v>
      </c>
      <c r="D78" s="193" t="str">
        <f>'36. Generic chemical products'!D58</f>
        <v>kg</v>
      </c>
      <c r="E78" s="193" t="str">
        <f>'36. Generic chemical products'!E58</f>
        <v>MSDS</v>
      </c>
      <c r="F78" s="193">
        <f>'36. Generic chemical products'!F58</f>
        <v>0</v>
      </c>
      <c r="G78" s="193" t="str">
        <f>'36. Generic chemical products'!G58</f>
        <v>Maleinsyra, bis(2-etylhexyl)ester</v>
      </c>
      <c r="H78" s="193" t="str">
        <f>'36. Generic chemical products'!H58</f>
        <v>high. pop.</v>
      </c>
      <c r="I78" s="193">
        <f>'36. Generic chemical products'!I58</f>
        <v>1E-4</v>
      </c>
      <c r="J78" s="193" t="str">
        <f>'36. Generic chemical products'!J58</f>
        <v>kg</v>
      </c>
      <c r="K78" s="193">
        <f>'36. Generic chemical products'!K58</f>
        <v>0</v>
      </c>
      <c r="L78" s="193">
        <f>'36. Generic chemical products'!L58</f>
        <v>0</v>
      </c>
      <c r="M78" s="193" t="str">
        <f>'36. Generic chemical products'!M58</f>
        <v>Maleinsyra, bis(2-etylhexyl)ester</v>
      </c>
      <c r="N78" s="193" t="str">
        <f>'36. Generic chemical products'!N58</f>
        <v>river</v>
      </c>
      <c r="O78" s="193">
        <f>'36. Generic chemical products'!O58</f>
        <v>1.0000000000000002E-2</v>
      </c>
      <c r="P78" s="193" t="str">
        <f>'36. Generic chemical products'!P58</f>
        <v>kg</v>
      </c>
      <c r="Q78" s="193">
        <f>'36. Generic chemical products'!Q58</f>
        <v>0</v>
      </c>
      <c r="R78" s="193">
        <f>'36. Generic chemical products'!R58</f>
        <v>0</v>
      </c>
      <c r="S78" s="193">
        <f>'36. Generic chemical products'!S58</f>
        <v>0</v>
      </c>
      <c r="T78" s="193" t="str">
        <f>'36. Generic chemical products'!T58</f>
        <v>142-16-5</v>
      </c>
      <c r="U78" s="193">
        <f>'36. Generic chemical products'!U58</f>
        <v>0</v>
      </c>
      <c r="V78" s="193">
        <f>'36. Generic chemical products'!V58</f>
        <v>0</v>
      </c>
      <c r="W78" s="193">
        <f>'36. Generic chemical products'!W58</f>
        <v>0</v>
      </c>
      <c r="X78" s="193">
        <f>'36. Generic chemical products'!X58</f>
        <v>0</v>
      </c>
      <c r="Y78" s="193">
        <f>'36. Generic chemical products'!Y58</f>
        <v>0.16</v>
      </c>
      <c r="Z78" s="193">
        <f>'36. Generic chemical products'!Z58</f>
        <v>16.600000000000001</v>
      </c>
      <c r="AA78" s="193" t="str">
        <f>'36. Generic chemical products'!AA58</f>
        <v>COSMEDE</v>
      </c>
      <c r="AB78" s="28">
        <f>$C$18*I78</f>
        <v>1.0000000000000002E-6</v>
      </c>
      <c r="AC78" s="146">
        <f>$C$26*O78</f>
        <v>1.0000000000000002E-4</v>
      </c>
      <c r="AD78" s="147">
        <f t="shared" si="22"/>
        <v>0</v>
      </c>
      <c r="AE78" s="147">
        <f t="shared" si="23"/>
        <v>0</v>
      </c>
      <c r="AF78" s="25">
        <f t="shared" si="24"/>
        <v>1.6601600000000004E-3</v>
      </c>
      <c r="AG78" s="25">
        <f t="shared" si="25"/>
        <v>0</v>
      </c>
      <c r="AH78" s="25">
        <f t="shared" si="26"/>
        <v>0</v>
      </c>
      <c r="AI78" s="25">
        <f t="shared" si="27"/>
        <v>1.6000000000000003E-7</v>
      </c>
      <c r="AJ78" s="25">
        <f t="shared" si="28"/>
        <v>0</v>
      </c>
      <c r="AK78" s="25">
        <f t="shared" si="29"/>
        <v>0</v>
      </c>
      <c r="AL78" s="25">
        <f t="shared" si="30"/>
        <v>1.6600000000000005E-3</v>
      </c>
      <c r="AM78" s="163">
        <f t="shared" si="31"/>
        <v>0</v>
      </c>
      <c r="AN78" s="164">
        <f t="shared" si="32"/>
        <v>0</v>
      </c>
      <c r="AO78" s="165">
        <f t="shared" si="33"/>
        <v>1.6601600000000004E-3</v>
      </c>
    </row>
    <row r="79" spans="1:41" s="8" customFormat="1" ht="15" customHeight="1" x14ac:dyDescent="0.2">
      <c r="A79" s="70" t="str">
        <f>'36. Generic chemical products'!A41</f>
        <v>Reducing agent, average</v>
      </c>
      <c r="B79" s="70" t="str">
        <f>'36. Generic chemical products'!B41</f>
        <v>Sodium dithionite</v>
      </c>
      <c r="C79" s="70">
        <f>'36. Generic chemical products'!C41</f>
        <v>0.9</v>
      </c>
      <c r="D79" s="70" t="str">
        <f>'36. Generic chemical products'!D41</f>
        <v>kg</v>
      </c>
      <c r="E79" s="70" t="str">
        <f>'36. Generic chemical products'!E41</f>
        <v>MSDS</v>
      </c>
      <c r="F79" s="70">
        <f>'36. Generic chemical products'!F41</f>
        <v>0</v>
      </c>
      <c r="G79" s="70" t="str">
        <f>'36. Generic chemical products'!G41</f>
        <v>-</v>
      </c>
      <c r="H79" s="70">
        <f>'36. Generic chemical products'!H41</f>
        <v>0</v>
      </c>
      <c r="I79" s="70">
        <f>'36. Generic chemical products'!I41</f>
        <v>0</v>
      </c>
      <c r="J79" s="70">
        <f>'36. Generic chemical products'!J41</f>
        <v>0</v>
      </c>
      <c r="K79" s="70">
        <f>'36. Generic chemical products'!K41</f>
        <v>0</v>
      </c>
      <c r="L79" s="70">
        <f>'36. Generic chemical products'!L41</f>
        <v>0</v>
      </c>
      <c r="M79" s="70" t="str">
        <f>'36. Generic chemical products'!M41</f>
        <v>Sodium dithionite</v>
      </c>
      <c r="N79" s="70" t="str">
        <f>'36. Generic chemical products'!N41</f>
        <v>river</v>
      </c>
      <c r="O79" s="70">
        <f>'36. Generic chemical products'!O41</f>
        <v>9.0000000000000011E-2</v>
      </c>
      <c r="P79" s="70" t="str">
        <f>'36. Generic chemical products'!P41</f>
        <v>kg</v>
      </c>
      <c r="Q79" s="70">
        <f>'36. Generic chemical products'!Q41</f>
        <v>0</v>
      </c>
      <c r="R79" s="70">
        <f>'36. Generic chemical products'!R41</f>
        <v>0</v>
      </c>
      <c r="S79" s="70">
        <f>'36. Generic chemical products'!S41</f>
        <v>0</v>
      </c>
      <c r="T79" s="70" t="str">
        <f>'36. Generic chemical products'!T41</f>
        <v>7775-14-6</v>
      </c>
      <c r="U79" s="70">
        <f>'36. Generic chemical products'!U41</f>
        <v>0</v>
      </c>
      <c r="V79" s="70">
        <f>'36. Generic chemical products'!V41</f>
        <v>0</v>
      </c>
      <c r="W79" s="70">
        <f>'36. Generic chemical products'!W41</f>
        <v>0</v>
      </c>
      <c r="X79" s="70">
        <f>'36. Generic chemical products'!X41</f>
        <v>0</v>
      </c>
      <c r="Y79" s="70">
        <f>'36. Generic chemical products'!Y41</f>
        <v>52.575000000000003</v>
      </c>
      <c r="Z79" s="70">
        <f>'36. Generic chemical products'!Z41</f>
        <v>125.31</v>
      </c>
      <c r="AA79" s="70" t="str">
        <f>'36. Generic chemical products'!AA41</f>
        <v>COSMEDE</v>
      </c>
      <c r="AB79" s="27">
        <f>$C$19*I79</f>
        <v>0</v>
      </c>
      <c r="AC79" s="29">
        <f>$C$27*O79</f>
        <v>9.0000000000000008E-4</v>
      </c>
      <c r="AD79" s="135">
        <f t="shared" si="22"/>
        <v>0</v>
      </c>
      <c r="AE79" s="135">
        <f t="shared" si="23"/>
        <v>0</v>
      </c>
      <c r="AF79" s="24">
        <f t="shared" si="24"/>
        <v>0.11277900000000002</v>
      </c>
      <c r="AG79" s="24">
        <f t="shared" si="25"/>
        <v>0</v>
      </c>
      <c r="AH79" s="24">
        <f t="shared" si="26"/>
        <v>0</v>
      </c>
      <c r="AI79" s="24">
        <f t="shared" si="27"/>
        <v>0</v>
      </c>
      <c r="AJ79" s="24">
        <f t="shared" si="28"/>
        <v>0</v>
      </c>
      <c r="AK79" s="24">
        <f t="shared" si="29"/>
        <v>0</v>
      </c>
      <c r="AL79" s="24">
        <f t="shared" si="30"/>
        <v>0.11277900000000002</v>
      </c>
      <c r="AM79" s="161">
        <f t="shared" si="31"/>
        <v>0</v>
      </c>
      <c r="AN79" s="157">
        <f t="shared" si="32"/>
        <v>0</v>
      </c>
      <c r="AO79" s="162">
        <f t="shared" si="33"/>
        <v>0.11277900000000002</v>
      </c>
    </row>
    <row r="80" spans="1:41" s="8" customFormat="1" ht="15" customHeight="1" x14ac:dyDescent="0.2">
      <c r="A80" s="70" t="str">
        <f>'36. Generic chemical products'!A42</f>
        <v>Reducing agent, average</v>
      </c>
      <c r="B80" s="70" t="str">
        <f>'36. Generic chemical products'!B42</f>
        <v>Sodium disulfate</v>
      </c>
      <c r="C80" s="70">
        <f>'36. Generic chemical products'!C42</f>
        <v>0.08</v>
      </c>
      <c r="D80" s="70" t="str">
        <f>'36. Generic chemical products'!D42</f>
        <v>kg</v>
      </c>
      <c r="E80" s="70" t="str">
        <f>'36. Generic chemical products'!E42</f>
        <v>MSDS</v>
      </c>
      <c r="F80" s="70">
        <f>'36. Generic chemical products'!F42</f>
        <v>0</v>
      </c>
      <c r="G80" s="70" t="str">
        <f>'36. Generic chemical products'!G42</f>
        <v>-</v>
      </c>
      <c r="H80" s="70">
        <f>'36. Generic chemical products'!H42</f>
        <v>0</v>
      </c>
      <c r="I80" s="70">
        <f>'36. Generic chemical products'!I42</f>
        <v>0</v>
      </c>
      <c r="J80" s="70">
        <f>'36. Generic chemical products'!J42</f>
        <v>0</v>
      </c>
      <c r="K80" s="70">
        <f>'36. Generic chemical products'!K42</f>
        <v>0</v>
      </c>
      <c r="L80" s="70">
        <f>'36. Generic chemical products'!L42</f>
        <v>0</v>
      </c>
      <c r="M80" s="70" t="str">
        <f>'36. Generic chemical products'!M42</f>
        <v>Sodium disulfate</v>
      </c>
      <c r="N80" s="70" t="str">
        <f>'36. Generic chemical products'!N42</f>
        <v>river</v>
      </c>
      <c r="O80" s="70">
        <f>'36. Generic chemical products'!O42</f>
        <v>8.0000000000000002E-3</v>
      </c>
      <c r="P80" s="70" t="str">
        <f>'36. Generic chemical products'!P42</f>
        <v>kg</v>
      </c>
      <c r="Q80" s="70">
        <f>'36. Generic chemical products'!Q42</f>
        <v>0</v>
      </c>
      <c r="R80" s="70">
        <f>'36. Generic chemical products'!R42</f>
        <v>0</v>
      </c>
      <c r="S80" s="70">
        <f>'36. Generic chemical products'!S42</f>
        <v>0</v>
      </c>
      <c r="T80" s="70" t="str">
        <f>'36. Generic chemical products'!T42</f>
        <v>7681-57-4</v>
      </c>
      <c r="U80" s="70">
        <f>'36. Generic chemical products'!U42</f>
        <v>0</v>
      </c>
      <c r="V80" s="70">
        <f>'36. Generic chemical products'!V42</f>
        <v>0</v>
      </c>
      <c r="W80" s="70">
        <f>'36. Generic chemical products'!W42</f>
        <v>0</v>
      </c>
      <c r="X80" s="70">
        <f>'36. Generic chemical products'!X42</f>
        <v>0</v>
      </c>
      <c r="Y80" s="70">
        <f>'36. Generic chemical products'!Y42</f>
        <v>6.0401999999999996</v>
      </c>
      <c r="Z80" s="70">
        <f>'36. Generic chemical products'!Z42</f>
        <v>126.48</v>
      </c>
      <c r="AA80" s="70" t="str">
        <f>'36. Generic chemical products'!AA42</f>
        <v>COSMEDE</v>
      </c>
      <c r="AB80" s="27">
        <f>$C$19*I80</f>
        <v>0</v>
      </c>
      <c r="AC80" s="29">
        <f>$C$27*O80</f>
        <v>8.0000000000000007E-5</v>
      </c>
      <c r="AD80" s="135">
        <f t="shared" si="22"/>
        <v>0</v>
      </c>
      <c r="AE80" s="135">
        <f t="shared" si="23"/>
        <v>0</v>
      </c>
      <c r="AF80" s="24">
        <f t="shared" si="24"/>
        <v>1.0118400000000001E-2</v>
      </c>
      <c r="AG80" s="24">
        <f t="shared" si="25"/>
        <v>0</v>
      </c>
      <c r="AH80" s="24">
        <f t="shared" si="26"/>
        <v>0</v>
      </c>
      <c r="AI80" s="24">
        <f t="shared" si="27"/>
        <v>0</v>
      </c>
      <c r="AJ80" s="24">
        <f t="shared" si="28"/>
        <v>0</v>
      </c>
      <c r="AK80" s="24">
        <f t="shared" si="29"/>
        <v>0</v>
      </c>
      <c r="AL80" s="24">
        <f t="shared" si="30"/>
        <v>1.0118400000000001E-2</v>
      </c>
      <c r="AM80" s="161">
        <f t="shared" si="31"/>
        <v>0</v>
      </c>
      <c r="AN80" s="157">
        <f t="shared" si="32"/>
        <v>0</v>
      </c>
      <c r="AO80" s="162">
        <f t="shared" si="33"/>
        <v>1.0118400000000001E-2</v>
      </c>
    </row>
    <row r="81" spans="1:41" s="8" customFormat="1" ht="15" customHeight="1" x14ac:dyDescent="0.2">
      <c r="A81" s="70" t="str">
        <f>'36. Generic chemical products'!A43</f>
        <v>Reducing agent, average</v>
      </c>
      <c r="B81" s="70" t="str">
        <f>'36. Generic chemical products'!B43</f>
        <v>Sodium carbonate (Na2CO3)</v>
      </c>
      <c r="C81" s="70">
        <f>'36. Generic chemical products'!C43</f>
        <v>0.02</v>
      </c>
      <c r="D81" s="70" t="str">
        <f>'36. Generic chemical products'!D43</f>
        <v>kg</v>
      </c>
      <c r="E81" s="70" t="str">
        <f>'36. Generic chemical products'!E43</f>
        <v>MSDS</v>
      </c>
      <c r="F81" s="70">
        <f>'36. Generic chemical products'!F43</f>
        <v>0</v>
      </c>
      <c r="G81" s="70" t="str">
        <f>'36. Generic chemical products'!G43</f>
        <v>-</v>
      </c>
      <c r="H81" s="70">
        <f>'36. Generic chemical products'!H43</f>
        <v>0</v>
      </c>
      <c r="I81" s="70">
        <f>'36. Generic chemical products'!I43</f>
        <v>0</v>
      </c>
      <c r="J81" s="70">
        <f>'36. Generic chemical products'!J43</f>
        <v>0</v>
      </c>
      <c r="K81" s="70" t="str">
        <f>'36. Generic chemical products'!K43</f>
        <v>Worst case - mist carries substance</v>
      </c>
      <c r="L81" s="70">
        <f>'36. Generic chemical products'!L43</f>
        <v>0</v>
      </c>
      <c r="M81" s="70" t="str">
        <f>'36. Generic chemical products'!M43</f>
        <v>Sodium carbonate (Na2CO3)</v>
      </c>
      <c r="N81" s="70" t="str">
        <f>'36. Generic chemical products'!N43</f>
        <v>river</v>
      </c>
      <c r="O81" s="70">
        <f>'36. Generic chemical products'!O43</f>
        <v>2E-3</v>
      </c>
      <c r="P81" s="70" t="str">
        <f>'36. Generic chemical products'!P43</f>
        <v>kg</v>
      </c>
      <c r="Q81" s="70">
        <f>'36. Generic chemical products'!Q43</f>
        <v>0</v>
      </c>
      <c r="R81" s="70">
        <f>'36. Generic chemical products'!R43</f>
        <v>0</v>
      </c>
      <c r="S81" s="70">
        <f>'36. Generic chemical products'!S43</f>
        <v>0</v>
      </c>
      <c r="T81" s="70" t="str">
        <f>'36. Generic chemical products'!T43</f>
        <v>497-19-8</v>
      </c>
      <c r="U81" s="70">
        <f>'36. Generic chemical products'!U43</f>
        <v>0</v>
      </c>
      <c r="V81" s="70">
        <f>'36. Generic chemical products'!V43</f>
        <v>0</v>
      </c>
      <c r="W81" s="70">
        <f>'36. Generic chemical products'!W43</f>
        <v>0</v>
      </c>
      <c r="X81" s="70">
        <f>'36. Generic chemical products'!X43</f>
        <v>0</v>
      </c>
      <c r="Y81" s="70">
        <f>'36. Generic chemical products'!Y43</f>
        <v>31</v>
      </c>
      <c r="Z81" s="70">
        <f>'36. Generic chemical products'!Z43</f>
        <v>73.7</v>
      </c>
      <c r="AA81" s="70" t="str">
        <f>'36. Generic chemical products'!AA43</f>
        <v>COSMEDE</v>
      </c>
      <c r="AB81" s="27">
        <f>$C$19*I81</f>
        <v>0</v>
      </c>
      <c r="AC81" s="29">
        <f>$C$27*O81</f>
        <v>2.0000000000000002E-5</v>
      </c>
      <c r="AD81" s="135">
        <f t="shared" si="22"/>
        <v>0</v>
      </c>
      <c r="AE81" s="135">
        <f t="shared" si="23"/>
        <v>0</v>
      </c>
      <c r="AF81" s="24">
        <f t="shared" si="24"/>
        <v>1.4740000000000003E-3</v>
      </c>
      <c r="AG81" s="24">
        <f t="shared" si="25"/>
        <v>0</v>
      </c>
      <c r="AH81" s="24">
        <f t="shared" si="26"/>
        <v>0</v>
      </c>
      <c r="AI81" s="24">
        <f t="shared" si="27"/>
        <v>0</v>
      </c>
      <c r="AJ81" s="24">
        <f t="shared" si="28"/>
        <v>0</v>
      </c>
      <c r="AK81" s="24">
        <f t="shared" si="29"/>
        <v>0</v>
      </c>
      <c r="AL81" s="24">
        <f t="shared" si="30"/>
        <v>1.4740000000000003E-3</v>
      </c>
      <c r="AM81" s="161">
        <f t="shared" si="31"/>
        <v>0</v>
      </c>
      <c r="AN81" s="157">
        <f t="shared" si="32"/>
        <v>0</v>
      </c>
      <c r="AO81" s="162">
        <f t="shared" si="33"/>
        <v>1.4740000000000003E-3</v>
      </c>
    </row>
    <row r="82" spans="1:41" s="49" customFormat="1" ht="15" customHeight="1" x14ac:dyDescent="0.2">
      <c r="A82" s="136" t="str">
        <f>'36. Generic chemical products'!A44</f>
        <v>Reducing agent, average</v>
      </c>
      <c r="B82" s="136" t="str">
        <f>'36. Generic chemical products'!B44</f>
        <v xml:space="preserve"> </v>
      </c>
      <c r="C82" s="136">
        <f>'36. Generic chemical products'!C44</f>
        <v>0</v>
      </c>
      <c r="D82" s="136">
        <f>'36. Generic chemical products'!D44</f>
        <v>0</v>
      </c>
      <c r="E82" s="136" t="str">
        <f>'36. Generic chemical products'!E44</f>
        <v>MSDS</v>
      </c>
      <c r="F82" s="136">
        <f>'36. Generic chemical products'!F44</f>
        <v>0</v>
      </c>
      <c r="G82" s="136" t="str">
        <f>'36. Generic chemical products'!G44</f>
        <v>-</v>
      </c>
      <c r="H82" s="136">
        <f>'36. Generic chemical products'!H44</f>
        <v>0</v>
      </c>
      <c r="I82" s="136">
        <f>'36. Generic chemical products'!I44</f>
        <v>0</v>
      </c>
      <c r="J82" s="136">
        <f>'36. Generic chemical products'!J44</f>
        <v>0</v>
      </c>
      <c r="K82" s="136" t="str">
        <f>'36. Generic chemical products'!K44</f>
        <v>Worst case - mist carries substance</v>
      </c>
      <c r="L82" s="136">
        <f>'36. Generic chemical products'!L44</f>
        <v>0</v>
      </c>
      <c r="M82" s="136" t="str">
        <f>'36. Generic chemical products'!M44</f>
        <v>Thiosulfate</v>
      </c>
      <c r="N82" s="136" t="str">
        <f>'36. Generic chemical products'!N44</f>
        <v>river</v>
      </c>
      <c r="O82" s="136">
        <f>'36. Generic chemical products'!O44</f>
        <v>9.0000000000000019E-5</v>
      </c>
      <c r="P82" s="136" t="str">
        <f>'36. Generic chemical products'!P44</f>
        <v>kg</v>
      </c>
      <c r="Q82" s="136" t="str">
        <f>'36. Generic chemical products'!Q44</f>
        <v>0.1 % of the content is degraded to common breakdown products.</v>
      </c>
      <c r="R82" s="136">
        <f>'36. Generic chemical products'!R44</f>
        <v>0</v>
      </c>
      <c r="S82" s="136">
        <f>'36. Generic chemical products'!S44</f>
        <v>0</v>
      </c>
      <c r="T82" s="136" t="str">
        <f>'36. Generic chemical products'!T44</f>
        <v>7772-98-7/10102-17-7</v>
      </c>
      <c r="U82" s="136">
        <f>'36. Generic chemical products'!U44</f>
        <v>0</v>
      </c>
      <c r="V82" s="136">
        <f>'36. Generic chemical products'!V44</f>
        <v>0</v>
      </c>
      <c r="W82" s="136">
        <f>'36. Generic chemical products'!W44</f>
        <v>0</v>
      </c>
      <c r="X82" s="136">
        <f>'36. Generic chemical products'!X44</f>
        <v>0</v>
      </c>
      <c r="Y82" s="136">
        <f>'36. Generic chemical products'!Y44</f>
        <v>13</v>
      </c>
      <c r="Z82" s="136">
        <f>'36. Generic chemical products'!Z44</f>
        <v>31.7</v>
      </c>
      <c r="AA82" s="136" t="str">
        <f>'36. Generic chemical products'!AA44</f>
        <v>COSMEDE</v>
      </c>
      <c r="AB82" s="28">
        <f>$C$19*I82</f>
        <v>0</v>
      </c>
      <c r="AC82" s="146">
        <f>$C$27*O82</f>
        <v>9.0000000000000017E-7</v>
      </c>
      <c r="AD82" s="147">
        <f>AB82*U82+AC82*W82</f>
        <v>0</v>
      </c>
      <c r="AE82" s="147">
        <f t="shared" si="23"/>
        <v>0</v>
      </c>
      <c r="AF82" s="25">
        <f t="shared" si="24"/>
        <v>2.8530000000000006E-5</v>
      </c>
      <c r="AG82" s="25">
        <f t="shared" si="25"/>
        <v>0</v>
      </c>
      <c r="AH82" s="25">
        <f t="shared" si="26"/>
        <v>0</v>
      </c>
      <c r="AI82" s="25">
        <f t="shared" si="27"/>
        <v>0</v>
      </c>
      <c r="AJ82" s="25">
        <f t="shared" si="28"/>
        <v>0</v>
      </c>
      <c r="AK82" s="25">
        <f t="shared" si="29"/>
        <v>0</v>
      </c>
      <c r="AL82" s="25">
        <f t="shared" si="30"/>
        <v>2.8530000000000006E-5</v>
      </c>
      <c r="AM82" s="163">
        <f t="shared" si="31"/>
        <v>0</v>
      </c>
      <c r="AN82" s="164">
        <f t="shared" si="32"/>
        <v>0</v>
      </c>
      <c r="AO82" s="165">
        <f t="shared" si="33"/>
        <v>2.8530000000000006E-5</v>
      </c>
    </row>
    <row r="83" spans="1:41" s="361" customFormat="1" ht="15" customHeight="1" x14ac:dyDescent="0.2">
      <c r="A83" s="196" t="str">
        <f>'36. Generic chemical products'!A32</f>
        <v>Base/Soda ash (Na2CO3), average</v>
      </c>
      <c r="B83" s="196" t="str">
        <f>'36. Generic chemical products'!B32</f>
        <v>Sodium carbonate (Na2CO3)</v>
      </c>
      <c r="C83" s="196">
        <f>'36. Generic chemical products'!C32</f>
        <v>1</v>
      </c>
      <c r="D83" s="196" t="str">
        <f>'36. Generic chemical products'!D32</f>
        <v>kg</v>
      </c>
      <c r="E83" s="196">
        <f>'36. Generic chemical products'!E32</f>
        <v>1</v>
      </c>
      <c r="F83" s="196">
        <f>'36. Generic chemical products'!F32</f>
        <v>0</v>
      </c>
      <c r="G83" s="196" t="str">
        <f>'36. Generic chemical products'!G32</f>
        <v>-</v>
      </c>
      <c r="H83" s="196">
        <f>'36. Generic chemical products'!H32</f>
        <v>0</v>
      </c>
      <c r="I83" s="196">
        <f>'36. Generic chemical products'!I32</f>
        <v>0</v>
      </c>
      <c r="J83" s="196">
        <f>'36. Generic chemical products'!J32</f>
        <v>0</v>
      </c>
      <c r="K83" s="196" t="str">
        <f>'36. Generic chemical products'!K32</f>
        <v>Worst case - mist carries substance</v>
      </c>
      <c r="L83" s="196">
        <f>'36. Generic chemical products'!L32</f>
        <v>0</v>
      </c>
      <c r="M83" s="196" t="str">
        <f>'36. Generic chemical products'!M32</f>
        <v>Sodium carbonate (Na2CO3)</v>
      </c>
      <c r="N83" s="196" t="str">
        <f>'36. Generic chemical products'!N32</f>
        <v>river</v>
      </c>
      <c r="O83" s="196">
        <f>'36. Generic chemical products'!O32</f>
        <v>0.1</v>
      </c>
      <c r="P83" s="196" t="str">
        <f>'36. Generic chemical products'!P32</f>
        <v>kg</v>
      </c>
      <c r="Q83" s="196">
        <f>'36. Generic chemical products'!Q32</f>
        <v>0</v>
      </c>
      <c r="R83" s="196">
        <f>'36. Generic chemical products'!R32</f>
        <v>0</v>
      </c>
      <c r="S83" s="196">
        <f>'36. Generic chemical products'!S32</f>
        <v>0</v>
      </c>
      <c r="T83" s="196" t="str">
        <f>'36. Generic chemical products'!T32</f>
        <v>497-19-8</v>
      </c>
      <c r="U83" s="196">
        <f>'36. Generic chemical products'!U32</f>
        <v>0</v>
      </c>
      <c r="V83" s="196">
        <f>'36. Generic chemical products'!V32</f>
        <v>0</v>
      </c>
      <c r="W83" s="196">
        <f>'36. Generic chemical products'!W32</f>
        <v>0</v>
      </c>
      <c r="X83" s="196">
        <f>'36. Generic chemical products'!X32</f>
        <v>0</v>
      </c>
      <c r="Y83" s="196">
        <f>'36. Generic chemical products'!Y32</f>
        <v>31</v>
      </c>
      <c r="Z83" s="196">
        <f>'36. Generic chemical products'!Z32</f>
        <v>73.7</v>
      </c>
      <c r="AA83" s="196" t="str">
        <f>'36. Generic chemical products'!AA32</f>
        <v>COSMEDE</v>
      </c>
      <c r="AB83" s="401">
        <f>$C$20*I83</f>
        <v>0</v>
      </c>
      <c r="AC83" s="362">
        <f>$C$28*O83</f>
        <v>1E-3</v>
      </c>
      <c r="AD83" s="402">
        <f t="shared" ref="AD83" si="34">AB83*U83+AC83*W83</f>
        <v>0</v>
      </c>
      <c r="AE83" s="402">
        <f t="shared" si="23"/>
        <v>0</v>
      </c>
      <c r="AF83" s="403">
        <f t="shared" si="24"/>
        <v>7.3700000000000002E-2</v>
      </c>
      <c r="AG83" s="403">
        <f t="shared" si="25"/>
        <v>0</v>
      </c>
      <c r="AH83" s="403">
        <f t="shared" si="26"/>
        <v>0</v>
      </c>
      <c r="AI83" s="403">
        <f t="shared" si="27"/>
        <v>0</v>
      </c>
      <c r="AJ83" s="403">
        <f t="shared" si="28"/>
        <v>0</v>
      </c>
      <c r="AK83" s="403">
        <f t="shared" si="29"/>
        <v>0</v>
      </c>
      <c r="AL83" s="403">
        <f t="shared" si="30"/>
        <v>7.3700000000000002E-2</v>
      </c>
      <c r="AM83" s="404">
        <f t="shared" si="31"/>
        <v>0</v>
      </c>
      <c r="AN83" s="405">
        <f t="shared" si="32"/>
        <v>0</v>
      </c>
      <c r="AO83" s="406">
        <f t="shared" si="33"/>
        <v>7.3700000000000002E-2</v>
      </c>
    </row>
    <row r="84" spans="1:41" s="361" customFormat="1" ht="15" customHeight="1" x14ac:dyDescent="0.2">
      <c r="A84" s="387" t="str">
        <f>'36. Generic chemical products'!A11</f>
        <v>Acid, formic acid, average</v>
      </c>
      <c r="B84" s="387" t="str">
        <f>'36. Generic chemical products'!B11</f>
        <v>Formic acid</v>
      </c>
      <c r="C84" s="387">
        <f>'36. Generic chemical products'!C11</f>
        <v>1</v>
      </c>
      <c r="D84" s="387" t="str">
        <f>'36. Generic chemical products'!D11</f>
        <v>kg</v>
      </c>
      <c r="E84" s="387">
        <f>'36. Generic chemical products'!E11</f>
        <v>1</v>
      </c>
      <c r="F84" s="387">
        <f>'36. Generic chemical products'!F11</f>
        <v>0</v>
      </c>
      <c r="G84" s="387" t="str">
        <f>'36. Generic chemical products'!G11</f>
        <v>Formic acid</v>
      </c>
      <c r="H84" s="387" t="str">
        <f>'36. Generic chemical products'!H11</f>
        <v>high. pop.</v>
      </c>
      <c r="I84" s="387">
        <f>'36. Generic chemical products'!I11</f>
        <v>1E-3</v>
      </c>
      <c r="J84" s="387" t="str">
        <f>'36. Generic chemical products'!J11</f>
        <v>kg</v>
      </c>
      <c r="K84" s="387">
        <f>'36. Generic chemical products'!K11</f>
        <v>0</v>
      </c>
      <c r="L84" s="387">
        <f>'36. Generic chemical products'!L11</f>
        <v>0</v>
      </c>
      <c r="M84" s="387" t="str">
        <f>'36. Generic chemical products'!M11</f>
        <v>Formic acid</v>
      </c>
      <c r="N84" s="387" t="str">
        <f>'36. Generic chemical products'!N11</f>
        <v>river</v>
      </c>
      <c r="O84" s="387">
        <f>'36. Generic chemical products'!O11</f>
        <v>0.1</v>
      </c>
      <c r="P84" s="387" t="str">
        <f>'36. Generic chemical products'!P11</f>
        <v>kg</v>
      </c>
      <c r="Q84" s="387">
        <f>'36. Generic chemical products'!Q11</f>
        <v>0</v>
      </c>
      <c r="R84" s="387">
        <f>'36. Generic chemical products'!R11</f>
        <v>0</v>
      </c>
      <c r="S84" s="387">
        <f>'36. Generic chemical products'!S11</f>
        <v>0</v>
      </c>
      <c r="T84" s="387" t="str">
        <f>'36. Generic chemical products'!T11</f>
        <v>64-18-6</v>
      </c>
      <c r="U84" s="387">
        <f>'36. Generic chemical products'!U11</f>
        <v>0</v>
      </c>
      <c r="V84" s="387">
        <f>'36. Generic chemical products'!V11</f>
        <v>0</v>
      </c>
      <c r="W84" s="387">
        <f>'36. Generic chemical products'!W11</f>
        <v>0</v>
      </c>
      <c r="X84" s="387">
        <f>'36. Generic chemical products'!X11</f>
        <v>0</v>
      </c>
      <c r="Y84" s="387">
        <f>'36. Generic chemical products'!Y11</f>
        <v>2.8072892978694037</v>
      </c>
      <c r="Z84" s="387">
        <f>'36. Generic chemical products'!Z11</f>
        <v>44.680467206809801</v>
      </c>
      <c r="AA84" s="387" t="str">
        <f>'36. Generic chemical products'!AA11</f>
        <v>USEtox</v>
      </c>
      <c r="AB84" s="401">
        <f>$C$21*I84</f>
        <v>5.0000000000000004E-6</v>
      </c>
      <c r="AC84" s="362">
        <f>$C$29*O84</f>
        <v>5.0000000000000001E-4</v>
      </c>
      <c r="AD84" s="402">
        <f>AB84*U84+AC84*W84</f>
        <v>0</v>
      </c>
      <c r="AE84" s="402">
        <f t="shared" si="23"/>
        <v>0</v>
      </c>
      <c r="AF84" s="403">
        <f t="shared" si="24"/>
        <v>2.2354270049894247E-2</v>
      </c>
      <c r="AG84" s="403">
        <f t="shared" si="25"/>
        <v>0</v>
      </c>
      <c r="AH84" s="403">
        <f t="shared" si="26"/>
        <v>0</v>
      </c>
      <c r="AI84" s="403">
        <f t="shared" si="27"/>
        <v>1.403644648934702E-5</v>
      </c>
      <c r="AJ84" s="403">
        <f t="shared" si="28"/>
        <v>0</v>
      </c>
      <c r="AK84" s="403">
        <f t="shared" si="29"/>
        <v>0</v>
      </c>
      <c r="AL84" s="403">
        <f t="shared" si="30"/>
        <v>2.23402336034049E-2</v>
      </c>
      <c r="AM84" s="404">
        <f t="shared" si="31"/>
        <v>0</v>
      </c>
      <c r="AN84" s="405">
        <f t="shared" si="32"/>
        <v>0</v>
      </c>
      <c r="AO84" s="406">
        <f t="shared" si="33"/>
        <v>2.2354270049894247E-2</v>
      </c>
    </row>
    <row r="85" spans="1:41" s="8" customFormat="1" ht="15" customHeight="1" x14ac:dyDescent="0.2">
      <c r="A85" s="68" t="str">
        <f>'36. Generic chemical products'!A20</f>
        <v>Softener, average (Sapamine SFC)</v>
      </c>
      <c r="B85" s="68" t="str">
        <f>'36. Generic chemical products'!B20</f>
        <v>Octadecanoic acid</v>
      </c>
      <c r="C85" s="68">
        <f>'36. Generic chemical products'!C20</f>
        <v>0.2</v>
      </c>
      <c r="D85" s="68" t="str">
        <f>'36. Generic chemical products'!D20</f>
        <v>kg</v>
      </c>
      <c r="E85" s="68" t="str">
        <f>'36. Generic chemical products'!E20</f>
        <v>MSDS</v>
      </c>
      <c r="F85" s="68">
        <f>'36. Generic chemical products'!F20</f>
        <v>0</v>
      </c>
      <c r="G85" s="68" t="str">
        <f>'36. Generic chemical products'!G20</f>
        <v>-</v>
      </c>
      <c r="H85" s="68">
        <f>'36. Generic chemical products'!H20</f>
        <v>0</v>
      </c>
      <c r="I85" s="68">
        <f>'36. Generic chemical products'!I20</f>
        <v>0</v>
      </c>
      <c r="J85" s="68">
        <f>'36. Generic chemical products'!J20</f>
        <v>0</v>
      </c>
      <c r="K85" s="68">
        <f>'36. Generic chemical products'!K20</f>
        <v>0</v>
      </c>
      <c r="L85" s="68">
        <f>'36. Generic chemical products'!L20</f>
        <v>0</v>
      </c>
      <c r="M85" s="68" t="str">
        <f>'36. Generic chemical products'!M20</f>
        <v>Octadecanoic acid</v>
      </c>
      <c r="N85" s="68" t="str">
        <f>'36. Generic chemical products'!N20</f>
        <v>river</v>
      </c>
      <c r="O85" s="68">
        <f>'36. Generic chemical products'!O20</f>
        <v>1.0000000000000002E-3</v>
      </c>
      <c r="P85" s="68" t="str">
        <f>'36. Generic chemical products'!P20</f>
        <v>kg</v>
      </c>
      <c r="Q85" s="68" t="str">
        <f>'36. Generic chemical products'!Q20</f>
        <v>95% on fabric</v>
      </c>
      <c r="R85" s="68">
        <f>'36. Generic chemical products'!R20</f>
        <v>0</v>
      </c>
      <c r="S85" s="68">
        <f>'36. Generic chemical products'!S20</f>
        <v>0</v>
      </c>
      <c r="T85" s="68" t="str">
        <f>'36. Generic chemical products'!T20</f>
        <v>57-11-4</v>
      </c>
      <c r="U85" s="68">
        <f>'36. Generic chemical products'!U20</f>
        <v>0</v>
      </c>
      <c r="V85" s="68">
        <f>'36. Generic chemical products'!V20</f>
        <v>0</v>
      </c>
      <c r="W85" s="68">
        <f>'36. Generic chemical products'!W20</f>
        <v>0</v>
      </c>
      <c r="X85" s="68">
        <f>'36. Generic chemical products'!X20</f>
        <v>0</v>
      </c>
      <c r="Y85" s="68">
        <f>'36. Generic chemical products'!Y20</f>
        <v>9.2999999999999999E-2</v>
      </c>
      <c r="Z85" s="68">
        <f>'36. Generic chemical products'!Z20</f>
        <v>33.799999999999997</v>
      </c>
      <c r="AA85" s="68" t="str">
        <f>'36. Generic chemical products'!AA20</f>
        <v>COSMEDE</v>
      </c>
      <c r="AB85" s="27">
        <f>$C$22*I85</f>
        <v>0</v>
      </c>
      <c r="AC85" s="29">
        <f>$C$30*O85</f>
        <v>1.5000000000000004E-4</v>
      </c>
      <c r="AD85" s="135">
        <f t="shared" ref="AD85:AD86" si="35">AB85*U85+AC85*W85</f>
        <v>0</v>
      </c>
      <c r="AE85" s="135">
        <f t="shared" si="23"/>
        <v>0</v>
      </c>
      <c r="AF85" s="24">
        <f t="shared" si="24"/>
        <v>5.0700000000000007E-3</v>
      </c>
      <c r="AG85" s="24">
        <f t="shared" si="25"/>
        <v>0</v>
      </c>
      <c r="AH85" s="24">
        <f t="shared" si="26"/>
        <v>0</v>
      </c>
      <c r="AI85" s="24">
        <f t="shared" si="27"/>
        <v>0</v>
      </c>
      <c r="AJ85" s="24">
        <f t="shared" si="28"/>
        <v>0</v>
      </c>
      <c r="AK85" s="24">
        <f t="shared" si="29"/>
        <v>0</v>
      </c>
      <c r="AL85" s="24">
        <f t="shared" si="30"/>
        <v>5.0700000000000007E-3</v>
      </c>
      <c r="AM85" s="161">
        <f t="shared" si="31"/>
        <v>0</v>
      </c>
      <c r="AN85" s="157">
        <f t="shared" si="32"/>
        <v>0</v>
      </c>
      <c r="AO85" s="162">
        <f t="shared" si="33"/>
        <v>5.0700000000000007E-3</v>
      </c>
    </row>
    <row r="86" spans="1:41" s="49" customFormat="1" ht="15" customHeight="1" x14ac:dyDescent="0.2">
      <c r="A86" s="193" t="str">
        <f>'36. Generic chemical products'!A21</f>
        <v>Softener, average (Sapamine SFC)</v>
      </c>
      <c r="B86" s="193" t="str">
        <f>'36. Generic chemical products'!B21</f>
        <v>Diethanolamine</v>
      </c>
      <c r="C86" s="193">
        <f>'36. Generic chemical products'!C21</f>
        <v>0.03</v>
      </c>
      <c r="D86" s="193" t="str">
        <f>'36. Generic chemical products'!D21</f>
        <v>kg</v>
      </c>
      <c r="E86" s="193" t="str">
        <f>'36. Generic chemical products'!E21</f>
        <v>MSDS</v>
      </c>
      <c r="F86" s="193">
        <f>'36. Generic chemical products'!F21</f>
        <v>0</v>
      </c>
      <c r="G86" s="193" t="str">
        <f>'36. Generic chemical products'!G21</f>
        <v>-</v>
      </c>
      <c r="H86" s="193">
        <f>'36. Generic chemical products'!H21</f>
        <v>0</v>
      </c>
      <c r="I86" s="193">
        <f>'36. Generic chemical products'!I21</f>
        <v>0</v>
      </c>
      <c r="J86" s="193">
        <f>'36. Generic chemical products'!J21</f>
        <v>0</v>
      </c>
      <c r="K86" s="193">
        <f>'36. Generic chemical products'!K21</f>
        <v>0</v>
      </c>
      <c r="L86" s="193">
        <f>'36. Generic chemical products'!L21</f>
        <v>0</v>
      </c>
      <c r="M86" s="193" t="str">
        <f>'36. Generic chemical products'!M21</f>
        <v>Diethanolamine</v>
      </c>
      <c r="N86" s="193" t="str">
        <f>'36. Generic chemical products'!N21</f>
        <v>river</v>
      </c>
      <c r="O86" s="193">
        <f>'36. Generic chemical products'!O21</f>
        <v>1.5000000000000001E-4</v>
      </c>
      <c r="P86" s="193" t="str">
        <f>'36. Generic chemical products'!P21</f>
        <v>kg</v>
      </c>
      <c r="Q86" s="193" t="str">
        <f>'36. Generic chemical products'!Q21</f>
        <v>95% on fabric</v>
      </c>
      <c r="R86" s="193">
        <f>'36. Generic chemical products'!R21</f>
        <v>0</v>
      </c>
      <c r="S86" s="193">
        <f>'36. Generic chemical products'!S21</f>
        <v>0</v>
      </c>
      <c r="T86" s="193" t="str">
        <f>'36. Generic chemical products'!T21</f>
        <v>111-42-2</v>
      </c>
      <c r="U86" s="193">
        <f>'36. Generic chemical products'!U21</f>
        <v>0</v>
      </c>
      <c r="V86" s="193">
        <f>'36. Generic chemical products'!V21</f>
        <v>0</v>
      </c>
      <c r="W86" s="193">
        <f>'36. Generic chemical products'!W21</f>
        <v>0</v>
      </c>
      <c r="X86" s="193">
        <f>'36. Generic chemical products'!X21</f>
        <v>0</v>
      </c>
      <c r="Y86" s="193">
        <f>'36. Generic chemical products'!Y21</f>
        <v>0.92690099117499369</v>
      </c>
      <c r="Z86" s="193">
        <f>'36. Generic chemical products'!Z21</f>
        <v>47.139947928233759</v>
      </c>
      <c r="AA86" s="193" t="str">
        <f>'36. Generic chemical products'!AA21</f>
        <v>USEtox</v>
      </c>
      <c r="AB86" s="28">
        <f>$C$22*I86</f>
        <v>0</v>
      </c>
      <c r="AC86" s="146">
        <f>$C$30*O86</f>
        <v>2.2500000000000001E-5</v>
      </c>
      <c r="AD86" s="147">
        <f t="shared" si="35"/>
        <v>0</v>
      </c>
      <c r="AE86" s="147">
        <f t="shared" si="23"/>
        <v>0</v>
      </c>
      <c r="AF86" s="25">
        <f t="shared" si="24"/>
        <v>1.0606488283852597E-3</v>
      </c>
      <c r="AG86" s="25">
        <f t="shared" si="25"/>
        <v>0</v>
      </c>
      <c r="AH86" s="25">
        <f t="shared" si="26"/>
        <v>0</v>
      </c>
      <c r="AI86" s="25">
        <f t="shared" si="27"/>
        <v>0</v>
      </c>
      <c r="AJ86" s="25">
        <f t="shared" si="28"/>
        <v>0</v>
      </c>
      <c r="AK86" s="25">
        <f t="shared" si="29"/>
        <v>0</v>
      </c>
      <c r="AL86" s="25">
        <f t="shared" si="30"/>
        <v>1.0606488283852597E-3</v>
      </c>
      <c r="AM86" s="163">
        <f t="shared" si="31"/>
        <v>0</v>
      </c>
      <c r="AN86" s="164">
        <f t="shared" si="32"/>
        <v>0</v>
      </c>
      <c r="AO86" s="165">
        <f t="shared" si="33"/>
        <v>1.0606488283852597E-3</v>
      </c>
    </row>
    <row r="87" spans="1:41" s="8" customFormat="1" ht="15" customHeight="1" x14ac:dyDescent="0.2">
      <c r="A87" s="34"/>
      <c r="B87" s="54"/>
      <c r="C87" s="74"/>
      <c r="D87" s="51"/>
      <c r="E87" s="64"/>
      <c r="F87" s="51"/>
      <c r="G87" s="51"/>
      <c r="H87" s="69"/>
      <c r="I87" s="51"/>
      <c r="J87" s="51"/>
      <c r="K87" s="51"/>
      <c r="L87" s="51"/>
      <c r="M87" s="69"/>
      <c r="N87" s="51"/>
      <c r="O87" s="51"/>
      <c r="P87" s="54"/>
      <c r="Q87" s="115"/>
      <c r="R87" s="115"/>
      <c r="S87" s="115"/>
      <c r="T87" s="115"/>
      <c r="U87" s="115"/>
      <c r="V87" s="115"/>
      <c r="W87" s="125"/>
      <c r="X87" s="203"/>
      <c r="Y87" s="204"/>
      <c r="Z87" s="205"/>
      <c r="AA87" s="205"/>
      <c r="AB87" s="203"/>
      <c r="AC87" s="203"/>
      <c r="AD87" s="177">
        <f>SUM(AD70:AD86)</f>
        <v>4.2203086369325341E-7</v>
      </c>
      <c r="AE87" s="177">
        <f t="shared" ref="AE87:AH87" si="36">SUM(AE70:AE86)</f>
        <v>3.0807129185250625E-10</v>
      </c>
      <c r="AF87" s="177">
        <f t="shared" si="36"/>
        <v>253.25148183438236</v>
      </c>
      <c r="AG87" s="177">
        <f t="shared" si="36"/>
        <v>2.5396231913057381E-7</v>
      </c>
      <c r="AH87" s="177">
        <f t="shared" si="36"/>
        <v>5.8462417616873691E-13</v>
      </c>
      <c r="AI87" s="177">
        <f>SUM(AI70:AI86)</f>
        <v>5.1654757335301615E-2</v>
      </c>
      <c r="AJ87" s="177">
        <f t="shared" ref="AJ87:AK87" si="37">SUM(AJ70:AJ86)</f>
        <v>1.680685445626796E-7</v>
      </c>
      <c r="AK87" s="177">
        <f t="shared" si="37"/>
        <v>3.0748666767633752E-10</v>
      </c>
      <c r="AL87" s="177">
        <f>SUM(AL70:AL86)</f>
        <v>253.19982707704705</v>
      </c>
    </row>
    <row r="88" spans="1:41" x14ac:dyDescent="0.2">
      <c r="AC88" s="366" t="s">
        <v>1040</v>
      </c>
      <c r="AD88" s="367">
        <f>AD87</f>
        <v>4.2203086369325341E-7</v>
      </c>
    </row>
    <row r="93" spans="1:41" x14ac:dyDescent="0.2">
      <c r="A93" s="35" t="s">
        <v>687</v>
      </c>
    </row>
    <row r="94" spans="1:41" x14ac:dyDescent="0.2">
      <c r="A94" s="244" t="s">
        <v>1102</v>
      </c>
    </row>
    <row r="95" spans="1:41" x14ac:dyDescent="0.2">
      <c r="A95" s="244" t="s">
        <v>1103</v>
      </c>
    </row>
    <row r="96" spans="1:41" x14ac:dyDescent="0.2">
      <c r="A96" t="s">
        <v>1068</v>
      </c>
    </row>
    <row r="97" spans="1:1" x14ac:dyDescent="0.2">
      <c r="A97" s="244" t="s">
        <v>1083</v>
      </c>
    </row>
    <row r="98" spans="1:1" x14ac:dyDescent="0.2">
      <c r="A98" s="244" t="s">
        <v>1104</v>
      </c>
    </row>
    <row r="99" spans="1:1" x14ac:dyDescent="0.2">
      <c r="A99" s="244" t="s">
        <v>1087</v>
      </c>
    </row>
    <row r="100" spans="1:1" x14ac:dyDescent="0.2">
      <c r="A100" s="244" t="s">
        <v>1105</v>
      </c>
    </row>
    <row r="101" spans="1:1" x14ac:dyDescent="0.2">
      <c r="A101" s="244" t="s">
        <v>1106</v>
      </c>
    </row>
    <row r="102" spans="1:1" x14ac:dyDescent="0.2">
      <c r="A102" s="244" t="s">
        <v>1097</v>
      </c>
    </row>
    <row r="103" spans="1:1" x14ac:dyDescent="0.2">
      <c r="A103" s="244" t="s">
        <v>1162</v>
      </c>
    </row>
    <row r="104" spans="1:1" x14ac:dyDescent="0.2">
      <c r="A104" s="244" t="s">
        <v>1091</v>
      </c>
    </row>
    <row r="105" spans="1:1" x14ac:dyDescent="0.2">
      <c r="A105" s="244" t="s">
        <v>1107</v>
      </c>
    </row>
    <row r="106" spans="1:1" x14ac:dyDescent="0.2">
      <c r="A106" t="s">
        <v>1098</v>
      </c>
    </row>
    <row r="107" spans="1:1" x14ac:dyDescent="0.2">
      <c r="A107" s="244" t="s">
        <v>1099</v>
      </c>
    </row>
    <row r="108" spans="1:1" x14ac:dyDescent="0.2">
      <c r="A108" s="244" t="s">
        <v>1070</v>
      </c>
    </row>
    <row r="109" spans="1:1" x14ac:dyDescent="0.2">
      <c r="A109" s="244" t="s">
        <v>1096</v>
      </c>
    </row>
    <row r="110" spans="1:1" x14ac:dyDescent="0.2">
      <c r="A110" s="244" t="s">
        <v>1108</v>
      </c>
    </row>
    <row r="111" spans="1:1" x14ac:dyDescent="0.2">
      <c r="A111" s="244" t="s">
        <v>1109</v>
      </c>
    </row>
    <row r="112" spans="1:1" x14ac:dyDescent="0.2">
      <c r="A112" s="244" t="s">
        <v>1072</v>
      </c>
    </row>
    <row r="113" spans="1:1" x14ac:dyDescent="0.2">
      <c r="A113" s="244" t="s">
        <v>1100</v>
      </c>
    </row>
    <row r="114" spans="1:1" x14ac:dyDescent="0.2">
      <c r="A114" s="244" t="s">
        <v>1101</v>
      </c>
    </row>
  </sheetData>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O115"/>
  <sheetViews>
    <sheetView zoomScale="60" zoomScaleNormal="60" workbookViewId="0"/>
  </sheetViews>
  <sheetFormatPr defaultRowHeight="12.75" x14ac:dyDescent="0.2"/>
  <cols>
    <col min="1" max="1" width="56.85546875" style="34" customWidth="1"/>
    <col min="2" max="2" width="28.7109375" style="34" customWidth="1"/>
    <col min="3" max="3" width="14.7109375" style="34" customWidth="1"/>
    <col min="4" max="4" width="9.140625" style="34" customWidth="1"/>
    <col min="5" max="5" width="38.140625" style="34" customWidth="1"/>
    <col min="6" max="6" width="9.140625" style="34" customWidth="1"/>
    <col min="7" max="7" width="62" style="34" customWidth="1"/>
    <col min="8" max="8" width="28" style="34" customWidth="1"/>
    <col min="9" max="10" width="9.140625" style="34" customWidth="1"/>
    <col min="11" max="11" width="22.85546875" style="34" customWidth="1"/>
    <col min="12" max="12" width="9.140625" style="34" customWidth="1"/>
    <col min="13" max="13" width="62" style="34" customWidth="1"/>
    <col min="14" max="14" width="18.85546875" style="34" customWidth="1"/>
    <col min="15" max="15" width="9.5703125" style="34" customWidth="1"/>
    <col min="16" max="16" width="10" style="34" customWidth="1"/>
    <col min="17" max="17" width="38.140625" style="34" customWidth="1"/>
    <col min="18" max="18" width="20.140625" style="34" customWidth="1"/>
    <col min="19" max="19" width="42.85546875" style="34" customWidth="1"/>
    <col min="20" max="24" width="16.28515625" style="34" customWidth="1"/>
    <col min="25" max="25" width="15.42578125" style="40" customWidth="1"/>
    <col min="26" max="27" width="9.140625" style="40" customWidth="1"/>
    <col min="28" max="28" width="9.140625" style="40"/>
    <col min="29" max="29" width="13.42578125" style="40" bestFit="1" customWidth="1"/>
    <col min="30" max="30" width="15.7109375" style="40" bestFit="1" customWidth="1"/>
    <col min="31" max="31" width="11" style="40" customWidth="1"/>
    <col min="32" max="32" width="13.5703125" style="40" customWidth="1"/>
    <col min="33" max="33" width="9.85546875" style="40" bestFit="1" customWidth="1"/>
    <col min="34" max="37" width="9.140625" style="40"/>
    <col min="38" max="16384" width="9.140625" style="34"/>
  </cols>
  <sheetData>
    <row r="1" spans="1:37" ht="16.5" thickBot="1" x14ac:dyDescent="0.3">
      <c r="A1" s="82" t="s">
        <v>581</v>
      </c>
      <c r="B1" s="83"/>
      <c r="C1" s="83" t="s">
        <v>217</v>
      </c>
      <c r="D1" s="83" t="s">
        <v>11</v>
      </c>
      <c r="E1" s="84" t="s">
        <v>180</v>
      </c>
      <c r="G1" s="92" t="s">
        <v>772</v>
      </c>
      <c r="H1" s="93"/>
      <c r="I1" s="93" t="s">
        <v>217</v>
      </c>
      <c r="J1" s="93" t="s">
        <v>11</v>
      </c>
      <c r="K1" s="94" t="s">
        <v>180</v>
      </c>
      <c r="M1" s="95" t="s">
        <v>773</v>
      </c>
      <c r="N1" s="96"/>
      <c r="O1" s="97" t="s">
        <v>217</v>
      </c>
      <c r="P1" s="97" t="s">
        <v>11</v>
      </c>
      <c r="Q1" s="98" t="s">
        <v>180</v>
      </c>
      <c r="S1" s="44" t="s">
        <v>774</v>
      </c>
      <c r="T1" s="45"/>
      <c r="U1" s="45" t="s">
        <v>217</v>
      </c>
      <c r="V1" s="45" t="s">
        <v>11</v>
      </c>
      <c r="W1" s="46" t="s">
        <v>180</v>
      </c>
      <c r="Y1" s="41" t="s">
        <v>775</v>
      </c>
      <c r="Z1" s="42"/>
      <c r="AA1" s="42" t="s">
        <v>217</v>
      </c>
      <c r="AB1" s="42" t="s">
        <v>11</v>
      </c>
      <c r="AC1" s="43" t="s">
        <v>180</v>
      </c>
      <c r="AF1" s="48" t="s">
        <v>710</v>
      </c>
      <c r="AJ1" s="34"/>
      <c r="AK1" s="34"/>
    </row>
    <row r="2" spans="1:37" x14ac:dyDescent="0.2">
      <c r="A2" s="85" t="s">
        <v>218</v>
      </c>
      <c r="B2" s="86"/>
      <c r="C2" s="86"/>
      <c r="D2" s="86"/>
      <c r="E2" s="87"/>
      <c r="G2" s="85" t="s">
        <v>218</v>
      </c>
      <c r="H2" s="86"/>
      <c r="I2" s="86"/>
      <c r="J2" s="86"/>
      <c r="K2" s="87"/>
      <c r="M2" s="85" t="s">
        <v>218</v>
      </c>
      <c r="N2" s="86"/>
      <c r="O2" s="86"/>
      <c r="P2" s="86"/>
      <c r="Q2" s="87"/>
      <c r="S2" s="85" t="s">
        <v>218</v>
      </c>
      <c r="T2" s="86"/>
      <c r="U2" s="86"/>
      <c r="V2" s="86"/>
      <c r="W2" s="87"/>
      <c r="Y2" s="85" t="s">
        <v>218</v>
      </c>
      <c r="Z2" s="86"/>
      <c r="AA2" s="86"/>
      <c r="AB2" s="86"/>
      <c r="AC2" s="87"/>
      <c r="AF2" s="34" t="s">
        <v>939</v>
      </c>
      <c r="AG2" s="40" t="s">
        <v>709</v>
      </c>
      <c r="AI2" s="34"/>
      <c r="AJ2" s="34"/>
      <c r="AK2" s="34"/>
    </row>
    <row r="3" spans="1:37" x14ac:dyDescent="0.2">
      <c r="A3" s="88" t="s">
        <v>776</v>
      </c>
      <c r="B3" s="89"/>
      <c r="C3" s="89">
        <v>1</v>
      </c>
      <c r="D3" s="89" t="s">
        <v>2</v>
      </c>
      <c r="E3" s="90"/>
      <c r="G3" s="88" t="s">
        <v>776</v>
      </c>
      <c r="H3" s="89"/>
      <c r="I3" s="89">
        <v>1</v>
      </c>
      <c r="J3" s="89" t="s">
        <v>2</v>
      </c>
      <c r="K3" s="90"/>
      <c r="M3" s="88" t="s">
        <v>776</v>
      </c>
      <c r="N3" s="89"/>
      <c r="O3" s="89">
        <v>1</v>
      </c>
      <c r="P3" s="89" t="s">
        <v>2</v>
      </c>
      <c r="Q3" s="90"/>
      <c r="S3" s="88" t="s">
        <v>776</v>
      </c>
      <c r="T3" s="89"/>
      <c r="U3" s="89">
        <v>1</v>
      </c>
      <c r="V3" s="89" t="s">
        <v>2</v>
      </c>
      <c r="W3" s="90"/>
      <c r="Y3" s="88" t="s">
        <v>776</v>
      </c>
      <c r="Z3" s="89"/>
      <c r="AA3" s="89">
        <v>1</v>
      </c>
      <c r="AB3" s="89" t="s">
        <v>2</v>
      </c>
      <c r="AC3" s="90"/>
      <c r="AE3" s="40" t="s">
        <v>260</v>
      </c>
      <c r="AF3" s="227">
        <v>17.5850092316842</v>
      </c>
      <c r="AJ3" s="34"/>
      <c r="AK3" s="34"/>
    </row>
    <row r="4" spans="1:37" s="35" customFormat="1" x14ac:dyDescent="0.2">
      <c r="A4" s="85" t="s">
        <v>183</v>
      </c>
      <c r="B4" s="86"/>
      <c r="C4" s="86"/>
      <c r="D4" s="86"/>
      <c r="E4" s="87"/>
      <c r="G4" s="85" t="s">
        <v>183</v>
      </c>
      <c r="H4" s="86"/>
      <c r="I4" s="86"/>
      <c r="J4" s="86"/>
      <c r="K4" s="87"/>
      <c r="M4" s="85" t="s">
        <v>183</v>
      </c>
      <c r="N4" s="86"/>
      <c r="O4" s="86"/>
      <c r="P4" s="86"/>
      <c r="Q4" s="87"/>
      <c r="S4" s="85" t="s">
        <v>183</v>
      </c>
      <c r="T4" s="86"/>
      <c r="U4" s="86"/>
      <c r="V4" s="86"/>
      <c r="W4" s="87"/>
      <c r="Y4" s="85" t="s">
        <v>183</v>
      </c>
      <c r="Z4" s="86"/>
      <c r="AA4" s="86"/>
      <c r="AB4" s="86"/>
      <c r="AC4" s="87"/>
      <c r="AD4" s="99"/>
      <c r="AE4" s="40" t="s">
        <v>261</v>
      </c>
      <c r="AF4" s="226">
        <v>7.0354670350619697E-4</v>
      </c>
      <c r="AG4" s="99"/>
      <c r="AH4" s="99"/>
      <c r="AI4" s="99"/>
    </row>
    <row r="5" spans="1:37" x14ac:dyDescent="0.2">
      <c r="A5" s="88" t="s">
        <v>184</v>
      </c>
      <c r="B5" s="89"/>
      <c r="C5" s="89">
        <v>8.7999999999999995E-2</v>
      </c>
      <c r="D5" s="89" t="s">
        <v>185</v>
      </c>
      <c r="E5" s="90" t="s">
        <v>1276</v>
      </c>
      <c r="F5" s="34" t="s">
        <v>179</v>
      </c>
      <c r="G5" s="88" t="s">
        <v>184</v>
      </c>
      <c r="H5" s="89"/>
      <c r="I5" s="89">
        <f>0.088/5*3</f>
        <v>5.2799999999999993E-2</v>
      </c>
      <c r="J5" s="89" t="s">
        <v>185</v>
      </c>
      <c r="K5" s="90" t="s">
        <v>1277</v>
      </c>
      <c r="M5" s="88" t="s">
        <v>184</v>
      </c>
      <c r="N5" s="89"/>
      <c r="O5" s="89">
        <f>0.088*2</f>
        <v>0.17599999999999999</v>
      </c>
      <c r="P5" s="89" t="s">
        <v>185</v>
      </c>
      <c r="Q5" s="90" t="s">
        <v>1275</v>
      </c>
      <c r="S5" s="88" t="s">
        <v>184</v>
      </c>
      <c r="T5" s="89"/>
      <c r="U5" s="89">
        <v>8.7999999999999995E-2</v>
      </c>
      <c r="V5" s="89" t="s">
        <v>185</v>
      </c>
      <c r="W5" s="90" t="s">
        <v>1276</v>
      </c>
      <c r="Y5" s="88" t="s">
        <v>184</v>
      </c>
      <c r="Z5" s="89"/>
      <c r="AA5" s="89">
        <v>8.7999999999999995E-2</v>
      </c>
      <c r="AB5" s="89" t="s">
        <v>185</v>
      </c>
      <c r="AC5" s="90" t="s">
        <v>1276</v>
      </c>
      <c r="AE5" s="40" t="s">
        <v>262</v>
      </c>
      <c r="AF5" s="227">
        <v>1.2602998663124801E-2</v>
      </c>
      <c r="AJ5" s="34"/>
      <c r="AK5" s="34"/>
    </row>
    <row r="6" spans="1:37" s="35" customFormat="1" x14ac:dyDescent="0.2">
      <c r="A6" s="85" t="s">
        <v>187</v>
      </c>
      <c r="B6" s="86"/>
      <c r="C6" s="86"/>
      <c r="D6" s="86"/>
      <c r="E6" s="87"/>
      <c r="G6" s="85" t="s">
        <v>187</v>
      </c>
      <c r="H6" s="86"/>
      <c r="I6" s="86"/>
      <c r="J6" s="86"/>
      <c r="K6" s="87"/>
      <c r="M6" s="85" t="s">
        <v>187</v>
      </c>
      <c r="N6" s="86"/>
      <c r="O6" s="86"/>
      <c r="P6" s="86"/>
      <c r="Q6" s="87"/>
      <c r="S6" s="85" t="s">
        <v>187</v>
      </c>
      <c r="T6" s="86"/>
      <c r="U6" s="86"/>
      <c r="V6" s="86"/>
      <c r="W6" s="87"/>
      <c r="Y6" s="85" t="s">
        <v>187</v>
      </c>
      <c r="Z6" s="86"/>
      <c r="AA6" s="86"/>
      <c r="AB6" s="86"/>
      <c r="AC6" s="87"/>
      <c r="AD6" s="99"/>
      <c r="AE6" s="40" t="s">
        <v>263</v>
      </c>
      <c r="AF6" s="226">
        <v>4.46577214264235E-3</v>
      </c>
      <c r="AG6" s="99"/>
      <c r="AH6" s="99"/>
      <c r="AI6" s="99"/>
    </row>
    <row r="7" spans="1:37" ht="15" x14ac:dyDescent="0.2">
      <c r="A7" s="88" t="s">
        <v>45</v>
      </c>
      <c r="B7" s="89"/>
      <c r="C7" s="89">
        <v>0.1</v>
      </c>
      <c r="D7" s="89" t="s">
        <v>2</v>
      </c>
      <c r="E7" s="90" t="s">
        <v>179</v>
      </c>
      <c r="F7" s="34" t="s">
        <v>179</v>
      </c>
      <c r="G7" s="88" t="s">
        <v>45</v>
      </c>
      <c r="H7" s="89"/>
      <c r="I7" s="89">
        <v>0.1</v>
      </c>
      <c r="J7" s="89" t="s">
        <v>2</v>
      </c>
      <c r="K7" s="90" t="s">
        <v>179</v>
      </c>
      <c r="M7" s="88" t="s">
        <v>45</v>
      </c>
      <c r="N7" s="89"/>
      <c r="O7" s="89">
        <v>0.1</v>
      </c>
      <c r="P7" s="89" t="s">
        <v>2</v>
      </c>
      <c r="Q7" s="90" t="s">
        <v>179</v>
      </c>
      <c r="S7" s="88" t="s">
        <v>152</v>
      </c>
      <c r="T7" s="89"/>
      <c r="U7" s="89">
        <v>0.1</v>
      </c>
      <c r="V7" s="89" t="s">
        <v>2</v>
      </c>
      <c r="W7" s="90" t="s">
        <v>179</v>
      </c>
      <c r="Y7" s="88" t="s">
        <v>1136</v>
      </c>
      <c r="Z7" s="89"/>
      <c r="AA7" s="89">
        <v>0.1</v>
      </c>
      <c r="AB7" s="89" t="s">
        <v>2</v>
      </c>
      <c r="AC7" s="90" t="s">
        <v>179</v>
      </c>
      <c r="AE7" s="40" t="s">
        <v>675</v>
      </c>
      <c r="AF7" s="227">
        <v>14.2683955624004</v>
      </c>
      <c r="AJ7" s="34"/>
      <c r="AK7" s="34"/>
    </row>
    <row r="8" spans="1:37" x14ac:dyDescent="0.2">
      <c r="A8" s="88" t="s">
        <v>88</v>
      </c>
      <c r="B8" s="89"/>
      <c r="C8" s="89">
        <v>0.04</v>
      </c>
      <c r="D8" s="89" t="s">
        <v>2</v>
      </c>
      <c r="E8" s="90" t="s">
        <v>179</v>
      </c>
      <c r="F8" s="34" t="s">
        <v>179</v>
      </c>
      <c r="G8" s="88" t="s">
        <v>88</v>
      </c>
      <c r="H8" s="89"/>
      <c r="I8" s="89">
        <v>0.04</v>
      </c>
      <c r="J8" s="89" t="s">
        <v>2</v>
      </c>
      <c r="K8" s="90" t="s">
        <v>179</v>
      </c>
      <c r="M8" s="88" t="s">
        <v>88</v>
      </c>
      <c r="N8" s="89"/>
      <c r="O8" s="89">
        <v>0.04</v>
      </c>
      <c r="P8" s="89" t="s">
        <v>2</v>
      </c>
      <c r="Q8" s="90" t="s">
        <v>179</v>
      </c>
      <c r="S8" s="88" t="s">
        <v>1256</v>
      </c>
      <c r="T8" s="89"/>
      <c r="U8" s="89">
        <v>0.04</v>
      </c>
      <c r="V8" s="89" t="s">
        <v>2</v>
      </c>
      <c r="W8" s="90" t="s">
        <v>179</v>
      </c>
      <c r="Y8" s="88" t="s">
        <v>1174</v>
      </c>
      <c r="Z8" s="89"/>
      <c r="AA8" s="89">
        <v>0.04</v>
      </c>
      <c r="AB8" s="89" t="s">
        <v>2</v>
      </c>
      <c r="AC8" s="90" t="s">
        <v>179</v>
      </c>
      <c r="AE8" s="40" t="s">
        <v>264</v>
      </c>
      <c r="AF8" s="227">
        <v>1.6839807396031901</v>
      </c>
      <c r="AJ8" s="34"/>
      <c r="AK8" s="34"/>
    </row>
    <row r="9" spans="1:37" x14ac:dyDescent="0.2">
      <c r="A9" s="88" t="s">
        <v>49</v>
      </c>
      <c r="B9" s="89"/>
      <c r="C9" s="89">
        <v>3.0000000000000001E-3</v>
      </c>
      <c r="D9" s="89" t="s">
        <v>2</v>
      </c>
      <c r="E9" s="90" t="s">
        <v>179</v>
      </c>
      <c r="F9" s="34" t="s">
        <v>179</v>
      </c>
      <c r="G9" s="88" t="s">
        <v>49</v>
      </c>
      <c r="H9" s="89"/>
      <c r="I9" s="89">
        <v>3.0000000000000001E-3</v>
      </c>
      <c r="J9" s="89" t="s">
        <v>2</v>
      </c>
      <c r="K9" s="90" t="s">
        <v>179</v>
      </c>
      <c r="M9" s="88" t="s">
        <v>49</v>
      </c>
      <c r="N9" s="89"/>
      <c r="O9" s="89">
        <v>3.0000000000000001E-3</v>
      </c>
      <c r="P9" s="89" t="s">
        <v>2</v>
      </c>
      <c r="Q9" s="90" t="s">
        <v>179</v>
      </c>
      <c r="S9" s="88" t="s">
        <v>1185</v>
      </c>
      <c r="T9" s="89"/>
      <c r="U9" s="89">
        <v>3.0000000000000001E-3</v>
      </c>
      <c r="V9" s="89" t="s">
        <v>2</v>
      </c>
      <c r="W9" s="90" t="s">
        <v>179</v>
      </c>
      <c r="Y9" s="88" t="s">
        <v>1211</v>
      </c>
      <c r="Z9" s="89"/>
      <c r="AA9" s="89">
        <v>3.0000000000000001E-3</v>
      </c>
      <c r="AB9" s="89" t="s">
        <v>2</v>
      </c>
      <c r="AC9" s="90" t="s">
        <v>179</v>
      </c>
      <c r="AE9" s="40" t="s">
        <v>266</v>
      </c>
      <c r="AF9" s="227">
        <v>5.0952920668894305E-7</v>
      </c>
      <c r="AG9" s="191">
        <f>AE90</f>
        <v>5.0222379316071194E-8</v>
      </c>
      <c r="AJ9" s="34"/>
      <c r="AK9" s="34"/>
    </row>
    <row r="10" spans="1:37" x14ac:dyDescent="0.2">
      <c r="A10" s="88" t="s">
        <v>47</v>
      </c>
      <c r="B10" s="89"/>
      <c r="C10" s="89">
        <v>0.01</v>
      </c>
      <c r="D10" s="89" t="s">
        <v>2</v>
      </c>
      <c r="E10" s="90"/>
      <c r="F10" s="34" t="s">
        <v>179</v>
      </c>
      <c r="G10" s="88" t="s">
        <v>47</v>
      </c>
      <c r="H10" s="89"/>
      <c r="I10" s="89">
        <v>0.01</v>
      </c>
      <c r="J10" s="89" t="s">
        <v>2</v>
      </c>
      <c r="K10" s="90"/>
      <c r="M10" s="88" t="s">
        <v>47</v>
      </c>
      <c r="N10" s="89"/>
      <c r="O10" s="89">
        <v>0.01</v>
      </c>
      <c r="P10" s="89" t="s">
        <v>2</v>
      </c>
      <c r="Q10" s="90"/>
      <c r="S10" s="88" t="s">
        <v>1113</v>
      </c>
      <c r="T10" s="89"/>
      <c r="U10" s="89">
        <v>0.01</v>
      </c>
      <c r="V10" s="89" t="s">
        <v>2</v>
      </c>
      <c r="W10" s="90"/>
      <c r="Y10" s="88" t="s">
        <v>1139</v>
      </c>
      <c r="Z10" s="89"/>
      <c r="AA10" s="89">
        <v>0.01</v>
      </c>
      <c r="AB10" s="89" t="s">
        <v>2</v>
      </c>
      <c r="AC10" s="90"/>
      <c r="AE10" s="40" t="s">
        <v>267</v>
      </c>
      <c r="AF10" s="227">
        <v>9.4336789919774901E-8</v>
      </c>
      <c r="AG10" s="191">
        <f>AD90</f>
        <v>3.6136421952963627E-8</v>
      </c>
      <c r="AJ10" s="34"/>
      <c r="AK10" s="34"/>
    </row>
    <row r="11" spans="1:37" x14ac:dyDescent="0.2">
      <c r="A11" s="88" t="s">
        <v>142</v>
      </c>
      <c r="B11" s="89"/>
      <c r="C11" s="89">
        <v>0.05</v>
      </c>
      <c r="D11" s="89" t="s">
        <v>2</v>
      </c>
      <c r="E11" s="90" t="s">
        <v>179</v>
      </c>
      <c r="F11" s="34" t="s">
        <v>179</v>
      </c>
      <c r="G11" s="88" t="s">
        <v>142</v>
      </c>
      <c r="H11" s="89"/>
      <c r="I11" s="89">
        <v>0.05</v>
      </c>
      <c r="J11" s="89" t="s">
        <v>2</v>
      </c>
      <c r="K11" s="90" t="s">
        <v>179</v>
      </c>
      <c r="M11" s="88" t="s">
        <v>142</v>
      </c>
      <c r="N11" s="89"/>
      <c r="O11" s="89">
        <v>0.05</v>
      </c>
      <c r="P11" s="89" t="s">
        <v>2</v>
      </c>
      <c r="Q11" s="90" t="s">
        <v>179</v>
      </c>
      <c r="S11" s="88" t="s">
        <v>1111</v>
      </c>
      <c r="T11" s="89"/>
      <c r="U11" s="89">
        <v>0.05</v>
      </c>
      <c r="V11" s="89" t="s">
        <v>2</v>
      </c>
      <c r="W11" s="90" t="s">
        <v>179</v>
      </c>
      <c r="Y11" s="88" t="s">
        <v>1137</v>
      </c>
      <c r="Z11" s="89"/>
      <c r="AA11" s="89">
        <v>0.05</v>
      </c>
      <c r="AB11" s="89" t="s">
        <v>2</v>
      </c>
      <c r="AC11" s="90"/>
      <c r="AE11" s="40" t="s">
        <v>268</v>
      </c>
      <c r="AF11" s="227">
        <v>12.970796237175399</v>
      </c>
      <c r="AG11" s="191">
        <f>AF90</f>
        <v>471.13375007086938</v>
      </c>
      <c r="AJ11" s="34"/>
      <c r="AK11" s="34"/>
    </row>
    <row r="12" spans="1:37" x14ac:dyDescent="0.2">
      <c r="A12" s="88" t="s">
        <v>102</v>
      </c>
      <c r="B12" s="89"/>
      <c r="C12" s="89">
        <v>8.9999999999999993E-3</v>
      </c>
      <c r="D12" s="89" t="s">
        <v>2</v>
      </c>
      <c r="E12" s="90"/>
      <c r="F12" s="34" t="s">
        <v>179</v>
      </c>
      <c r="G12" s="88" t="s">
        <v>102</v>
      </c>
      <c r="H12" s="89"/>
      <c r="I12" s="89">
        <v>8.9999999999999993E-3</v>
      </c>
      <c r="J12" s="89" t="s">
        <v>2</v>
      </c>
      <c r="K12" s="90"/>
      <c r="M12" s="88" t="s">
        <v>102</v>
      </c>
      <c r="N12" s="89"/>
      <c r="O12" s="89">
        <v>8.9999999999999993E-3</v>
      </c>
      <c r="P12" s="89" t="s">
        <v>2</v>
      </c>
      <c r="Q12" s="90"/>
      <c r="S12" s="88" t="s">
        <v>1167</v>
      </c>
      <c r="T12" s="89"/>
      <c r="U12" s="89">
        <v>8.9999999999999993E-3</v>
      </c>
      <c r="V12" s="89" t="s">
        <v>2</v>
      </c>
      <c r="W12" s="90"/>
      <c r="Y12" s="88" t="s">
        <v>1175</v>
      </c>
      <c r="Z12" s="89"/>
      <c r="AA12" s="89">
        <v>8.9999999999999993E-3</v>
      </c>
      <c r="AB12" s="89" t="s">
        <v>2</v>
      </c>
      <c r="AC12" s="90"/>
      <c r="AJ12" s="34"/>
      <c r="AK12" s="34"/>
    </row>
    <row r="13" spans="1:37" x14ac:dyDescent="0.2">
      <c r="A13" s="88" t="s">
        <v>141</v>
      </c>
      <c r="B13" s="89"/>
      <c r="C13" s="89">
        <v>0.02</v>
      </c>
      <c r="D13" s="89" t="s">
        <v>2</v>
      </c>
      <c r="E13" s="90"/>
      <c r="F13" s="34" t="s">
        <v>179</v>
      </c>
      <c r="G13" s="88" t="s">
        <v>141</v>
      </c>
      <c r="H13" s="89"/>
      <c r="I13" s="89">
        <v>0.02</v>
      </c>
      <c r="J13" s="89" t="s">
        <v>2</v>
      </c>
      <c r="K13" s="90"/>
      <c r="M13" s="88" t="s">
        <v>141</v>
      </c>
      <c r="N13" s="89"/>
      <c r="O13" s="89">
        <v>0.02</v>
      </c>
      <c r="P13" s="89" t="s">
        <v>2</v>
      </c>
      <c r="Q13" s="90"/>
      <c r="S13" s="88" t="s">
        <v>1110</v>
      </c>
      <c r="T13" s="89"/>
      <c r="U13" s="89">
        <v>0.02</v>
      </c>
      <c r="V13" s="89" t="s">
        <v>2</v>
      </c>
      <c r="W13" s="90"/>
      <c r="Y13" s="88" t="s">
        <v>1135</v>
      </c>
      <c r="Z13" s="89"/>
      <c r="AA13" s="89">
        <v>0.02</v>
      </c>
      <c r="AB13" s="89" t="s">
        <v>2</v>
      </c>
      <c r="AC13" s="90"/>
      <c r="AJ13" s="34"/>
      <c r="AK13" s="34"/>
    </row>
    <row r="14" spans="1:37" x14ac:dyDescent="0.2">
      <c r="A14" s="88" t="s">
        <v>150</v>
      </c>
      <c r="B14" s="89"/>
      <c r="C14" s="89">
        <v>0.05</v>
      </c>
      <c r="D14" s="89" t="s">
        <v>2</v>
      </c>
      <c r="E14" s="90" t="s">
        <v>777</v>
      </c>
      <c r="F14" s="34" t="s">
        <v>179</v>
      </c>
      <c r="G14" s="88" t="s">
        <v>150</v>
      </c>
      <c r="H14" s="89"/>
      <c r="I14" s="89">
        <v>0.05</v>
      </c>
      <c r="J14" s="89" t="s">
        <v>2</v>
      </c>
      <c r="K14" s="90" t="s">
        <v>777</v>
      </c>
      <c r="M14" s="88" t="s">
        <v>150</v>
      </c>
      <c r="N14" s="89"/>
      <c r="O14" s="89">
        <v>0.05</v>
      </c>
      <c r="P14" s="89" t="s">
        <v>2</v>
      </c>
      <c r="Q14" s="90" t="s">
        <v>777</v>
      </c>
      <c r="S14" s="88" t="s">
        <v>150</v>
      </c>
      <c r="T14" s="89"/>
      <c r="U14" s="89">
        <v>0.05</v>
      </c>
      <c r="V14" s="89" t="s">
        <v>2</v>
      </c>
      <c r="W14" s="90"/>
      <c r="Y14" s="88" t="s">
        <v>150</v>
      </c>
      <c r="Z14" s="89"/>
      <c r="AA14" s="89">
        <v>0.05</v>
      </c>
      <c r="AB14" s="89" t="s">
        <v>2</v>
      </c>
      <c r="AC14" s="90"/>
      <c r="AJ14" s="34"/>
      <c r="AK14" s="34"/>
    </row>
    <row r="15" spans="1:37" x14ac:dyDescent="0.2">
      <c r="A15" s="88" t="s">
        <v>584</v>
      </c>
      <c r="B15" s="89"/>
      <c r="C15" s="89">
        <v>0.01</v>
      </c>
      <c r="D15" s="89" t="s">
        <v>2</v>
      </c>
      <c r="E15" s="90" t="s">
        <v>778</v>
      </c>
      <c r="F15" s="34" t="s">
        <v>179</v>
      </c>
      <c r="G15" s="88" t="s">
        <v>584</v>
      </c>
      <c r="H15" s="89"/>
      <c r="I15" s="89">
        <v>0.01</v>
      </c>
      <c r="J15" s="89" t="s">
        <v>2</v>
      </c>
      <c r="K15" s="90" t="s">
        <v>778</v>
      </c>
      <c r="M15" s="88" t="s">
        <v>584</v>
      </c>
      <c r="N15" s="89"/>
      <c r="O15" s="89">
        <v>0.01</v>
      </c>
      <c r="P15" s="89" t="s">
        <v>2</v>
      </c>
      <c r="Q15" s="90" t="s">
        <v>778</v>
      </c>
      <c r="S15" s="88" t="s">
        <v>584</v>
      </c>
      <c r="T15" s="89"/>
      <c r="U15" s="89">
        <v>0.01</v>
      </c>
      <c r="V15" s="89" t="s">
        <v>2</v>
      </c>
      <c r="W15" s="90"/>
      <c r="Y15" s="88" t="s">
        <v>584</v>
      </c>
      <c r="Z15" s="89"/>
      <c r="AA15" s="89">
        <v>0.01</v>
      </c>
      <c r="AB15" s="89" t="s">
        <v>2</v>
      </c>
      <c r="AC15" s="90"/>
      <c r="AJ15" s="34"/>
      <c r="AK15" s="34"/>
    </row>
    <row r="16" spans="1:37" x14ac:dyDescent="0.2">
      <c r="A16" s="88" t="s">
        <v>585</v>
      </c>
      <c r="B16" s="89"/>
      <c r="C16" s="89">
        <v>1.5E-3</v>
      </c>
      <c r="D16" s="89" t="s">
        <v>2</v>
      </c>
      <c r="E16" s="90" t="s">
        <v>779</v>
      </c>
      <c r="F16" s="34" t="s">
        <v>179</v>
      </c>
      <c r="G16" s="88" t="s">
        <v>585</v>
      </c>
      <c r="H16" s="89"/>
      <c r="I16" s="89">
        <v>1.5E-3</v>
      </c>
      <c r="J16" s="89" t="s">
        <v>2</v>
      </c>
      <c r="K16" s="90" t="s">
        <v>779</v>
      </c>
      <c r="M16" s="88" t="s">
        <v>585</v>
      </c>
      <c r="N16" s="89"/>
      <c r="O16" s="89">
        <v>1.5E-3</v>
      </c>
      <c r="P16" s="89" t="s">
        <v>2</v>
      </c>
      <c r="Q16" s="90" t="s">
        <v>779</v>
      </c>
      <c r="S16" s="88" t="s">
        <v>585</v>
      </c>
      <c r="T16" s="89"/>
      <c r="U16" s="89">
        <v>1.5E-3</v>
      </c>
      <c r="V16" s="89" t="s">
        <v>2</v>
      </c>
      <c r="W16" s="90"/>
      <c r="Y16" s="88" t="s">
        <v>585</v>
      </c>
      <c r="Z16" s="89"/>
      <c r="AA16" s="89">
        <v>1.5E-3</v>
      </c>
      <c r="AB16" s="89" t="s">
        <v>2</v>
      </c>
      <c r="AC16" s="90"/>
      <c r="AJ16" s="34"/>
      <c r="AK16" s="34"/>
    </row>
    <row r="17" spans="1:37" x14ac:dyDescent="0.2">
      <c r="A17" s="88" t="s">
        <v>151</v>
      </c>
      <c r="B17" s="89"/>
      <c r="C17" s="89">
        <v>0.01</v>
      </c>
      <c r="D17" s="89" t="s">
        <v>2</v>
      </c>
      <c r="E17" s="90" t="s">
        <v>179</v>
      </c>
      <c r="F17" s="34" t="s">
        <v>179</v>
      </c>
      <c r="G17" s="88" t="s">
        <v>151</v>
      </c>
      <c r="H17" s="89"/>
      <c r="I17" s="89">
        <v>0.01</v>
      </c>
      <c r="J17" s="89" t="s">
        <v>2</v>
      </c>
      <c r="K17" s="90" t="s">
        <v>179</v>
      </c>
      <c r="M17" s="88" t="s">
        <v>151</v>
      </c>
      <c r="N17" s="89"/>
      <c r="O17" s="89">
        <v>0.01</v>
      </c>
      <c r="P17" s="89" t="s">
        <v>2</v>
      </c>
      <c r="Q17" s="90" t="s">
        <v>179</v>
      </c>
      <c r="S17" s="88" t="s">
        <v>1262</v>
      </c>
      <c r="T17" s="89"/>
      <c r="U17" s="89">
        <v>0.01</v>
      </c>
      <c r="V17" s="89" t="s">
        <v>2</v>
      </c>
      <c r="W17" s="90"/>
      <c r="Y17" s="88" t="s">
        <v>1243</v>
      </c>
      <c r="Z17" s="89"/>
      <c r="AA17" s="89">
        <v>0.01</v>
      </c>
      <c r="AB17" s="89" t="s">
        <v>2</v>
      </c>
      <c r="AC17" s="90"/>
      <c r="AJ17" s="34"/>
      <c r="AK17" s="34"/>
    </row>
    <row r="18" spans="1:37" x14ac:dyDescent="0.2">
      <c r="A18" s="88" t="s">
        <v>780</v>
      </c>
      <c r="B18" s="89"/>
      <c r="C18" s="89">
        <v>0.5</v>
      </c>
      <c r="D18" s="89" t="s">
        <v>2</v>
      </c>
      <c r="E18" s="90"/>
      <c r="F18" s="34" t="s">
        <v>179</v>
      </c>
      <c r="G18" s="88" t="s">
        <v>780</v>
      </c>
      <c r="H18" s="89"/>
      <c r="I18" s="89">
        <v>0.5</v>
      </c>
      <c r="J18" s="89" t="s">
        <v>2</v>
      </c>
      <c r="K18" s="90"/>
      <c r="M18" s="88" t="s">
        <v>780</v>
      </c>
      <c r="N18" s="89"/>
      <c r="O18" s="89">
        <v>0.5</v>
      </c>
      <c r="P18" s="89" t="s">
        <v>2</v>
      </c>
      <c r="Q18" s="90"/>
      <c r="S18" s="88" t="s">
        <v>1311</v>
      </c>
      <c r="T18" s="89"/>
      <c r="U18" s="89">
        <v>0.5</v>
      </c>
      <c r="V18" s="89" t="s">
        <v>2</v>
      </c>
      <c r="W18" s="90"/>
      <c r="Y18" s="88" t="s">
        <v>1308</v>
      </c>
      <c r="Z18" s="89"/>
      <c r="AA18" s="89">
        <v>0.5</v>
      </c>
      <c r="AB18" s="89" t="s">
        <v>2</v>
      </c>
      <c r="AC18" s="90"/>
      <c r="AJ18" s="34"/>
      <c r="AK18" s="34"/>
    </row>
    <row r="19" spans="1:37" x14ac:dyDescent="0.2">
      <c r="A19" s="88" t="s">
        <v>191</v>
      </c>
      <c r="B19" s="89"/>
      <c r="C19" s="89">
        <v>0.1</v>
      </c>
      <c r="D19" s="89" t="s">
        <v>2</v>
      </c>
      <c r="E19" s="90" t="s">
        <v>179</v>
      </c>
      <c r="F19" s="34" t="s">
        <v>179</v>
      </c>
      <c r="G19" s="88" t="s">
        <v>191</v>
      </c>
      <c r="H19" s="89"/>
      <c r="I19" s="89">
        <v>0.1</v>
      </c>
      <c r="J19" s="89" t="s">
        <v>2</v>
      </c>
      <c r="K19" s="324" t="s">
        <v>283</v>
      </c>
      <c r="M19" s="88" t="s">
        <v>191</v>
      </c>
      <c r="N19" s="89"/>
      <c r="O19" s="89">
        <v>0.1</v>
      </c>
      <c r="P19" s="89" t="s">
        <v>2</v>
      </c>
      <c r="Q19" s="324" t="s">
        <v>1237</v>
      </c>
      <c r="S19" s="88" t="s">
        <v>285</v>
      </c>
      <c r="T19" s="89"/>
      <c r="U19" s="89">
        <v>0.1</v>
      </c>
      <c r="V19" s="89" t="s">
        <v>2</v>
      </c>
      <c r="W19" s="90"/>
      <c r="Y19" s="88" t="s">
        <v>1145</v>
      </c>
      <c r="Z19" s="89"/>
      <c r="AA19" s="89">
        <v>0.1</v>
      </c>
      <c r="AB19" s="89" t="s">
        <v>2</v>
      </c>
      <c r="AC19" s="90"/>
      <c r="AJ19" s="34"/>
      <c r="AK19" s="34"/>
    </row>
    <row r="20" spans="1:37" x14ac:dyDescent="0.2">
      <c r="A20" s="88" t="s">
        <v>231</v>
      </c>
      <c r="B20" s="89"/>
      <c r="C20" s="89">
        <v>0.04</v>
      </c>
      <c r="D20" s="89" t="s">
        <v>2</v>
      </c>
      <c r="E20" s="90" t="s">
        <v>179</v>
      </c>
      <c r="F20" s="34" t="s">
        <v>179</v>
      </c>
      <c r="G20" s="88" t="s">
        <v>231</v>
      </c>
      <c r="H20" s="89"/>
      <c r="I20" s="89">
        <v>0.04</v>
      </c>
      <c r="J20" s="89" t="s">
        <v>2</v>
      </c>
      <c r="K20" s="324" t="s">
        <v>283</v>
      </c>
      <c r="M20" s="88" t="s">
        <v>231</v>
      </c>
      <c r="N20" s="89"/>
      <c r="O20" s="89">
        <v>0.04</v>
      </c>
      <c r="P20" s="89" t="s">
        <v>2</v>
      </c>
      <c r="Q20" s="324" t="s">
        <v>1237</v>
      </c>
      <c r="S20" s="88" t="s">
        <v>1169</v>
      </c>
      <c r="T20" s="89"/>
      <c r="U20" s="89">
        <v>0.04</v>
      </c>
      <c r="V20" s="89" t="s">
        <v>2</v>
      </c>
      <c r="W20" s="90"/>
      <c r="Y20" s="88" t="s">
        <v>1177</v>
      </c>
      <c r="Z20" s="89"/>
      <c r="AA20" s="89">
        <v>0.04</v>
      </c>
      <c r="AB20" s="89" t="s">
        <v>2</v>
      </c>
      <c r="AC20" s="90"/>
      <c r="AJ20" s="34"/>
      <c r="AK20" s="34"/>
    </row>
    <row r="21" spans="1:37" x14ac:dyDescent="0.2">
      <c r="A21" s="88" t="s">
        <v>717</v>
      </c>
      <c r="B21" s="89"/>
      <c r="C21" s="89">
        <v>3.0000000000000001E-3</v>
      </c>
      <c r="D21" s="89" t="s">
        <v>2</v>
      </c>
      <c r="E21" s="90" t="s">
        <v>179</v>
      </c>
      <c r="F21" s="34" t="s">
        <v>179</v>
      </c>
      <c r="G21" s="88" t="s">
        <v>717</v>
      </c>
      <c r="H21" s="89"/>
      <c r="I21" s="89">
        <v>3.0000000000000001E-3</v>
      </c>
      <c r="J21" s="89" t="s">
        <v>2</v>
      </c>
      <c r="K21" s="324" t="s">
        <v>283</v>
      </c>
      <c r="M21" s="88" t="s">
        <v>717</v>
      </c>
      <c r="N21" s="89"/>
      <c r="O21" s="89">
        <v>3.0000000000000001E-3</v>
      </c>
      <c r="P21" s="89" t="s">
        <v>2</v>
      </c>
      <c r="Q21" s="324" t="s">
        <v>1237</v>
      </c>
      <c r="S21" s="88" t="s">
        <v>1193</v>
      </c>
      <c r="T21" s="89"/>
      <c r="U21" s="89">
        <v>3.0000000000000001E-3</v>
      </c>
      <c r="V21" s="89" t="s">
        <v>2</v>
      </c>
      <c r="W21" s="90"/>
      <c r="Y21" s="88" t="s">
        <v>1219</v>
      </c>
      <c r="Z21" s="89"/>
      <c r="AA21" s="89">
        <v>3.0000000000000001E-3</v>
      </c>
      <c r="AB21" s="89" t="s">
        <v>2</v>
      </c>
      <c r="AC21" s="90"/>
      <c r="AJ21" s="34"/>
      <c r="AK21" s="34"/>
    </row>
    <row r="22" spans="1:37" x14ac:dyDescent="0.2">
      <c r="A22" s="88" t="s">
        <v>703</v>
      </c>
      <c r="B22" s="89"/>
      <c r="C22" s="89">
        <v>0</v>
      </c>
      <c r="D22" s="89" t="s">
        <v>2</v>
      </c>
      <c r="E22" s="90" t="s">
        <v>271</v>
      </c>
      <c r="F22" s="34" t="s">
        <v>179</v>
      </c>
      <c r="G22" s="88" t="s">
        <v>703</v>
      </c>
      <c r="H22" s="89"/>
      <c r="I22" s="89">
        <v>0</v>
      </c>
      <c r="J22" s="89" t="s">
        <v>2</v>
      </c>
      <c r="K22" s="324" t="s">
        <v>283</v>
      </c>
      <c r="M22" s="88" t="s">
        <v>703</v>
      </c>
      <c r="N22" s="89"/>
      <c r="O22" s="89">
        <v>0</v>
      </c>
      <c r="P22" s="89" t="s">
        <v>2</v>
      </c>
      <c r="Q22" s="324" t="s">
        <v>1237</v>
      </c>
      <c r="S22" s="88" t="s">
        <v>1121</v>
      </c>
      <c r="T22" s="89"/>
      <c r="U22" s="89">
        <v>0</v>
      </c>
      <c r="V22" s="89" t="s">
        <v>2</v>
      </c>
      <c r="W22" s="90"/>
      <c r="Y22" s="88" t="s">
        <v>1148</v>
      </c>
      <c r="Z22" s="89"/>
      <c r="AA22" s="89">
        <v>0</v>
      </c>
      <c r="AB22" s="89" t="s">
        <v>2</v>
      </c>
      <c r="AC22" s="90"/>
      <c r="AJ22" s="34"/>
      <c r="AK22" s="34"/>
    </row>
    <row r="23" spans="1:37" x14ac:dyDescent="0.2">
      <c r="A23" s="88" t="s">
        <v>192</v>
      </c>
      <c r="B23" s="89"/>
      <c r="C23" s="89">
        <v>0.05</v>
      </c>
      <c r="D23" s="89" t="s">
        <v>2</v>
      </c>
      <c r="E23" s="90" t="s">
        <v>179</v>
      </c>
      <c r="F23" s="34" t="s">
        <v>179</v>
      </c>
      <c r="G23" s="88" t="s">
        <v>192</v>
      </c>
      <c r="H23" s="89"/>
      <c r="I23" s="89">
        <v>0.05</v>
      </c>
      <c r="J23" s="89" t="s">
        <v>2</v>
      </c>
      <c r="K23" s="324" t="s">
        <v>283</v>
      </c>
      <c r="M23" s="88" t="s">
        <v>192</v>
      </c>
      <c r="N23" s="89"/>
      <c r="O23" s="89">
        <v>0.05</v>
      </c>
      <c r="P23" s="89" t="s">
        <v>2</v>
      </c>
      <c r="Q23" s="324" t="s">
        <v>1237</v>
      </c>
      <c r="S23" s="88" t="s">
        <v>1119</v>
      </c>
      <c r="T23" s="89"/>
      <c r="U23" s="89">
        <v>0.05</v>
      </c>
      <c r="V23" s="89" t="s">
        <v>2</v>
      </c>
      <c r="W23" s="90"/>
      <c r="Y23" s="88" t="s">
        <v>1146</v>
      </c>
      <c r="Z23" s="89"/>
      <c r="AA23" s="89">
        <v>0.05</v>
      </c>
      <c r="AB23" s="89" t="s">
        <v>2</v>
      </c>
      <c r="AC23" s="90"/>
      <c r="AJ23" s="34"/>
      <c r="AK23" s="34"/>
    </row>
    <row r="24" spans="1:37" x14ac:dyDescent="0.2">
      <c r="A24" s="88" t="s">
        <v>702</v>
      </c>
      <c r="B24" s="89"/>
      <c r="C24" s="89">
        <v>8.9999999999999993E-3</v>
      </c>
      <c r="D24" s="89" t="s">
        <v>2</v>
      </c>
      <c r="E24" s="90"/>
      <c r="F24" s="34" t="s">
        <v>179</v>
      </c>
      <c r="G24" s="88" t="s">
        <v>702</v>
      </c>
      <c r="H24" s="89"/>
      <c r="I24" s="89">
        <v>8.9999999999999993E-3</v>
      </c>
      <c r="J24" s="89" t="s">
        <v>2</v>
      </c>
      <c r="K24" s="324" t="s">
        <v>283</v>
      </c>
      <c r="M24" s="88" t="s">
        <v>702</v>
      </c>
      <c r="N24" s="89"/>
      <c r="O24" s="89">
        <v>8.9999999999999993E-3</v>
      </c>
      <c r="P24" s="89" t="s">
        <v>2</v>
      </c>
      <c r="Q24" s="324" t="s">
        <v>1237</v>
      </c>
      <c r="S24" s="88" t="s">
        <v>1170</v>
      </c>
      <c r="T24" s="89"/>
      <c r="U24" s="89">
        <v>8.9999999999999993E-3</v>
      </c>
      <c r="V24" s="89" t="s">
        <v>2</v>
      </c>
      <c r="W24" s="90"/>
      <c r="Y24" s="88" t="s">
        <v>1178</v>
      </c>
      <c r="Z24" s="89"/>
      <c r="AA24" s="89">
        <v>8.9999999999999993E-3</v>
      </c>
      <c r="AB24" s="89" t="s">
        <v>2</v>
      </c>
      <c r="AC24" s="90"/>
      <c r="AJ24" s="34"/>
      <c r="AK24" s="34"/>
    </row>
    <row r="25" spans="1:37" x14ac:dyDescent="0.2">
      <c r="A25" s="88" t="s">
        <v>190</v>
      </c>
      <c r="B25" s="89"/>
      <c r="C25" s="89">
        <v>0.02</v>
      </c>
      <c r="D25" s="89" t="s">
        <v>2</v>
      </c>
      <c r="E25" s="90"/>
      <c r="F25" s="34" t="s">
        <v>179</v>
      </c>
      <c r="G25" s="88" t="s">
        <v>190</v>
      </c>
      <c r="H25" s="89"/>
      <c r="I25" s="89">
        <v>0.02</v>
      </c>
      <c r="J25" s="89" t="s">
        <v>2</v>
      </c>
      <c r="K25" s="324" t="s">
        <v>283</v>
      </c>
      <c r="M25" s="88" t="s">
        <v>190</v>
      </c>
      <c r="N25" s="89"/>
      <c r="O25" s="89">
        <v>0.02</v>
      </c>
      <c r="P25" s="89" t="s">
        <v>2</v>
      </c>
      <c r="Q25" s="324" t="s">
        <v>1237</v>
      </c>
      <c r="S25" s="88" t="s">
        <v>1118</v>
      </c>
      <c r="T25" s="89"/>
      <c r="U25" s="89">
        <v>0.02</v>
      </c>
      <c r="V25" s="89" t="s">
        <v>2</v>
      </c>
      <c r="W25" s="90"/>
      <c r="Y25" s="88" t="s">
        <v>1144</v>
      </c>
      <c r="Z25" s="89"/>
      <c r="AA25" s="89">
        <v>0.02</v>
      </c>
      <c r="AB25" s="89" t="s">
        <v>2</v>
      </c>
      <c r="AC25" s="90"/>
      <c r="AJ25" s="34"/>
      <c r="AK25" s="34"/>
    </row>
    <row r="26" spans="1:37" x14ac:dyDescent="0.2">
      <c r="A26" s="88" t="s">
        <v>746</v>
      </c>
      <c r="B26" s="89"/>
      <c r="C26" s="89">
        <v>0.05</v>
      </c>
      <c r="D26" s="89" t="s">
        <v>2</v>
      </c>
      <c r="E26" s="90"/>
      <c r="F26" s="34" t="s">
        <v>179</v>
      </c>
      <c r="G26" s="88" t="s">
        <v>746</v>
      </c>
      <c r="H26" s="89"/>
      <c r="I26" s="89">
        <v>0.05</v>
      </c>
      <c r="J26" s="89" t="s">
        <v>2</v>
      </c>
      <c r="K26" s="324" t="s">
        <v>283</v>
      </c>
      <c r="M26" s="88" t="s">
        <v>746</v>
      </c>
      <c r="N26" s="89"/>
      <c r="O26" s="89">
        <v>0.05</v>
      </c>
      <c r="P26" s="89" t="s">
        <v>2</v>
      </c>
      <c r="Q26" s="324" t="s">
        <v>1237</v>
      </c>
      <c r="S26" s="88" t="s">
        <v>746</v>
      </c>
      <c r="T26" s="89"/>
      <c r="U26" s="89">
        <v>0.05</v>
      </c>
      <c r="V26" s="89" t="s">
        <v>2</v>
      </c>
      <c r="W26" s="90"/>
      <c r="Y26" s="88" t="s">
        <v>746</v>
      </c>
      <c r="Z26" s="89"/>
      <c r="AA26" s="89">
        <v>0.05</v>
      </c>
      <c r="AB26" s="89" t="s">
        <v>2</v>
      </c>
      <c r="AC26" s="90"/>
      <c r="AJ26" s="34"/>
      <c r="AK26" s="34"/>
    </row>
    <row r="27" spans="1:37" x14ac:dyDescent="0.2">
      <c r="A27" s="88" t="s">
        <v>781</v>
      </c>
      <c r="B27" s="89"/>
      <c r="C27" s="89">
        <v>0.01</v>
      </c>
      <c r="D27" s="89" t="s">
        <v>2</v>
      </c>
      <c r="E27" s="90"/>
      <c r="F27" s="34" t="s">
        <v>179</v>
      </c>
      <c r="G27" s="88" t="s">
        <v>781</v>
      </c>
      <c r="H27" s="89"/>
      <c r="I27" s="89">
        <v>0.01</v>
      </c>
      <c r="J27" s="89" t="s">
        <v>2</v>
      </c>
      <c r="K27" s="324" t="s">
        <v>283</v>
      </c>
      <c r="M27" s="88" t="s">
        <v>781</v>
      </c>
      <c r="N27" s="89"/>
      <c r="O27" s="89">
        <v>0.01</v>
      </c>
      <c r="P27" s="89" t="s">
        <v>2</v>
      </c>
      <c r="Q27" s="324" t="s">
        <v>1237</v>
      </c>
      <c r="S27" s="88" t="s">
        <v>781</v>
      </c>
      <c r="T27" s="89"/>
      <c r="U27" s="89">
        <v>0.01</v>
      </c>
      <c r="V27" s="89" t="s">
        <v>2</v>
      </c>
      <c r="W27" s="90"/>
      <c r="Y27" s="88" t="s">
        <v>781</v>
      </c>
      <c r="Z27" s="89"/>
      <c r="AA27" s="89">
        <v>0.01</v>
      </c>
      <c r="AB27" s="89" t="s">
        <v>2</v>
      </c>
      <c r="AC27" s="90"/>
      <c r="AJ27" s="34"/>
      <c r="AK27" s="34"/>
    </row>
    <row r="28" spans="1:37" x14ac:dyDescent="0.2">
      <c r="A28" s="88" t="s">
        <v>782</v>
      </c>
      <c r="B28" s="89"/>
      <c r="C28" s="89">
        <v>1.5E-3</v>
      </c>
      <c r="D28" s="89" t="s">
        <v>2</v>
      </c>
      <c r="E28" s="90"/>
      <c r="F28" s="34" t="s">
        <v>179</v>
      </c>
      <c r="G28" s="88" t="s">
        <v>782</v>
      </c>
      <c r="H28" s="89"/>
      <c r="I28" s="89">
        <v>1.5E-3</v>
      </c>
      <c r="J28" s="89" t="s">
        <v>2</v>
      </c>
      <c r="K28" s="324" t="s">
        <v>283</v>
      </c>
      <c r="M28" s="88" t="s">
        <v>782</v>
      </c>
      <c r="N28" s="89"/>
      <c r="O28" s="89">
        <v>1.5E-3</v>
      </c>
      <c r="P28" s="89" t="s">
        <v>2</v>
      </c>
      <c r="Q28" s="324" t="s">
        <v>1237</v>
      </c>
      <c r="S28" s="88" t="s">
        <v>782</v>
      </c>
      <c r="T28" s="89"/>
      <c r="U28" s="89">
        <v>1.5E-3</v>
      </c>
      <c r="V28" s="89" t="s">
        <v>2</v>
      </c>
      <c r="W28" s="90"/>
      <c r="Y28" s="88" t="s">
        <v>782</v>
      </c>
      <c r="Z28" s="89"/>
      <c r="AA28" s="89">
        <v>1.5E-3</v>
      </c>
      <c r="AB28" s="89" t="s">
        <v>2</v>
      </c>
      <c r="AC28" s="90"/>
      <c r="AJ28" s="34"/>
      <c r="AK28" s="34"/>
    </row>
    <row r="29" spans="1:37" x14ac:dyDescent="0.2">
      <c r="A29" s="88" t="s">
        <v>747</v>
      </c>
      <c r="B29" s="89"/>
      <c r="C29" s="89">
        <v>0</v>
      </c>
      <c r="D29" s="89" t="s">
        <v>2</v>
      </c>
      <c r="E29" s="90" t="s">
        <v>271</v>
      </c>
      <c r="F29" s="34" t="s">
        <v>179</v>
      </c>
      <c r="G29" s="88" t="s">
        <v>747</v>
      </c>
      <c r="H29" s="89"/>
      <c r="I29" s="89">
        <v>0</v>
      </c>
      <c r="J29" s="89" t="s">
        <v>2</v>
      </c>
      <c r="K29" s="324" t="s">
        <v>283</v>
      </c>
      <c r="M29" s="88" t="s">
        <v>747</v>
      </c>
      <c r="N29" s="89"/>
      <c r="O29" s="89">
        <v>0</v>
      </c>
      <c r="P29" s="89" t="s">
        <v>2</v>
      </c>
      <c r="Q29" s="324" t="s">
        <v>1237</v>
      </c>
      <c r="S29" s="88" t="s">
        <v>1268</v>
      </c>
      <c r="T29" s="89"/>
      <c r="U29" s="89">
        <v>0</v>
      </c>
      <c r="V29" s="89" t="s">
        <v>2</v>
      </c>
      <c r="W29" s="90"/>
      <c r="Y29" s="88" t="s">
        <v>1249</v>
      </c>
      <c r="Z29" s="89"/>
      <c r="AA29" s="89">
        <v>0</v>
      </c>
      <c r="AB29" s="89" t="s">
        <v>2</v>
      </c>
      <c r="AC29" s="90"/>
      <c r="AJ29" s="34"/>
      <c r="AK29" s="34"/>
    </row>
    <row r="30" spans="1:37" x14ac:dyDescent="0.2">
      <c r="A30" s="88" t="s">
        <v>783</v>
      </c>
      <c r="B30" s="89"/>
      <c r="C30" s="89">
        <v>0.5</v>
      </c>
      <c r="D30" s="89" t="s">
        <v>2</v>
      </c>
      <c r="E30" s="90"/>
      <c r="F30" s="34" t="s">
        <v>179</v>
      </c>
      <c r="G30" s="88" t="s">
        <v>783</v>
      </c>
      <c r="H30" s="89"/>
      <c r="I30" s="89">
        <v>0.5</v>
      </c>
      <c r="J30" s="89" t="s">
        <v>2</v>
      </c>
      <c r="K30" s="324" t="s">
        <v>283</v>
      </c>
      <c r="M30" s="88" t="s">
        <v>783</v>
      </c>
      <c r="N30" s="89"/>
      <c r="O30" s="89">
        <v>0.5</v>
      </c>
      <c r="P30" s="89" t="s">
        <v>2</v>
      </c>
      <c r="Q30" s="324" t="s">
        <v>1237</v>
      </c>
      <c r="S30" s="88" t="s">
        <v>1312</v>
      </c>
      <c r="T30" s="89"/>
      <c r="U30" s="89">
        <v>0.5</v>
      </c>
      <c r="V30" s="89" t="s">
        <v>2</v>
      </c>
      <c r="W30" s="90"/>
      <c r="Y30" s="88" t="s">
        <v>1309</v>
      </c>
      <c r="Z30" s="89"/>
      <c r="AA30" s="89">
        <v>0.5</v>
      </c>
      <c r="AB30" s="89" t="s">
        <v>2</v>
      </c>
      <c r="AC30" s="90"/>
      <c r="AJ30" s="34"/>
      <c r="AK30" s="34"/>
    </row>
    <row r="31" spans="1:37" x14ac:dyDescent="0.2">
      <c r="A31" s="88" t="s">
        <v>706</v>
      </c>
      <c r="B31" s="89"/>
      <c r="C31" s="89">
        <v>0.1</v>
      </c>
      <c r="D31" s="89" t="s">
        <v>2</v>
      </c>
      <c r="E31" s="90" t="s">
        <v>179</v>
      </c>
      <c r="F31" s="34" t="s">
        <v>179</v>
      </c>
      <c r="G31" s="88" t="s">
        <v>706</v>
      </c>
      <c r="H31" s="89"/>
      <c r="I31" s="89">
        <v>0.1</v>
      </c>
      <c r="J31" s="89" t="s">
        <v>2</v>
      </c>
      <c r="K31" s="324" t="s">
        <v>283</v>
      </c>
      <c r="M31" s="88" t="s">
        <v>706</v>
      </c>
      <c r="N31" s="89"/>
      <c r="O31" s="89">
        <v>0.1</v>
      </c>
      <c r="P31" s="89" t="s">
        <v>2</v>
      </c>
      <c r="Q31" s="324" t="s">
        <v>1237</v>
      </c>
      <c r="S31" s="88" t="s">
        <v>753</v>
      </c>
      <c r="T31" s="89"/>
      <c r="U31" s="89">
        <v>0.1</v>
      </c>
      <c r="V31" s="89" t="s">
        <v>2</v>
      </c>
      <c r="W31" s="90"/>
      <c r="Y31" s="88" t="s">
        <v>1180</v>
      </c>
      <c r="Z31" s="89"/>
      <c r="AA31" s="89">
        <v>0.1</v>
      </c>
      <c r="AB31" s="89" t="s">
        <v>2</v>
      </c>
      <c r="AC31" s="90"/>
      <c r="AJ31" s="34"/>
      <c r="AK31" s="34"/>
    </row>
    <row r="32" spans="1:37" x14ac:dyDescent="0.2">
      <c r="A32" s="88" t="s">
        <v>232</v>
      </c>
      <c r="B32" s="89"/>
      <c r="C32" s="89">
        <v>0.04</v>
      </c>
      <c r="D32" s="89" t="s">
        <v>2</v>
      </c>
      <c r="E32" s="90" t="s">
        <v>179</v>
      </c>
      <c r="F32" s="34" t="s">
        <v>179</v>
      </c>
      <c r="G32" s="88" t="s">
        <v>232</v>
      </c>
      <c r="H32" s="89"/>
      <c r="I32" s="89">
        <v>0.04</v>
      </c>
      <c r="J32" s="89" t="s">
        <v>2</v>
      </c>
      <c r="K32" s="324" t="s">
        <v>283</v>
      </c>
      <c r="M32" s="88" t="s">
        <v>232</v>
      </c>
      <c r="N32" s="89"/>
      <c r="O32" s="89">
        <v>0.04</v>
      </c>
      <c r="P32" s="89" t="s">
        <v>2</v>
      </c>
      <c r="Q32" s="324" t="s">
        <v>1237</v>
      </c>
      <c r="S32" s="88" t="s">
        <v>1171</v>
      </c>
      <c r="T32" s="89"/>
      <c r="U32" s="89">
        <v>0.04</v>
      </c>
      <c r="V32" s="89" t="s">
        <v>2</v>
      </c>
      <c r="W32" s="90"/>
      <c r="Y32" s="88" t="s">
        <v>1179</v>
      </c>
      <c r="Z32" s="89"/>
      <c r="AA32" s="89">
        <v>0.04</v>
      </c>
      <c r="AB32" s="89" t="s">
        <v>2</v>
      </c>
      <c r="AC32" s="90"/>
      <c r="AJ32" s="34"/>
      <c r="AK32" s="34"/>
    </row>
    <row r="33" spans="1:37" x14ac:dyDescent="0.2">
      <c r="A33" s="88" t="s">
        <v>233</v>
      </c>
      <c r="B33" s="89"/>
      <c r="C33" s="89">
        <v>3.0000000000000001E-3</v>
      </c>
      <c r="D33" s="89" t="s">
        <v>2</v>
      </c>
      <c r="E33" s="90" t="s">
        <v>179</v>
      </c>
      <c r="F33" s="34" t="s">
        <v>179</v>
      </c>
      <c r="G33" s="88" t="s">
        <v>233</v>
      </c>
      <c r="H33" s="89"/>
      <c r="I33" s="89">
        <v>3.0000000000000001E-3</v>
      </c>
      <c r="J33" s="89" t="s">
        <v>2</v>
      </c>
      <c r="K33" s="324" t="s">
        <v>283</v>
      </c>
      <c r="M33" s="88" t="s">
        <v>233</v>
      </c>
      <c r="N33" s="89"/>
      <c r="O33" s="89">
        <v>3.0000000000000001E-3</v>
      </c>
      <c r="P33" s="89" t="s">
        <v>2</v>
      </c>
      <c r="Q33" s="324" t="s">
        <v>1237</v>
      </c>
      <c r="S33" s="88" t="s">
        <v>1202</v>
      </c>
      <c r="T33" s="89"/>
      <c r="U33" s="89">
        <v>3.0000000000000001E-3</v>
      </c>
      <c r="V33" s="89" t="s">
        <v>2</v>
      </c>
      <c r="W33" s="90"/>
      <c r="Y33" s="88" t="s">
        <v>1228</v>
      </c>
      <c r="Z33" s="89"/>
      <c r="AA33" s="89">
        <v>3.0000000000000001E-3</v>
      </c>
      <c r="AB33" s="89" t="s">
        <v>2</v>
      </c>
      <c r="AC33" s="90"/>
      <c r="AJ33" s="34"/>
      <c r="AK33" s="34"/>
    </row>
    <row r="34" spans="1:37" x14ac:dyDescent="0.2">
      <c r="A34" s="88" t="s">
        <v>707</v>
      </c>
      <c r="B34" s="89"/>
      <c r="C34" s="89">
        <v>0.01</v>
      </c>
      <c r="D34" s="89" t="s">
        <v>2</v>
      </c>
      <c r="E34" s="90"/>
      <c r="F34" s="34" t="s">
        <v>179</v>
      </c>
      <c r="G34" s="88" t="s">
        <v>707</v>
      </c>
      <c r="H34" s="89"/>
      <c r="I34" s="89">
        <v>0.01</v>
      </c>
      <c r="J34" s="89" t="s">
        <v>2</v>
      </c>
      <c r="K34" s="324" t="s">
        <v>283</v>
      </c>
      <c r="M34" s="88" t="s">
        <v>707</v>
      </c>
      <c r="N34" s="89"/>
      <c r="O34" s="89">
        <v>0.01</v>
      </c>
      <c r="P34" s="89" t="s">
        <v>2</v>
      </c>
      <c r="Q34" s="324" t="s">
        <v>1237</v>
      </c>
      <c r="S34" s="88" t="s">
        <v>1173</v>
      </c>
      <c r="T34" s="89"/>
      <c r="U34" s="89">
        <v>0.01</v>
      </c>
      <c r="V34" s="89" t="s">
        <v>2</v>
      </c>
      <c r="W34" s="90"/>
      <c r="Y34" s="88" t="s">
        <v>1182</v>
      </c>
      <c r="Z34" s="89"/>
      <c r="AA34" s="89">
        <v>0.01</v>
      </c>
      <c r="AB34" s="89" t="s">
        <v>2</v>
      </c>
      <c r="AC34" s="90"/>
      <c r="AJ34" s="34"/>
      <c r="AK34" s="34"/>
    </row>
    <row r="35" spans="1:37" x14ac:dyDescent="0.2">
      <c r="A35" s="88" t="s">
        <v>198</v>
      </c>
      <c r="B35" s="89"/>
      <c r="C35" s="89">
        <v>0.05</v>
      </c>
      <c r="D35" s="89" t="s">
        <v>2</v>
      </c>
      <c r="E35" s="90"/>
      <c r="F35" s="34" t="s">
        <v>179</v>
      </c>
      <c r="G35" s="88" t="s">
        <v>198</v>
      </c>
      <c r="H35" s="89"/>
      <c r="I35" s="89">
        <v>0.05</v>
      </c>
      <c r="J35" s="89" t="s">
        <v>2</v>
      </c>
      <c r="K35" s="324" t="s">
        <v>283</v>
      </c>
      <c r="M35" s="88" t="s">
        <v>198</v>
      </c>
      <c r="N35" s="89"/>
      <c r="O35" s="89">
        <v>0.05</v>
      </c>
      <c r="P35" s="89" t="s">
        <v>2</v>
      </c>
      <c r="Q35" s="324" t="s">
        <v>1237</v>
      </c>
      <c r="S35" s="88" t="s">
        <v>1128</v>
      </c>
      <c r="T35" s="89"/>
      <c r="U35" s="89">
        <v>0.05</v>
      </c>
      <c r="V35" s="89" t="s">
        <v>2</v>
      </c>
      <c r="W35" s="90"/>
      <c r="Y35" s="88" t="s">
        <v>1155</v>
      </c>
      <c r="Z35" s="89"/>
      <c r="AA35" s="89">
        <v>0.05</v>
      </c>
      <c r="AB35" s="89" t="s">
        <v>2</v>
      </c>
      <c r="AC35" s="90"/>
      <c r="AJ35" s="34"/>
      <c r="AK35" s="34"/>
    </row>
    <row r="36" spans="1:37" x14ac:dyDescent="0.2">
      <c r="A36" s="88" t="s">
        <v>234</v>
      </c>
      <c r="B36" s="89"/>
      <c r="C36" s="89">
        <v>8.9999999999999993E-3</v>
      </c>
      <c r="D36" s="89" t="s">
        <v>2</v>
      </c>
      <c r="E36" s="90"/>
      <c r="F36" s="34" t="s">
        <v>179</v>
      </c>
      <c r="G36" s="88" t="s">
        <v>234</v>
      </c>
      <c r="H36" s="89"/>
      <c r="I36" s="89">
        <v>8.9999999999999993E-3</v>
      </c>
      <c r="J36" s="89" t="s">
        <v>2</v>
      </c>
      <c r="K36" s="324" t="s">
        <v>283</v>
      </c>
      <c r="M36" s="88" t="s">
        <v>234</v>
      </c>
      <c r="N36" s="89"/>
      <c r="O36" s="89">
        <v>8.9999999999999993E-3</v>
      </c>
      <c r="P36" s="89" t="s">
        <v>2</v>
      </c>
      <c r="Q36" s="324" t="s">
        <v>1237</v>
      </c>
      <c r="S36" s="88" t="s">
        <v>1172</v>
      </c>
      <c r="T36" s="89"/>
      <c r="U36" s="89">
        <v>8.9999999999999993E-3</v>
      </c>
      <c r="V36" s="89" t="s">
        <v>2</v>
      </c>
      <c r="W36" s="90"/>
      <c r="Y36" s="88" t="s">
        <v>1181</v>
      </c>
      <c r="Z36" s="89"/>
      <c r="AA36" s="89">
        <v>8.9999999999999993E-3</v>
      </c>
      <c r="AB36" s="89" t="s">
        <v>2</v>
      </c>
      <c r="AC36" s="90"/>
      <c r="AJ36" s="34"/>
      <c r="AK36" s="34"/>
    </row>
    <row r="37" spans="1:37" x14ac:dyDescent="0.2">
      <c r="A37" s="88" t="s">
        <v>196</v>
      </c>
      <c r="B37" s="89"/>
      <c r="C37" s="89">
        <v>0.02</v>
      </c>
      <c r="D37" s="89" t="s">
        <v>2</v>
      </c>
      <c r="E37" s="90"/>
      <c r="F37" s="34" t="s">
        <v>179</v>
      </c>
      <c r="G37" s="88" t="s">
        <v>196</v>
      </c>
      <c r="H37" s="89"/>
      <c r="I37" s="89">
        <v>0.02</v>
      </c>
      <c r="J37" s="89" t="s">
        <v>2</v>
      </c>
      <c r="K37" s="324" t="s">
        <v>283</v>
      </c>
      <c r="M37" s="88" t="s">
        <v>196</v>
      </c>
      <c r="N37" s="89"/>
      <c r="O37" s="89">
        <v>0.02</v>
      </c>
      <c r="P37" s="89" t="s">
        <v>2</v>
      </c>
      <c r="Q37" s="324" t="s">
        <v>1237</v>
      </c>
      <c r="S37" s="88" t="s">
        <v>1126</v>
      </c>
      <c r="T37" s="89"/>
      <c r="U37" s="89">
        <v>0.02</v>
      </c>
      <c r="V37" s="89" t="s">
        <v>2</v>
      </c>
      <c r="W37" s="90"/>
      <c r="Y37" s="88" t="s">
        <v>1153</v>
      </c>
      <c r="Z37" s="89"/>
      <c r="AA37" s="89">
        <v>0.02</v>
      </c>
      <c r="AB37" s="89" t="s">
        <v>2</v>
      </c>
      <c r="AC37" s="90"/>
      <c r="AJ37" s="34"/>
      <c r="AK37" s="34"/>
    </row>
    <row r="38" spans="1:37" x14ac:dyDescent="0.2">
      <c r="A38" s="88" t="s">
        <v>752</v>
      </c>
      <c r="B38" s="89"/>
      <c r="C38" s="89">
        <v>0.05</v>
      </c>
      <c r="D38" s="89" t="s">
        <v>2</v>
      </c>
      <c r="E38" s="90"/>
      <c r="F38" s="34" t="s">
        <v>179</v>
      </c>
      <c r="G38" s="88" t="s">
        <v>752</v>
      </c>
      <c r="H38" s="89"/>
      <c r="I38" s="89">
        <v>0.05</v>
      </c>
      <c r="J38" s="89" t="s">
        <v>2</v>
      </c>
      <c r="K38" s="324" t="s">
        <v>283</v>
      </c>
      <c r="M38" s="88" t="s">
        <v>752</v>
      </c>
      <c r="N38" s="89"/>
      <c r="O38" s="89">
        <v>0.05</v>
      </c>
      <c r="P38" s="89" t="s">
        <v>2</v>
      </c>
      <c r="Q38" s="324" t="s">
        <v>1237</v>
      </c>
      <c r="S38" s="88" t="s">
        <v>752</v>
      </c>
      <c r="T38" s="89"/>
      <c r="U38" s="89">
        <v>0.05</v>
      </c>
      <c r="V38" s="89" t="s">
        <v>2</v>
      </c>
      <c r="W38" s="90"/>
      <c r="Y38" s="88" t="s">
        <v>752</v>
      </c>
      <c r="Z38" s="89"/>
      <c r="AA38" s="89">
        <v>0.05</v>
      </c>
      <c r="AB38" s="89" t="s">
        <v>2</v>
      </c>
      <c r="AC38" s="90"/>
      <c r="AJ38" s="34"/>
      <c r="AK38" s="34"/>
    </row>
    <row r="39" spans="1:37" x14ac:dyDescent="0.2">
      <c r="A39" s="88" t="s">
        <v>784</v>
      </c>
      <c r="B39" s="89"/>
      <c r="C39" s="89">
        <v>0.01</v>
      </c>
      <c r="D39" s="89" t="s">
        <v>2</v>
      </c>
      <c r="E39" s="90"/>
      <c r="F39" s="34" t="s">
        <v>179</v>
      </c>
      <c r="G39" s="88" t="s">
        <v>784</v>
      </c>
      <c r="H39" s="89"/>
      <c r="I39" s="89">
        <v>0.01</v>
      </c>
      <c r="J39" s="89" t="s">
        <v>2</v>
      </c>
      <c r="K39" s="324" t="s">
        <v>283</v>
      </c>
      <c r="M39" s="88" t="s">
        <v>784</v>
      </c>
      <c r="N39" s="89"/>
      <c r="O39" s="89">
        <v>0.01</v>
      </c>
      <c r="P39" s="89" t="s">
        <v>2</v>
      </c>
      <c r="Q39" s="324" t="s">
        <v>1237</v>
      </c>
      <c r="S39" s="88" t="s">
        <v>784</v>
      </c>
      <c r="T39" s="89"/>
      <c r="U39" s="89">
        <v>0.01</v>
      </c>
      <c r="V39" s="89" t="s">
        <v>2</v>
      </c>
      <c r="W39" s="90"/>
      <c r="Y39" s="88" t="s">
        <v>784</v>
      </c>
      <c r="Z39" s="89"/>
      <c r="AA39" s="89">
        <v>0.01</v>
      </c>
      <c r="AB39" s="89" t="s">
        <v>2</v>
      </c>
      <c r="AC39" s="90"/>
      <c r="AJ39" s="34"/>
      <c r="AK39" s="34"/>
    </row>
    <row r="40" spans="1:37" x14ac:dyDescent="0.2">
      <c r="A40" s="88" t="s">
        <v>785</v>
      </c>
      <c r="B40" s="89"/>
      <c r="C40" s="89">
        <v>1.5E-3</v>
      </c>
      <c r="D40" s="89" t="s">
        <v>2</v>
      </c>
      <c r="E40" s="90"/>
      <c r="F40" s="34" t="s">
        <v>179</v>
      </c>
      <c r="G40" s="88" t="s">
        <v>785</v>
      </c>
      <c r="H40" s="89"/>
      <c r="I40" s="89">
        <v>1.5E-3</v>
      </c>
      <c r="J40" s="89" t="s">
        <v>2</v>
      </c>
      <c r="K40" s="324" t="s">
        <v>283</v>
      </c>
      <c r="M40" s="88" t="s">
        <v>785</v>
      </c>
      <c r="N40" s="89"/>
      <c r="O40" s="89">
        <v>1.5E-3</v>
      </c>
      <c r="P40" s="89" t="s">
        <v>2</v>
      </c>
      <c r="Q40" s="324" t="s">
        <v>1237</v>
      </c>
      <c r="S40" s="88" t="s">
        <v>785</v>
      </c>
      <c r="T40" s="89"/>
      <c r="U40" s="89">
        <v>1.5E-3</v>
      </c>
      <c r="V40" s="89" t="s">
        <v>2</v>
      </c>
      <c r="W40" s="90"/>
      <c r="Y40" s="88" t="s">
        <v>785</v>
      </c>
      <c r="Z40" s="89"/>
      <c r="AA40" s="89">
        <v>1.5E-3</v>
      </c>
      <c r="AB40" s="89" t="s">
        <v>2</v>
      </c>
      <c r="AC40" s="90"/>
      <c r="AJ40" s="34"/>
      <c r="AK40" s="34"/>
    </row>
    <row r="41" spans="1:37" x14ac:dyDescent="0.2">
      <c r="A41" s="88" t="s">
        <v>235</v>
      </c>
      <c r="B41" s="89"/>
      <c r="C41" s="89">
        <v>0.01</v>
      </c>
      <c r="D41" s="89" t="s">
        <v>2</v>
      </c>
      <c r="E41" s="90"/>
      <c r="F41" s="34" t="s">
        <v>179</v>
      </c>
      <c r="G41" s="88" t="s">
        <v>235</v>
      </c>
      <c r="H41" s="89"/>
      <c r="I41" s="89">
        <v>0.01</v>
      </c>
      <c r="J41" s="89" t="s">
        <v>2</v>
      </c>
      <c r="K41" s="324" t="s">
        <v>283</v>
      </c>
      <c r="M41" s="88" t="s">
        <v>235</v>
      </c>
      <c r="N41" s="89"/>
      <c r="O41" s="89">
        <v>0.01</v>
      </c>
      <c r="P41" s="89" t="s">
        <v>2</v>
      </c>
      <c r="Q41" s="324" t="s">
        <v>1237</v>
      </c>
      <c r="S41" s="88" t="s">
        <v>1274</v>
      </c>
      <c r="T41" s="89"/>
      <c r="U41" s="89">
        <v>0.01</v>
      </c>
      <c r="V41" s="89" t="s">
        <v>2</v>
      </c>
      <c r="W41" s="90"/>
      <c r="Y41" s="88" t="s">
        <v>1255</v>
      </c>
      <c r="Z41" s="89"/>
      <c r="AA41" s="89">
        <v>0.01</v>
      </c>
      <c r="AB41" s="89" t="s">
        <v>2</v>
      </c>
      <c r="AC41" s="90"/>
      <c r="AJ41" s="34"/>
      <c r="AK41" s="34"/>
    </row>
    <row r="42" spans="1:37" x14ac:dyDescent="0.2">
      <c r="A42" s="88" t="s">
        <v>786</v>
      </c>
      <c r="B42" s="89"/>
      <c r="C42" s="89">
        <v>0.5</v>
      </c>
      <c r="D42" s="89" t="s">
        <v>2</v>
      </c>
      <c r="E42" s="90"/>
      <c r="F42" s="34" t="s">
        <v>179</v>
      </c>
      <c r="G42" s="88" t="s">
        <v>786</v>
      </c>
      <c r="H42" s="89"/>
      <c r="I42" s="89">
        <v>0.5</v>
      </c>
      <c r="J42" s="89" t="s">
        <v>2</v>
      </c>
      <c r="K42" s="324" t="s">
        <v>283</v>
      </c>
      <c r="M42" s="88" t="s">
        <v>786</v>
      </c>
      <c r="N42" s="89"/>
      <c r="O42" s="89">
        <v>0.5</v>
      </c>
      <c r="P42" s="89" t="s">
        <v>2</v>
      </c>
      <c r="Q42" s="324" t="s">
        <v>1237</v>
      </c>
      <c r="S42" s="88" t="s">
        <v>1313</v>
      </c>
      <c r="T42" s="89"/>
      <c r="U42" s="89">
        <v>0.5</v>
      </c>
      <c r="V42" s="89" t="s">
        <v>2</v>
      </c>
      <c r="W42" s="90"/>
      <c r="Y42" s="88" t="s">
        <v>1310</v>
      </c>
      <c r="Z42" s="89"/>
      <c r="AA42" s="89">
        <v>0.5</v>
      </c>
      <c r="AB42" s="89" t="s">
        <v>2</v>
      </c>
      <c r="AC42" s="90"/>
      <c r="AJ42" s="34"/>
      <c r="AK42" s="34"/>
    </row>
    <row r="43" spans="1:37" s="35" customFormat="1" x14ac:dyDescent="0.2">
      <c r="A43" s="277" t="s">
        <v>205</v>
      </c>
      <c r="B43" s="278"/>
      <c r="C43" s="278"/>
      <c r="D43" s="278"/>
      <c r="E43" s="279"/>
      <c r="F43" s="1"/>
      <c r="G43" s="277" t="s">
        <v>205</v>
      </c>
      <c r="H43" s="278"/>
      <c r="I43" s="278"/>
      <c r="J43" s="278"/>
      <c r="K43" s="279"/>
      <c r="L43" s="1"/>
      <c r="M43" s="277" t="s">
        <v>205</v>
      </c>
      <c r="N43" s="278"/>
      <c r="O43" s="278"/>
      <c r="P43" s="278"/>
      <c r="Q43" s="279"/>
      <c r="R43" s="1"/>
      <c r="S43" s="277" t="s">
        <v>205</v>
      </c>
      <c r="T43" s="278"/>
      <c r="U43" s="278"/>
      <c r="V43" s="278"/>
      <c r="W43" s="279"/>
      <c r="X43" s="1"/>
      <c r="Y43" s="277" t="s">
        <v>205</v>
      </c>
      <c r="Z43" s="278"/>
      <c r="AA43" s="278"/>
      <c r="AB43" s="278"/>
      <c r="AC43" s="279"/>
      <c r="AD43" s="99"/>
      <c r="AE43" s="99"/>
      <c r="AF43" s="99"/>
      <c r="AG43" s="99"/>
      <c r="AH43" s="99"/>
      <c r="AI43" s="99"/>
      <c r="AJ43" s="99"/>
      <c r="AK43" s="99"/>
    </row>
    <row r="44" spans="1:37" x14ac:dyDescent="0.2">
      <c r="A44" s="280" t="s">
        <v>206</v>
      </c>
      <c r="B44" s="281"/>
      <c r="C44" s="288">
        <v>0.7</v>
      </c>
      <c r="D44" s="281" t="s">
        <v>207</v>
      </c>
      <c r="E44" s="373" t="s">
        <v>1076</v>
      </c>
      <c r="F44" s="244" t="s">
        <v>179</v>
      </c>
      <c r="G44" s="280" t="s">
        <v>206</v>
      </c>
      <c r="H44" s="281"/>
      <c r="I44" s="288">
        <f>0.0933*0.8</f>
        <v>7.4639999999999998E-2</v>
      </c>
      <c r="J44" s="281" t="s">
        <v>207</v>
      </c>
      <c r="K44" s="373" t="s">
        <v>1163</v>
      </c>
      <c r="L44" s="244"/>
      <c r="M44" s="280" t="s">
        <v>206</v>
      </c>
      <c r="N44" s="281"/>
      <c r="O44" s="288">
        <v>5.63</v>
      </c>
      <c r="P44" s="281" t="s">
        <v>207</v>
      </c>
      <c r="Q44" s="373" t="s">
        <v>1086</v>
      </c>
      <c r="R44" s="244"/>
      <c r="S44" s="280" t="s">
        <v>206</v>
      </c>
      <c r="T44" s="281"/>
      <c r="U44" s="288">
        <v>0.7</v>
      </c>
      <c r="V44" s="281" t="s">
        <v>207</v>
      </c>
      <c r="W44" s="373" t="s">
        <v>1076</v>
      </c>
      <c r="X44" s="244"/>
      <c r="Y44" s="280" t="s">
        <v>206</v>
      </c>
      <c r="Z44" s="281"/>
      <c r="AA44" s="288">
        <v>0.7</v>
      </c>
      <c r="AB44" s="281" t="s">
        <v>207</v>
      </c>
      <c r="AC44" s="373" t="s">
        <v>1076</v>
      </c>
    </row>
    <row r="45" spans="1:37" x14ac:dyDescent="0.2">
      <c r="A45" s="280" t="s">
        <v>208</v>
      </c>
      <c r="B45" s="281"/>
      <c r="C45" s="288">
        <f>30/3.6</f>
        <v>8.3333333333333339</v>
      </c>
      <c r="D45" s="281" t="s">
        <v>207</v>
      </c>
      <c r="E45" s="373"/>
      <c r="F45" s="244" t="s">
        <v>179</v>
      </c>
      <c r="G45" s="280" t="s">
        <v>208</v>
      </c>
      <c r="H45" s="281"/>
      <c r="I45" s="288">
        <f>123/350</f>
        <v>0.35142857142857142</v>
      </c>
      <c r="J45" s="281" t="s">
        <v>207</v>
      </c>
      <c r="K45" s="373"/>
      <c r="L45" s="244"/>
      <c r="M45" s="280" t="s">
        <v>208</v>
      </c>
      <c r="N45" s="281"/>
      <c r="O45" s="288">
        <v>0</v>
      </c>
      <c r="P45" s="281" t="s">
        <v>207</v>
      </c>
      <c r="Q45" s="373"/>
      <c r="R45" s="244"/>
      <c r="S45" s="280" t="s">
        <v>208</v>
      </c>
      <c r="T45" s="281"/>
      <c r="U45" s="288">
        <f>30/3.6</f>
        <v>8.3333333333333339</v>
      </c>
      <c r="V45" s="281" t="s">
        <v>207</v>
      </c>
      <c r="W45" s="373"/>
      <c r="X45" s="244"/>
      <c r="Y45" s="280" t="s">
        <v>208</v>
      </c>
      <c r="Z45" s="281"/>
      <c r="AA45" s="288">
        <f>30/3.6</f>
        <v>8.3333333333333339</v>
      </c>
      <c r="AB45" s="281" t="s">
        <v>207</v>
      </c>
      <c r="AC45" s="373"/>
    </row>
    <row r="46" spans="1:37" s="35" customFormat="1" x14ac:dyDescent="0.2">
      <c r="A46" s="277" t="s">
        <v>209</v>
      </c>
      <c r="B46" s="278"/>
      <c r="C46" s="278"/>
      <c r="D46" s="278"/>
      <c r="E46" s="279"/>
      <c r="F46" s="1"/>
      <c r="G46" s="277" t="s">
        <v>209</v>
      </c>
      <c r="H46" s="278"/>
      <c r="I46" s="278"/>
      <c r="J46" s="278"/>
      <c r="K46" s="279"/>
      <c r="L46" s="1"/>
      <c r="M46" s="277" t="s">
        <v>209</v>
      </c>
      <c r="N46" s="278"/>
      <c r="O46" s="278"/>
      <c r="P46" s="278"/>
      <c r="Q46" s="279"/>
      <c r="R46" s="1"/>
      <c r="S46" s="277" t="s">
        <v>209</v>
      </c>
      <c r="T46" s="278"/>
      <c r="U46" s="278"/>
      <c r="V46" s="278"/>
      <c r="W46" s="279"/>
      <c r="X46" s="1"/>
      <c r="Y46" s="277" t="s">
        <v>209</v>
      </c>
      <c r="Z46" s="278"/>
      <c r="AA46" s="278"/>
      <c r="AB46" s="278"/>
      <c r="AC46" s="279"/>
      <c r="AD46" s="99"/>
      <c r="AE46" s="99"/>
      <c r="AF46" s="99"/>
      <c r="AG46" s="99"/>
      <c r="AH46" s="99"/>
      <c r="AI46" s="99"/>
      <c r="AJ46" s="99"/>
      <c r="AK46" s="99"/>
    </row>
    <row r="47" spans="1:37" x14ac:dyDescent="0.2">
      <c r="A47" s="280" t="s">
        <v>210</v>
      </c>
      <c r="B47" s="281"/>
      <c r="C47" s="281">
        <v>2.0000000000000001E-4</v>
      </c>
      <c r="D47" s="281" t="s">
        <v>2</v>
      </c>
      <c r="E47" s="282" t="s">
        <v>211</v>
      </c>
      <c r="F47" s="244" t="s">
        <v>179</v>
      </c>
      <c r="G47" s="280" t="s">
        <v>210</v>
      </c>
      <c r="H47" s="281"/>
      <c r="I47" s="281">
        <v>2.0000000000000002E-5</v>
      </c>
      <c r="J47" s="281" t="s">
        <v>2</v>
      </c>
      <c r="K47" s="324" t="s">
        <v>283</v>
      </c>
      <c r="L47" t="s">
        <v>87</v>
      </c>
      <c r="M47" s="280" t="s">
        <v>210</v>
      </c>
      <c r="N47" s="281"/>
      <c r="O47" s="281">
        <v>2E-3</v>
      </c>
      <c r="P47" s="281" t="s">
        <v>2</v>
      </c>
      <c r="Q47" s="373" t="s">
        <v>1164</v>
      </c>
      <c r="R47" t="s">
        <v>87</v>
      </c>
      <c r="S47" s="280" t="s">
        <v>210</v>
      </c>
      <c r="T47" s="281"/>
      <c r="U47" s="281">
        <v>2.0000000000000001E-4</v>
      </c>
      <c r="V47" s="281" t="s">
        <v>2</v>
      </c>
      <c r="W47" s="282" t="s">
        <v>211</v>
      </c>
      <c r="X47" t="s">
        <v>87</v>
      </c>
      <c r="Y47" s="280" t="s">
        <v>210</v>
      </c>
      <c r="Z47" s="281"/>
      <c r="AA47" s="281">
        <v>2.0000000000000001E-4</v>
      </c>
      <c r="AB47" s="281" t="s">
        <v>2</v>
      </c>
      <c r="AC47" s="282" t="s">
        <v>211</v>
      </c>
      <c r="AD47" s="40" t="s">
        <v>87</v>
      </c>
    </row>
    <row r="48" spans="1:37" s="35" customFormat="1" x14ac:dyDescent="0.2">
      <c r="A48" s="85" t="s">
        <v>212</v>
      </c>
      <c r="B48" s="86"/>
      <c r="C48" s="86"/>
      <c r="D48" s="86"/>
      <c r="E48" s="87"/>
      <c r="G48" s="85" t="s">
        <v>212</v>
      </c>
      <c r="H48" s="86"/>
      <c r="I48" s="86"/>
      <c r="J48" s="86"/>
      <c r="K48" s="87"/>
      <c r="M48" s="85" t="s">
        <v>212</v>
      </c>
      <c r="N48" s="86"/>
      <c r="O48" s="86"/>
      <c r="P48" s="86"/>
      <c r="Q48" s="87"/>
      <c r="S48" s="85" t="s">
        <v>212</v>
      </c>
      <c r="T48" s="86"/>
      <c r="U48" s="86"/>
      <c r="V48" s="86"/>
      <c r="W48" s="87"/>
      <c r="Y48" s="85" t="s">
        <v>212</v>
      </c>
      <c r="Z48" s="86"/>
      <c r="AA48" s="86"/>
      <c r="AB48" s="86"/>
      <c r="AC48" s="87"/>
      <c r="AD48" s="99"/>
      <c r="AE48" s="99"/>
      <c r="AF48" s="99"/>
      <c r="AG48" s="99"/>
      <c r="AH48" s="99"/>
      <c r="AI48" s="99"/>
      <c r="AJ48" s="99"/>
      <c r="AK48" s="99"/>
    </row>
    <row r="49" spans="1:41" ht="13.5" thickBot="1" x14ac:dyDescent="0.25">
      <c r="A49" s="100" t="s">
        <v>213</v>
      </c>
      <c r="B49" s="101"/>
      <c r="C49" s="192">
        <v>0.5</v>
      </c>
      <c r="D49" s="101" t="s">
        <v>2</v>
      </c>
      <c r="E49" s="102" t="s">
        <v>214</v>
      </c>
      <c r="F49" s="34" t="s">
        <v>179</v>
      </c>
      <c r="G49" s="100" t="s">
        <v>213</v>
      </c>
      <c r="H49" s="101"/>
      <c r="I49" s="192">
        <v>0.5</v>
      </c>
      <c r="J49" s="101" t="s">
        <v>2</v>
      </c>
      <c r="K49" s="102" t="s">
        <v>214</v>
      </c>
      <c r="M49" s="100" t="s">
        <v>213</v>
      </c>
      <c r="N49" s="101"/>
      <c r="O49" s="192">
        <v>0.5</v>
      </c>
      <c r="P49" s="101" t="s">
        <v>2</v>
      </c>
      <c r="Q49" s="102" t="s">
        <v>214</v>
      </c>
      <c r="S49" s="100" t="s">
        <v>213</v>
      </c>
      <c r="T49" s="101"/>
      <c r="U49" s="192">
        <v>0.5</v>
      </c>
      <c r="V49" s="101" t="s">
        <v>2</v>
      </c>
      <c r="W49" s="102" t="s">
        <v>214</v>
      </c>
      <c r="Y49" s="100" t="s">
        <v>213</v>
      </c>
      <c r="Z49" s="101"/>
      <c r="AA49" s="192">
        <v>0.5</v>
      </c>
      <c r="AB49" s="101" t="s">
        <v>2</v>
      </c>
      <c r="AC49" s="102" t="s">
        <v>214</v>
      </c>
    </row>
    <row r="53" spans="1:41" x14ac:dyDescent="0.2">
      <c r="Y53" s="34"/>
      <c r="Z53" s="34"/>
    </row>
    <row r="54" spans="1:41" x14ac:dyDescent="0.2">
      <c r="Y54" s="34"/>
      <c r="Z54" s="34"/>
    </row>
    <row r="55" spans="1:41" x14ac:dyDescent="0.2">
      <c r="Y55" s="34"/>
      <c r="Z55" s="34"/>
    </row>
    <row r="56" spans="1:41" s="59" customFormat="1" x14ac:dyDescent="0.2">
      <c r="A56" s="58"/>
      <c r="B56" s="58"/>
    </row>
    <row r="57" spans="1:41" s="7" customFormat="1" x14ac:dyDescent="0.2">
      <c r="A57" s="17" t="s">
        <v>708</v>
      </c>
      <c r="U57" s="197" t="s">
        <v>550</v>
      </c>
      <c r="V57" s="198" t="s">
        <v>551</v>
      </c>
      <c r="W57" s="198" t="s">
        <v>550</v>
      </c>
      <c r="X57" s="198" t="s">
        <v>551</v>
      </c>
      <c r="Y57" s="199" t="s">
        <v>552</v>
      </c>
      <c r="Z57" s="200"/>
      <c r="AA57" s="201"/>
      <c r="AB57" s="17" t="s">
        <v>105</v>
      </c>
      <c r="AC57" s="17"/>
      <c r="AD57" s="148" t="s">
        <v>549</v>
      </c>
      <c r="AE57" s="149"/>
      <c r="AF57" s="149"/>
      <c r="AG57" s="149" t="s">
        <v>548</v>
      </c>
      <c r="AH57" s="149"/>
      <c r="AI57" s="149"/>
      <c r="AJ57" s="149" t="s">
        <v>547</v>
      </c>
      <c r="AK57" s="149"/>
      <c r="AL57" s="149"/>
      <c r="AM57" s="202" t="s">
        <v>553</v>
      </c>
      <c r="AN57" s="200"/>
      <c r="AO57" s="201"/>
    </row>
    <row r="58" spans="1:41" s="49" customFormat="1" ht="15" customHeight="1" x14ac:dyDescent="0.2">
      <c r="A58" s="57" t="s">
        <v>58</v>
      </c>
      <c r="B58" s="55" t="s">
        <v>289</v>
      </c>
      <c r="C58" s="56" t="s">
        <v>100</v>
      </c>
      <c r="D58" s="56" t="s">
        <v>11</v>
      </c>
      <c r="E58" s="63" t="s">
        <v>291</v>
      </c>
      <c r="F58" s="63"/>
      <c r="G58" s="66" t="s">
        <v>292</v>
      </c>
      <c r="H58" s="66" t="s">
        <v>8</v>
      </c>
      <c r="I58" s="66" t="s">
        <v>217</v>
      </c>
      <c r="J58" s="66" t="s">
        <v>11</v>
      </c>
      <c r="K58" s="66" t="s">
        <v>291</v>
      </c>
      <c r="L58" s="63"/>
      <c r="M58" s="67" t="s">
        <v>293</v>
      </c>
      <c r="N58" s="67" t="s">
        <v>8</v>
      </c>
      <c r="O58" s="67" t="s">
        <v>217</v>
      </c>
      <c r="P58" s="67" t="s">
        <v>11</v>
      </c>
      <c r="Q58" s="67" t="s">
        <v>291</v>
      </c>
      <c r="R58" s="67"/>
      <c r="S58" s="63"/>
      <c r="T58" s="79" t="s">
        <v>275</v>
      </c>
      <c r="U58" s="126" t="s">
        <v>530</v>
      </c>
      <c r="V58" s="114" t="s">
        <v>531</v>
      </c>
      <c r="W58" s="114" t="s">
        <v>532</v>
      </c>
      <c r="X58" s="114" t="s">
        <v>533</v>
      </c>
      <c r="Y58" s="114" t="s">
        <v>534</v>
      </c>
      <c r="Z58" s="114" t="s">
        <v>535</v>
      </c>
      <c r="AA58" s="131" t="s">
        <v>536</v>
      </c>
      <c r="AB58" s="22" t="s">
        <v>545</v>
      </c>
      <c r="AC58" s="23" t="s">
        <v>546</v>
      </c>
      <c r="AD58" s="148" t="s">
        <v>31</v>
      </c>
      <c r="AE58" s="149" t="s">
        <v>32</v>
      </c>
      <c r="AF58" s="150" t="s">
        <v>33</v>
      </c>
      <c r="AG58" s="148" t="s">
        <v>31</v>
      </c>
      <c r="AH58" s="149" t="s">
        <v>32</v>
      </c>
      <c r="AI58" s="150" t="s">
        <v>33</v>
      </c>
      <c r="AJ58" s="148" t="s">
        <v>31</v>
      </c>
      <c r="AK58" s="149" t="s">
        <v>32</v>
      </c>
      <c r="AL58" s="149" t="s">
        <v>33</v>
      </c>
      <c r="AM58" s="159"/>
      <c r="AN58" s="156"/>
      <c r="AO58" s="160"/>
    </row>
    <row r="59" spans="1:41" s="8" customFormat="1" ht="15" customHeight="1" x14ac:dyDescent="0.2">
      <c r="A59" s="68" t="str">
        <f>'36. Generic chemical products'!A5</f>
        <v>Detergent, average (Ultravon EL)</v>
      </c>
      <c r="B59" s="68" t="str">
        <f>'36. Generic chemical products'!B5</f>
        <v>Polyacrylic acid, sodium salt</v>
      </c>
      <c r="C59" s="68">
        <f>'36. Generic chemical products'!C5</f>
        <v>0.1</v>
      </c>
      <c r="D59" s="68" t="str">
        <f>'36. Generic chemical products'!D5</f>
        <v>kg</v>
      </c>
      <c r="E59" s="68" t="str">
        <f>'36. Generic chemical products'!E5</f>
        <v>MSDS</v>
      </c>
      <c r="F59" s="68">
        <f>'36. Generic chemical products'!F5</f>
        <v>0</v>
      </c>
      <c r="G59" s="68" t="str">
        <f>'36. Generic chemical products'!G5</f>
        <v>-</v>
      </c>
      <c r="H59" s="68">
        <f>'36. Generic chemical products'!H5</f>
        <v>0</v>
      </c>
      <c r="I59" s="68">
        <f>'36. Generic chemical products'!I5</f>
        <v>0</v>
      </c>
      <c r="J59" s="68">
        <f>'36. Generic chemical products'!J5</f>
        <v>0</v>
      </c>
      <c r="K59" s="68">
        <f>'36. Generic chemical products'!K5</f>
        <v>0</v>
      </c>
      <c r="L59" s="68">
        <f>'36. Generic chemical products'!L5</f>
        <v>0</v>
      </c>
      <c r="M59" s="68" t="str">
        <f>'36. Generic chemical products'!M5</f>
        <v>Polyacrylic acid, sodium salt</v>
      </c>
      <c r="N59" s="68" t="str">
        <f>'36. Generic chemical products'!N5</f>
        <v>river</v>
      </c>
      <c r="O59" s="68">
        <f>'36. Generic chemical products'!O5</f>
        <v>9.9000000000000008E-3</v>
      </c>
      <c r="P59" s="68" t="str">
        <f>'36. Generic chemical products'!P5</f>
        <v>kg</v>
      </c>
      <c r="Q59" s="68" t="str">
        <f>'36. Generic chemical products'!Q5</f>
        <v>1% of polymer content remains as monomers from the production process.</v>
      </c>
      <c r="R59" s="68">
        <f>'36. Generic chemical products'!R5</f>
        <v>0</v>
      </c>
      <c r="S59" s="68">
        <f>'36. Generic chemical products'!S5</f>
        <v>0</v>
      </c>
      <c r="T59" s="68" t="str">
        <f>'36. Generic chemical products'!T5</f>
        <v>9003-04-7</v>
      </c>
      <c r="U59" s="68">
        <f>'36. Generic chemical products'!U5</f>
        <v>0</v>
      </c>
      <c r="V59" s="68">
        <f>'36. Generic chemical products'!V5</f>
        <v>0</v>
      </c>
      <c r="W59" s="68">
        <f>'36. Generic chemical products'!W5</f>
        <v>0</v>
      </c>
      <c r="X59" s="68">
        <f>'36. Generic chemical products'!X5</f>
        <v>0</v>
      </c>
      <c r="Y59" s="68">
        <f>'36. Generic chemical products'!Y5</f>
        <v>7.06</v>
      </c>
      <c r="Z59" s="68">
        <f>'36. Generic chemical products'!Z5</f>
        <v>78.599999999999994</v>
      </c>
      <c r="AA59" s="68" t="str">
        <f>'36. Generic chemical products'!AA5</f>
        <v>COSMEDE</v>
      </c>
      <c r="AB59" s="27">
        <f t="shared" ref="AB59:AB64" si="0">$C$19*I59</f>
        <v>0</v>
      </c>
      <c r="AC59" s="27">
        <f t="shared" ref="AC59:AC64" si="1">$C$31*O59</f>
        <v>9.9000000000000021E-4</v>
      </c>
      <c r="AD59" s="135">
        <f>AB59*U59+AC59*W59</f>
        <v>0</v>
      </c>
      <c r="AE59" s="135">
        <f t="shared" ref="AE59:AE89" si="2">AB59*V59+AC59*X59</f>
        <v>0</v>
      </c>
      <c r="AF59" s="24">
        <f t="shared" ref="AF59:AF89" si="3">AB59*Y59+AC59*Z59</f>
        <v>7.7814000000000008E-2</v>
      </c>
      <c r="AG59" s="24">
        <f t="shared" ref="AG59:AG89" si="4">AB59*U59</f>
        <v>0</v>
      </c>
      <c r="AH59" s="24">
        <f t="shared" ref="AH59:AH89" si="5">AB59*V59</f>
        <v>0</v>
      </c>
      <c r="AI59" s="24">
        <f t="shared" ref="AI59:AI89" si="6">AB59*Y59</f>
        <v>0</v>
      </c>
      <c r="AJ59" s="24">
        <f t="shared" ref="AJ59:AJ89" si="7">AC59*W59</f>
        <v>0</v>
      </c>
      <c r="AK59" s="24">
        <f t="shared" ref="AK59:AK89" si="8">AC59*X59</f>
        <v>0</v>
      </c>
      <c r="AL59" s="24">
        <f t="shared" ref="AL59:AL89" si="9">AC59*Z59</f>
        <v>7.7814000000000008E-2</v>
      </c>
      <c r="AM59" s="161">
        <f t="shared" ref="AM59:AO74" si="10">AG59+AJ59</f>
        <v>0</v>
      </c>
      <c r="AN59" s="157">
        <f t="shared" si="10"/>
        <v>0</v>
      </c>
      <c r="AO59" s="162">
        <f t="shared" si="10"/>
        <v>7.7814000000000008E-2</v>
      </c>
    </row>
    <row r="60" spans="1:41" s="8" customFormat="1" ht="15" customHeight="1" x14ac:dyDescent="0.2">
      <c r="A60" s="68" t="str">
        <f>'36. Generic chemical products'!A6</f>
        <v>Detergent, average (Ultravon EL)</v>
      </c>
      <c r="B60" s="68" t="str">
        <f>'36. Generic chemical products'!B6</f>
        <v>Oxirane, methyl-, polymer with oxirane, decyl ether</v>
      </c>
      <c r="C60" s="68">
        <f>'36. Generic chemical products'!C6</f>
        <v>0.25</v>
      </c>
      <c r="D60" s="68" t="str">
        <f>'36. Generic chemical products'!D6</f>
        <v>kg</v>
      </c>
      <c r="E60" s="68" t="str">
        <f>'36. Generic chemical products'!E6</f>
        <v>MSDS</v>
      </c>
      <c r="F60" s="68">
        <f>'36. Generic chemical products'!F6</f>
        <v>0</v>
      </c>
      <c r="G60" s="68" t="str">
        <f>'36. Generic chemical products'!G6</f>
        <v>-</v>
      </c>
      <c r="H60" s="68">
        <f>'36. Generic chemical products'!H6</f>
        <v>0</v>
      </c>
      <c r="I60" s="68">
        <f>'36. Generic chemical products'!I6</f>
        <v>0</v>
      </c>
      <c r="J60" s="68">
        <f>'36. Generic chemical products'!J6</f>
        <v>0</v>
      </c>
      <c r="K60" s="68">
        <f>'36. Generic chemical products'!K6</f>
        <v>0</v>
      </c>
      <c r="L60" s="68">
        <f>'36. Generic chemical products'!L6</f>
        <v>0</v>
      </c>
      <c r="M60" s="68" t="str">
        <f>'36. Generic chemical products'!M6</f>
        <v>Oxirane, methyl-, polymer with oxirane, decyl ether</v>
      </c>
      <c r="N60" s="68" t="str">
        <f>'36. Generic chemical products'!N6</f>
        <v>river</v>
      </c>
      <c r="O60" s="68">
        <f>'36. Generic chemical products'!O6</f>
        <v>2.5000000000000001E-2</v>
      </c>
      <c r="P60" s="68" t="str">
        <f>'36. Generic chemical products'!P6</f>
        <v>kg</v>
      </c>
      <c r="Q60" s="68">
        <f>'36. Generic chemical products'!Q6</f>
        <v>0</v>
      </c>
      <c r="R60" s="68">
        <f>'36. Generic chemical products'!R6</f>
        <v>0</v>
      </c>
      <c r="S60" s="68">
        <f>'36. Generic chemical products'!S6</f>
        <v>0</v>
      </c>
      <c r="T60" s="68" t="str">
        <f>'36. Generic chemical products'!T6</f>
        <v>37251-67-5</v>
      </c>
      <c r="U60" s="68">
        <f>'36. Generic chemical products'!U6</f>
        <v>0</v>
      </c>
      <c r="V60" s="68">
        <f>'36. Generic chemical products'!V6</f>
        <v>1.2009414857886904E-7</v>
      </c>
      <c r="W60" s="68">
        <f>'36. Generic chemical products'!W6</f>
        <v>0</v>
      </c>
      <c r="X60" s="68">
        <f>'36. Generic chemical products'!X6</f>
        <v>3.2843909509658706E-7</v>
      </c>
      <c r="Y60" s="68">
        <f>'36. Generic chemical products'!Y6</f>
        <v>14.526941022240393</v>
      </c>
      <c r="Z60" s="68">
        <f>'36. Generic chemical products'!Z6</f>
        <v>111.251141519207</v>
      </c>
      <c r="AA60" s="68" t="str">
        <f>'36. Generic chemical products'!AA6</f>
        <v>Roos 2017</v>
      </c>
      <c r="AB60" s="27">
        <f t="shared" si="0"/>
        <v>0</v>
      </c>
      <c r="AC60" s="27">
        <f t="shared" si="1"/>
        <v>2.5000000000000005E-3</v>
      </c>
      <c r="AD60" s="135">
        <f t="shared" ref="AD60:AD89" si="11">AB60*U60+AC60*W60</f>
        <v>0</v>
      </c>
      <c r="AE60" s="135">
        <f t="shared" si="2"/>
        <v>8.2109773774146776E-10</v>
      </c>
      <c r="AF60" s="24">
        <f t="shared" si="3"/>
        <v>0.27812785379801752</v>
      </c>
      <c r="AG60" s="24">
        <f t="shared" si="4"/>
        <v>0</v>
      </c>
      <c r="AH60" s="24">
        <f t="shared" si="5"/>
        <v>0</v>
      </c>
      <c r="AI60" s="24">
        <f t="shared" si="6"/>
        <v>0</v>
      </c>
      <c r="AJ60" s="24">
        <f t="shared" si="7"/>
        <v>0</v>
      </c>
      <c r="AK60" s="24">
        <f t="shared" si="8"/>
        <v>8.2109773774146776E-10</v>
      </c>
      <c r="AL60" s="24">
        <f t="shared" si="9"/>
        <v>0.27812785379801752</v>
      </c>
      <c r="AM60" s="161">
        <f t="shared" si="10"/>
        <v>0</v>
      </c>
      <c r="AN60" s="157">
        <f t="shared" si="10"/>
        <v>8.2109773774146776E-10</v>
      </c>
      <c r="AO60" s="162">
        <f t="shared" si="10"/>
        <v>0.27812785379801752</v>
      </c>
    </row>
    <row r="61" spans="1:41" s="8" customFormat="1" ht="15" customHeight="1" x14ac:dyDescent="0.2">
      <c r="A61" s="68" t="str">
        <f>'36. Generic chemical products'!A7</f>
        <v>Detergent, average (Ultravon EL)</v>
      </c>
      <c r="B61" s="68" t="str">
        <f>'36. Generic chemical products'!B7</f>
        <v>Ethoxylated fatty alcohol (&gt;6 EO)</v>
      </c>
      <c r="C61" s="68">
        <f>'36. Generic chemical products'!C7</f>
        <v>0.1</v>
      </c>
      <c r="D61" s="68" t="str">
        <f>'36. Generic chemical products'!D7</f>
        <v>kg</v>
      </c>
      <c r="E61" s="68" t="str">
        <f>'36. Generic chemical products'!E7</f>
        <v>MSDS</v>
      </c>
      <c r="F61" s="68">
        <f>'36. Generic chemical products'!F7</f>
        <v>0</v>
      </c>
      <c r="G61" s="68" t="str">
        <f>'36. Generic chemical products'!G7</f>
        <v>-</v>
      </c>
      <c r="H61" s="68">
        <f>'36. Generic chemical products'!H7</f>
        <v>0</v>
      </c>
      <c r="I61" s="68">
        <f>'36. Generic chemical products'!I7</f>
        <v>0</v>
      </c>
      <c r="J61" s="68">
        <f>'36. Generic chemical products'!J7</f>
        <v>0</v>
      </c>
      <c r="K61" s="68">
        <f>'36. Generic chemical products'!K7</f>
        <v>0</v>
      </c>
      <c r="L61" s="68">
        <f>'36. Generic chemical products'!L7</f>
        <v>0</v>
      </c>
      <c r="M61" s="68" t="str">
        <f>'36. Generic chemical products'!M7</f>
        <v>Alcohols, c12-14, ethoxylated</v>
      </c>
      <c r="N61" s="68" t="str">
        <f>'36. Generic chemical products'!N7</f>
        <v>river</v>
      </c>
      <c r="O61" s="68">
        <f>'36. Generic chemical products'!O7</f>
        <v>1.0000000000000002E-2</v>
      </c>
      <c r="P61" s="68" t="str">
        <f>'36. Generic chemical products'!P7</f>
        <v>kg</v>
      </c>
      <c r="Q61" s="68">
        <f>'36. Generic chemical products'!Q7</f>
        <v>0</v>
      </c>
      <c r="R61" s="68">
        <f>'36. Generic chemical products'!R7</f>
        <v>0</v>
      </c>
      <c r="S61" s="68">
        <f>'36. Generic chemical products'!S7</f>
        <v>0</v>
      </c>
      <c r="T61" s="68" t="str">
        <f>'36. Generic chemical products'!T7</f>
        <v>69011-36-5</v>
      </c>
      <c r="U61" s="68">
        <f>'36. Generic chemical products'!U7</f>
        <v>0</v>
      </c>
      <c r="V61" s="68">
        <f>'36. Generic chemical products'!V7</f>
        <v>0</v>
      </c>
      <c r="W61" s="68">
        <f>'36. Generic chemical products'!W7</f>
        <v>0</v>
      </c>
      <c r="X61" s="68">
        <f>'36. Generic chemical products'!X7</f>
        <v>0</v>
      </c>
      <c r="Y61" s="68">
        <f>'36. Generic chemical products'!Y7</f>
        <v>47</v>
      </c>
      <c r="Z61" s="68">
        <f>'36. Generic chemical products'!Z7</f>
        <v>913</v>
      </c>
      <c r="AA61" s="68" t="str">
        <f>'36. Generic chemical products'!AA7</f>
        <v>COSMEDE</v>
      </c>
      <c r="AB61" s="27">
        <f t="shared" si="0"/>
        <v>0</v>
      </c>
      <c r="AC61" s="27">
        <f t="shared" si="1"/>
        <v>1.0000000000000002E-3</v>
      </c>
      <c r="AD61" s="135">
        <f t="shared" si="11"/>
        <v>0</v>
      </c>
      <c r="AE61" s="135">
        <f t="shared" si="2"/>
        <v>0</v>
      </c>
      <c r="AF61" s="24">
        <f t="shared" si="3"/>
        <v>0.91300000000000026</v>
      </c>
      <c r="AG61" s="24">
        <f t="shared" si="4"/>
        <v>0</v>
      </c>
      <c r="AH61" s="24">
        <f t="shared" si="5"/>
        <v>0</v>
      </c>
      <c r="AI61" s="24">
        <f t="shared" si="6"/>
        <v>0</v>
      </c>
      <c r="AJ61" s="24">
        <f t="shared" si="7"/>
        <v>0</v>
      </c>
      <c r="AK61" s="24">
        <f t="shared" si="8"/>
        <v>0</v>
      </c>
      <c r="AL61" s="24">
        <f t="shared" si="9"/>
        <v>0.91300000000000026</v>
      </c>
      <c r="AM61" s="161">
        <f t="shared" si="10"/>
        <v>0</v>
      </c>
      <c r="AN61" s="157">
        <f t="shared" si="10"/>
        <v>0</v>
      </c>
      <c r="AO61" s="162">
        <f t="shared" si="10"/>
        <v>0.91300000000000026</v>
      </c>
    </row>
    <row r="62" spans="1:41" s="8" customFormat="1" ht="15" customHeight="1" x14ac:dyDescent="0.2">
      <c r="A62" s="68" t="str">
        <f>'36. Generic chemical products'!A8</f>
        <v>Detergent, average (Ultravon EL)</v>
      </c>
      <c r="B62" s="68" t="str">
        <f>'36. Generic chemical products'!B8</f>
        <v>Sodium mono(2-ethylhexyl)estersulfate</v>
      </c>
      <c r="C62" s="68">
        <f>'36. Generic chemical products'!C8</f>
        <v>0.05</v>
      </c>
      <c r="D62" s="68" t="str">
        <f>'36. Generic chemical products'!D8</f>
        <v>kg</v>
      </c>
      <c r="E62" s="68" t="str">
        <f>'36. Generic chemical products'!E8</f>
        <v>MSDS</v>
      </c>
      <c r="F62" s="68">
        <f>'36. Generic chemical products'!F8</f>
        <v>0</v>
      </c>
      <c r="G62" s="68" t="str">
        <f>'36. Generic chemical products'!G8</f>
        <v>-</v>
      </c>
      <c r="H62" s="68">
        <f>'36. Generic chemical products'!H8</f>
        <v>0</v>
      </c>
      <c r="I62" s="68">
        <f>'36. Generic chemical products'!I8</f>
        <v>0</v>
      </c>
      <c r="J62" s="68">
        <f>'36. Generic chemical products'!J8</f>
        <v>0</v>
      </c>
      <c r="K62" s="68">
        <f>'36. Generic chemical products'!K8</f>
        <v>0</v>
      </c>
      <c r="L62" s="68">
        <f>'36. Generic chemical products'!L8</f>
        <v>0</v>
      </c>
      <c r="M62" s="68" t="str">
        <f>'36. Generic chemical products'!M8</f>
        <v>Sodium mono(2-ethylhexyl)estersulfate</v>
      </c>
      <c r="N62" s="68" t="str">
        <f>'36. Generic chemical products'!N8</f>
        <v>river</v>
      </c>
      <c r="O62" s="68">
        <f>'36. Generic chemical products'!O8</f>
        <v>5.000000000000001E-3</v>
      </c>
      <c r="P62" s="68" t="str">
        <f>'36. Generic chemical products'!P8</f>
        <v>kg</v>
      </c>
      <c r="Q62" s="68">
        <f>'36. Generic chemical products'!Q8</f>
        <v>0</v>
      </c>
      <c r="R62" s="68">
        <f>'36. Generic chemical products'!R8</f>
        <v>0</v>
      </c>
      <c r="S62" s="68">
        <f>'36. Generic chemical products'!S8</f>
        <v>0</v>
      </c>
      <c r="T62" s="68" t="str">
        <f>'36. Generic chemical products'!T8</f>
        <v>126-92-1</v>
      </c>
      <c r="U62" s="68">
        <f>'36. Generic chemical products'!U8</f>
        <v>0</v>
      </c>
      <c r="V62" s="68">
        <f>'36. Generic chemical products'!V8</f>
        <v>0</v>
      </c>
      <c r="W62" s="68">
        <f>'36. Generic chemical products'!W8</f>
        <v>0</v>
      </c>
      <c r="X62" s="68">
        <f>'36. Generic chemical products'!X8</f>
        <v>0</v>
      </c>
      <c r="Y62" s="68">
        <f>'36. Generic chemical products'!Y8</f>
        <v>109.72</v>
      </c>
      <c r="Z62" s="68">
        <f>'36. Generic chemical products'!Z8</f>
        <v>110</v>
      </c>
      <c r="AA62" s="68" t="str">
        <f>'36. Generic chemical products'!AA8</f>
        <v>COSMEDE</v>
      </c>
      <c r="AB62" s="27">
        <f t="shared" si="0"/>
        <v>0</v>
      </c>
      <c r="AC62" s="27">
        <f t="shared" si="1"/>
        <v>5.0000000000000012E-4</v>
      </c>
      <c r="AD62" s="135">
        <f t="shared" si="11"/>
        <v>0</v>
      </c>
      <c r="AE62" s="135">
        <f t="shared" si="2"/>
        <v>0</v>
      </c>
      <c r="AF62" s="24">
        <f t="shared" si="3"/>
        <v>5.5000000000000014E-2</v>
      </c>
      <c r="AG62" s="24">
        <f t="shared" si="4"/>
        <v>0</v>
      </c>
      <c r="AH62" s="24">
        <f t="shared" si="5"/>
        <v>0</v>
      </c>
      <c r="AI62" s="24">
        <f t="shared" si="6"/>
        <v>0</v>
      </c>
      <c r="AJ62" s="24">
        <f t="shared" si="7"/>
        <v>0</v>
      </c>
      <c r="AK62" s="24">
        <f t="shared" si="8"/>
        <v>0</v>
      </c>
      <c r="AL62" s="24">
        <f t="shared" si="9"/>
        <v>5.5000000000000014E-2</v>
      </c>
      <c r="AM62" s="161">
        <f t="shared" si="10"/>
        <v>0</v>
      </c>
      <c r="AN62" s="157">
        <f t="shared" si="10"/>
        <v>0</v>
      </c>
      <c r="AO62" s="162">
        <f t="shared" si="10"/>
        <v>5.5000000000000014E-2</v>
      </c>
    </row>
    <row r="63" spans="1:41" s="8" customFormat="1" ht="15" customHeight="1" x14ac:dyDescent="0.2">
      <c r="A63" s="68" t="str">
        <f>'36. Generic chemical products'!A9</f>
        <v>Detergent, average (Ultravon EL)</v>
      </c>
      <c r="B63" s="68" t="str">
        <f>'36. Generic chemical products'!B9</f>
        <v>Ethylene oxide</v>
      </c>
      <c r="C63" s="68">
        <f>'36. Generic chemical products'!C9</f>
        <v>0</v>
      </c>
      <c r="D63" s="68">
        <f>'36. Generic chemical products'!D9</f>
        <v>0</v>
      </c>
      <c r="E63" s="68" t="str">
        <f>'36. Generic chemical products'!E9</f>
        <v>&lt;= 0.1% in alcohol ethoxylates</v>
      </c>
      <c r="F63" s="68">
        <f>'36. Generic chemical products'!F9</f>
        <v>0</v>
      </c>
      <c r="G63" s="68" t="str">
        <f>'36. Generic chemical products'!G9</f>
        <v>Ethylene oxide</v>
      </c>
      <c r="H63" s="68" t="str">
        <f>'36. Generic chemical products'!H9</f>
        <v>high. pop.</v>
      </c>
      <c r="I63" s="68">
        <f>'36. Generic chemical products'!I9</f>
        <v>1.0000000000000001E-7</v>
      </c>
      <c r="J63" s="68" t="str">
        <f>'36. Generic chemical products'!J9</f>
        <v>kg</v>
      </c>
      <c r="K63" s="68">
        <f>'36. Generic chemical products'!K9</f>
        <v>0</v>
      </c>
      <c r="L63" s="68">
        <f>'36. Generic chemical products'!L9</f>
        <v>0</v>
      </c>
      <c r="M63" s="68" t="str">
        <f>'36. Generic chemical products'!M9</f>
        <v>Ethylene oxide</v>
      </c>
      <c r="N63" s="68" t="str">
        <f>'36. Generic chemical products'!N9</f>
        <v>river</v>
      </c>
      <c r="O63" s="68">
        <f>'36. Generic chemical products'!O9</f>
        <v>1.0000000000000001E-5</v>
      </c>
      <c r="P63" s="68" t="str">
        <f>'36. Generic chemical products'!P9</f>
        <v>kg</v>
      </c>
      <c r="Q63" s="68" t="str">
        <f>'36. Generic chemical products'!Q9</f>
        <v>&lt;= 0.001 in alcohol ethoxylates</v>
      </c>
      <c r="R63" s="68">
        <f>'36. Generic chemical products'!R9</f>
        <v>0</v>
      </c>
      <c r="S63" s="68">
        <f>'36. Generic chemical products'!S9</f>
        <v>0</v>
      </c>
      <c r="T63" s="68" t="str">
        <f>'36. Generic chemical products'!T9</f>
        <v>75-21-8</v>
      </c>
      <c r="U63" s="68">
        <f>'36. Generic chemical products'!U9</f>
        <v>1.0252176328593382E-6</v>
      </c>
      <c r="V63" s="68">
        <f>'36. Generic chemical products'!V9</f>
        <v>0</v>
      </c>
      <c r="W63" s="68">
        <f>'36. Generic chemical products'!W9</f>
        <v>8.6533271568247147E-7</v>
      </c>
      <c r="X63" s="68">
        <f>'36. Generic chemical products'!X9</f>
        <v>0</v>
      </c>
      <c r="Y63" s="68">
        <f>'36. Generic chemical products'!Y9</f>
        <v>0.65406517859613422</v>
      </c>
      <c r="Z63" s="68">
        <f>'36. Generic chemical products'!Z9</f>
        <v>11.248588270889815</v>
      </c>
      <c r="AA63" s="68" t="str">
        <f>'36. Generic chemical products'!AA9</f>
        <v>USEtox</v>
      </c>
      <c r="AB63" s="27">
        <f t="shared" si="0"/>
        <v>1.0000000000000002E-8</v>
      </c>
      <c r="AC63" s="27">
        <f t="shared" si="1"/>
        <v>1.0000000000000002E-6</v>
      </c>
      <c r="AD63" s="135">
        <f t="shared" si="11"/>
        <v>8.75584892011065E-13</v>
      </c>
      <c r="AE63" s="135">
        <f t="shared" si="2"/>
        <v>0</v>
      </c>
      <c r="AF63" s="24">
        <f t="shared" si="3"/>
        <v>1.1255128922675778E-5</v>
      </c>
      <c r="AG63" s="24">
        <f t="shared" si="4"/>
        <v>1.0252176328593384E-14</v>
      </c>
      <c r="AH63" s="24">
        <f t="shared" si="5"/>
        <v>0</v>
      </c>
      <c r="AI63" s="24">
        <f t="shared" si="6"/>
        <v>6.5406517859613432E-9</v>
      </c>
      <c r="AJ63" s="24">
        <f t="shared" si="7"/>
        <v>8.6533271568247165E-13</v>
      </c>
      <c r="AK63" s="24">
        <f t="shared" si="8"/>
        <v>0</v>
      </c>
      <c r="AL63" s="24">
        <f t="shared" si="9"/>
        <v>1.1248588270889817E-5</v>
      </c>
      <c r="AM63" s="161">
        <f t="shared" si="10"/>
        <v>8.75584892011065E-13</v>
      </c>
      <c r="AN63" s="157">
        <f t="shared" si="10"/>
        <v>0</v>
      </c>
      <c r="AO63" s="162">
        <f t="shared" si="10"/>
        <v>1.1255128922675778E-5</v>
      </c>
    </row>
    <row r="64" spans="1:41" s="49" customFormat="1" ht="15" customHeight="1" x14ac:dyDescent="0.2">
      <c r="A64" s="193" t="str">
        <f>'36. Generic chemical products'!A10</f>
        <v>Detergent, average (Ultravon EL)</v>
      </c>
      <c r="B64" s="193" t="str">
        <f>'36. Generic chemical products'!B10</f>
        <v xml:space="preserve"> </v>
      </c>
      <c r="C64" s="193">
        <f>'36. Generic chemical products'!C10</f>
        <v>0</v>
      </c>
      <c r="D64" s="193">
        <f>'36. Generic chemical products'!D10</f>
        <v>0</v>
      </c>
      <c r="E64" s="193" t="str">
        <f>'36. Generic chemical products'!E10</f>
        <v>Common breakdown product of of acrylics, 0.001 % assumed</v>
      </c>
      <c r="F64" s="193">
        <f>'36. Generic chemical products'!F10</f>
        <v>0</v>
      </c>
      <c r="G64" s="193" t="str">
        <f>'36. Generic chemical products'!G10</f>
        <v>Formaldehyde</v>
      </c>
      <c r="H64" s="193" t="str">
        <f>'36. Generic chemical products'!H10</f>
        <v>high. pop.</v>
      </c>
      <c r="I64" s="193">
        <f>'36. Generic chemical products'!I10</f>
        <v>1.0000000000000001E-7</v>
      </c>
      <c r="J64" s="193" t="str">
        <f>'36. Generic chemical products'!J10</f>
        <v>kg</v>
      </c>
      <c r="K64" s="193">
        <f>'36. Generic chemical products'!K10</f>
        <v>0</v>
      </c>
      <c r="L64" s="193">
        <f>'36. Generic chemical products'!L10</f>
        <v>0</v>
      </c>
      <c r="M64" s="193" t="str">
        <f>'36. Generic chemical products'!M10</f>
        <v>Formaldehyde</v>
      </c>
      <c r="N64" s="193" t="str">
        <f>'36. Generic chemical products'!N10</f>
        <v>river</v>
      </c>
      <c r="O64" s="193">
        <f>'36. Generic chemical products'!O10</f>
        <v>1.0000000000000002E-6</v>
      </c>
      <c r="P64" s="193" t="str">
        <f>'36. Generic chemical products'!P10</f>
        <v>kg</v>
      </c>
      <c r="Q64" s="193" t="str">
        <f>'36. Generic chemical products'!Q10</f>
        <v xml:space="preserve">0.1 % of the content is degraded to common breakdown products. 90% of reactive chemicals are degraded during operations. </v>
      </c>
      <c r="R64" s="193">
        <f>'36. Generic chemical products'!R10</f>
        <v>0</v>
      </c>
      <c r="S64" s="193">
        <f>'36. Generic chemical products'!S10</f>
        <v>0</v>
      </c>
      <c r="T64" s="193" t="str">
        <f>'36. Generic chemical products'!T10</f>
        <v>50-00-0</v>
      </c>
      <c r="U64" s="193">
        <f>'36. Generic chemical products'!U10</f>
        <v>2.5208446330720887E-5</v>
      </c>
      <c r="V64" s="193">
        <f>'36. Generic chemical products'!V10</f>
        <v>2.6504960021309262E-7</v>
      </c>
      <c r="W64" s="193">
        <f>'36. Generic chemical products'!W10</f>
        <v>1.4222228897488039E-7</v>
      </c>
      <c r="X64" s="193">
        <f>'36. Generic chemical products'!X10</f>
        <v>3.170874313501273E-7</v>
      </c>
      <c r="Y64" s="193">
        <f>'36. Generic chemical products'!Y10</f>
        <v>17.989178582912412</v>
      </c>
      <c r="Z64" s="193">
        <f>'36. Generic chemical products'!Z10</f>
        <v>290.05086067463066</v>
      </c>
      <c r="AA64" s="193" t="str">
        <f>'36. Generic chemical products'!AA10</f>
        <v>USEtox</v>
      </c>
      <c r="AB64" s="28">
        <f t="shared" si="0"/>
        <v>1.0000000000000002E-8</v>
      </c>
      <c r="AC64" s="28">
        <f t="shared" si="1"/>
        <v>1.0000000000000002E-7</v>
      </c>
      <c r="AD64" s="147">
        <f t="shared" si="11"/>
        <v>2.6630669220469693E-13</v>
      </c>
      <c r="AE64" s="147">
        <f t="shared" si="2"/>
        <v>3.4359239137143667E-14</v>
      </c>
      <c r="AF64" s="25">
        <f t="shared" si="3"/>
        <v>2.9184977853292195E-5</v>
      </c>
      <c r="AG64" s="25">
        <f t="shared" si="4"/>
        <v>2.520844633072089E-13</v>
      </c>
      <c r="AH64" s="25">
        <f t="shared" si="5"/>
        <v>2.6504960021309266E-15</v>
      </c>
      <c r="AI64" s="25">
        <f t="shared" si="6"/>
        <v>1.7989178582912415E-7</v>
      </c>
      <c r="AJ64" s="25">
        <f t="shared" si="7"/>
        <v>1.4222228897488044E-14</v>
      </c>
      <c r="AK64" s="25">
        <f t="shared" si="8"/>
        <v>3.170874313501274E-14</v>
      </c>
      <c r="AL64" s="25">
        <f t="shared" si="9"/>
        <v>2.900508606746307E-5</v>
      </c>
      <c r="AM64" s="163">
        <f t="shared" si="10"/>
        <v>2.6630669220469693E-13</v>
      </c>
      <c r="AN64" s="164">
        <f t="shared" si="10"/>
        <v>3.4359239137143667E-14</v>
      </c>
      <c r="AO64" s="165">
        <f t="shared" si="10"/>
        <v>2.9184977853292195E-5</v>
      </c>
    </row>
    <row r="65" spans="1:41" s="361" customFormat="1" ht="15" customHeight="1" x14ac:dyDescent="0.2">
      <c r="A65" s="400" t="str">
        <f>'36. Generic chemical products'!A22</f>
        <v>Sequestering agent/complex binder, average (Invatex)</v>
      </c>
      <c r="B65" s="400" t="str">
        <f>'36. Generic chemical products'!B22</f>
        <v>Phosphonic acid, disodium salt</v>
      </c>
      <c r="C65" s="400">
        <f>'36. Generic chemical products'!C22</f>
        <v>0.3</v>
      </c>
      <c r="D65" s="400" t="str">
        <f>'36. Generic chemical products'!D22</f>
        <v>kg</v>
      </c>
      <c r="E65" s="400" t="str">
        <f>'36. Generic chemical products'!E22</f>
        <v>MSDS</v>
      </c>
      <c r="F65" s="400">
        <f>'36. Generic chemical products'!F22</f>
        <v>0</v>
      </c>
      <c r="G65" s="400" t="str">
        <f>'36. Generic chemical products'!G22</f>
        <v>Phosphonic acid</v>
      </c>
      <c r="H65" s="400" t="str">
        <f>'36. Generic chemical products'!H22</f>
        <v>high. pop.</v>
      </c>
      <c r="I65" s="400">
        <f>'36. Generic chemical products'!I22</f>
        <v>2.9999999999999997E-4</v>
      </c>
      <c r="J65" s="400">
        <f>'36. Generic chemical products'!J22</f>
        <v>0</v>
      </c>
      <c r="K65" s="400">
        <f>'36. Generic chemical products'!K22</f>
        <v>0</v>
      </c>
      <c r="L65" s="400">
        <f>'36. Generic chemical products'!L22</f>
        <v>0</v>
      </c>
      <c r="M65" s="400" t="str">
        <f>'36. Generic chemical products'!M22</f>
        <v>Phosphonic acid</v>
      </c>
      <c r="N65" s="400" t="str">
        <f>'36. Generic chemical products'!N22</f>
        <v>river</v>
      </c>
      <c r="O65" s="400">
        <f>'36. Generic chemical products'!O22</f>
        <v>0.03</v>
      </c>
      <c r="P65" s="400" t="str">
        <f>'36. Generic chemical products'!P22</f>
        <v>kg</v>
      </c>
      <c r="Q65" s="400">
        <f>'36. Generic chemical products'!Q22</f>
        <v>0</v>
      </c>
      <c r="R65" s="400">
        <f>'36. Generic chemical products'!R22</f>
        <v>0</v>
      </c>
      <c r="S65" s="400">
        <f>'36. Generic chemical products'!S22</f>
        <v>0</v>
      </c>
      <c r="T65" s="400" t="str">
        <f>'36. Generic chemical products'!T22</f>
        <v>13708-85-5</v>
      </c>
      <c r="U65" s="400">
        <f>'36. Generic chemical products'!U22</f>
        <v>0</v>
      </c>
      <c r="V65" s="400">
        <f>'36. Generic chemical products'!V22</f>
        <v>2.5624272316803493E-8</v>
      </c>
      <c r="W65" s="400">
        <f>'36. Generic chemical products'!W22</f>
        <v>0</v>
      </c>
      <c r="X65" s="400">
        <f>'36. Generic chemical products'!X22</f>
        <v>6.1179997974786175E-9</v>
      </c>
      <c r="Y65" s="400">
        <f>'36. Generic chemical products'!Y22</f>
        <v>95.727827940780713</v>
      </c>
      <c r="Z65" s="400">
        <f>'36. Generic chemical products'!Z22</f>
        <v>451.93033608164546</v>
      </c>
      <c r="AA65" s="400" t="str">
        <f>'36. Generic chemical products'!AA22</f>
        <v>Roos 2017</v>
      </c>
      <c r="AB65" s="401">
        <f>$C$20*I65</f>
        <v>1.1999999999999999E-5</v>
      </c>
      <c r="AC65" s="362">
        <f>$C$32*O65</f>
        <v>1.1999999999999999E-3</v>
      </c>
      <c r="AD65" s="402">
        <f t="shared" si="11"/>
        <v>0</v>
      </c>
      <c r="AE65" s="402">
        <f t="shared" si="2"/>
        <v>7.649091024775983E-12</v>
      </c>
      <c r="AF65" s="403">
        <f t="shared" si="3"/>
        <v>0.54346513723326384</v>
      </c>
      <c r="AG65" s="403">
        <f t="shared" si="4"/>
        <v>0</v>
      </c>
      <c r="AH65" s="403">
        <f t="shared" si="5"/>
        <v>3.0749126780164188E-13</v>
      </c>
      <c r="AI65" s="403">
        <f t="shared" si="6"/>
        <v>1.1487339352893684E-3</v>
      </c>
      <c r="AJ65" s="403">
        <f t="shared" si="7"/>
        <v>0</v>
      </c>
      <c r="AK65" s="403">
        <f t="shared" si="8"/>
        <v>7.341599756974341E-12</v>
      </c>
      <c r="AL65" s="403">
        <f t="shared" si="9"/>
        <v>0.54231640329797448</v>
      </c>
      <c r="AM65" s="404">
        <f t="shared" si="10"/>
        <v>0</v>
      </c>
      <c r="AN65" s="405">
        <f t="shared" si="10"/>
        <v>7.649091024775983E-12</v>
      </c>
      <c r="AO65" s="406">
        <f t="shared" si="10"/>
        <v>0.54346513723326384</v>
      </c>
    </row>
    <row r="66" spans="1:41" s="8" customFormat="1" ht="15" customHeight="1" x14ac:dyDescent="0.2">
      <c r="A66" s="68" t="str">
        <f>'36. Generic chemical products'!A27</f>
        <v>Antifoaming agent, average (3M Defoamer)</v>
      </c>
      <c r="B66" s="68" t="str">
        <f>'36. Generic chemical products'!B27</f>
        <v>Dimethyl siloxane, reaction product with silica</v>
      </c>
      <c r="C66" s="68">
        <f>'36. Generic chemical products'!C27</f>
        <v>0.05</v>
      </c>
      <c r="D66" s="68" t="str">
        <f>'36. Generic chemical products'!D27</f>
        <v>kg</v>
      </c>
      <c r="E66" s="68" t="str">
        <f>'36. Generic chemical products'!E27</f>
        <v>MSDS</v>
      </c>
      <c r="F66" s="68">
        <f>'36. Generic chemical products'!F27</f>
        <v>0</v>
      </c>
      <c r="G66" s="68" t="str">
        <f>'36. Generic chemical products'!G27</f>
        <v>-</v>
      </c>
      <c r="H66" s="68">
        <f>'36. Generic chemical products'!H27</f>
        <v>0</v>
      </c>
      <c r="I66" s="68">
        <f>'36. Generic chemical products'!I27</f>
        <v>0</v>
      </c>
      <c r="J66" s="68">
        <f>'36. Generic chemical products'!J27</f>
        <v>0</v>
      </c>
      <c r="K66" s="68">
        <f>'36. Generic chemical products'!K27</f>
        <v>0</v>
      </c>
      <c r="L66" s="68">
        <f>'36. Generic chemical products'!L27</f>
        <v>0</v>
      </c>
      <c r="M66" s="68" t="str">
        <f>'36. Generic chemical products'!M27</f>
        <v>Dimethyl siloxane, reaction product with silica</v>
      </c>
      <c r="N66" s="68" t="str">
        <f>'36. Generic chemical products'!N27</f>
        <v>river</v>
      </c>
      <c r="O66" s="68">
        <f>'36. Generic chemical products'!O27</f>
        <v>5.000000000000001E-3</v>
      </c>
      <c r="P66" s="68" t="str">
        <f>'36. Generic chemical products'!P27</f>
        <v>kg</v>
      </c>
      <c r="Q66" s="68">
        <f>'36. Generic chemical products'!Q27</f>
        <v>0</v>
      </c>
      <c r="R66" s="68">
        <f>'36. Generic chemical products'!R27</f>
        <v>0</v>
      </c>
      <c r="S66" s="68">
        <f>'36. Generic chemical products'!S27</f>
        <v>0</v>
      </c>
      <c r="T66" s="68" t="str">
        <f>'36. Generic chemical products'!T27</f>
        <v>67762-90-7</v>
      </c>
      <c r="U66" s="68">
        <f>'36. Generic chemical products'!U27</f>
        <v>0</v>
      </c>
      <c r="V66" s="68">
        <f>'36. Generic chemical products'!V27</f>
        <v>3.4962401965755862E-5</v>
      </c>
      <c r="W66" s="68">
        <f>'36. Generic chemical products'!W27</f>
        <v>0</v>
      </c>
      <c r="X66" s="68">
        <f>'36. Generic chemical products'!X27</f>
        <v>1.4442852689626513E-7</v>
      </c>
      <c r="Y66" s="68">
        <f>'36. Generic chemical products'!Y27</f>
        <v>1.7253896630384493</v>
      </c>
      <c r="Z66" s="68">
        <f>'36. Generic chemical products'!Z27</f>
        <v>5.4794308572283885</v>
      </c>
      <c r="AA66" s="68" t="str">
        <f>'36. Generic chemical products'!AA27</f>
        <v>Roos 2017</v>
      </c>
      <c r="AB66" s="27">
        <f>$C$21*I66</f>
        <v>0</v>
      </c>
      <c r="AC66" s="29">
        <f>$C$33*O66</f>
        <v>1.5000000000000004E-5</v>
      </c>
      <c r="AD66" s="135">
        <f t="shared" si="11"/>
        <v>0</v>
      </c>
      <c r="AE66" s="135">
        <f t="shared" si="2"/>
        <v>2.1664279034439775E-12</v>
      </c>
      <c r="AF66" s="24">
        <f t="shared" si="3"/>
        <v>8.2191462858425849E-5</v>
      </c>
      <c r="AG66" s="24">
        <f t="shared" si="4"/>
        <v>0</v>
      </c>
      <c r="AH66" s="24">
        <f t="shared" si="5"/>
        <v>0</v>
      </c>
      <c r="AI66" s="24">
        <f t="shared" si="6"/>
        <v>0</v>
      </c>
      <c r="AJ66" s="24">
        <f t="shared" si="7"/>
        <v>0</v>
      </c>
      <c r="AK66" s="24">
        <f t="shared" si="8"/>
        <v>2.1664279034439775E-12</v>
      </c>
      <c r="AL66" s="24">
        <f t="shared" si="9"/>
        <v>8.2191462858425849E-5</v>
      </c>
      <c r="AM66" s="161">
        <f t="shared" si="10"/>
        <v>0</v>
      </c>
      <c r="AN66" s="157">
        <f t="shared" si="10"/>
        <v>2.1664279034439775E-12</v>
      </c>
      <c r="AO66" s="162">
        <f t="shared" si="10"/>
        <v>8.2191462858425849E-5</v>
      </c>
    </row>
    <row r="67" spans="1:41" s="8" customFormat="1" ht="15" customHeight="1" x14ac:dyDescent="0.2">
      <c r="A67" s="68" t="str">
        <f>'36. Generic chemical products'!A28</f>
        <v>Antifoaming agent, average (3M Defoamer)</v>
      </c>
      <c r="B67" s="68" t="str">
        <f>'36. Generic chemical products'!B28</f>
        <v>Sodium hydroxide</v>
      </c>
      <c r="C67" s="68">
        <f>'36. Generic chemical products'!C28</f>
        <v>0.02</v>
      </c>
      <c r="D67" s="68" t="str">
        <f>'36. Generic chemical products'!D28</f>
        <v>kg</v>
      </c>
      <c r="E67" s="68" t="str">
        <f>'36. Generic chemical products'!E28</f>
        <v>MSDS</v>
      </c>
      <c r="F67" s="68">
        <f>'36. Generic chemical products'!F28</f>
        <v>0</v>
      </c>
      <c r="G67" s="68" t="str">
        <f>'36. Generic chemical products'!G28</f>
        <v>-</v>
      </c>
      <c r="H67" s="68">
        <f>'36. Generic chemical products'!H28</f>
        <v>0</v>
      </c>
      <c r="I67" s="68">
        <f>'36. Generic chemical products'!I28</f>
        <v>0</v>
      </c>
      <c r="J67" s="68">
        <f>'36. Generic chemical products'!J28</f>
        <v>0</v>
      </c>
      <c r="K67" s="68">
        <f>'36. Generic chemical products'!K28</f>
        <v>0</v>
      </c>
      <c r="L67" s="68">
        <f>'36. Generic chemical products'!L28</f>
        <v>0</v>
      </c>
      <c r="M67" s="68" t="str">
        <f>'36. Generic chemical products'!M28</f>
        <v>Sodium hydroxide</v>
      </c>
      <c r="N67" s="68" t="str">
        <f>'36. Generic chemical products'!N28</f>
        <v>river</v>
      </c>
      <c r="O67" s="68">
        <f>'36. Generic chemical products'!O28</f>
        <v>2E-3</v>
      </c>
      <c r="P67" s="68" t="str">
        <f>'36. Generic chemical products'!P28</f>
        <v>kg</v>
      </c>
      <c r="Q67" s="68">
        <f>'36. Generic chemical products'!Q28</f>
        <v>0</v>
      </c>
      <c r="R67" s="68">
        <f>'36. Generic chemical products'!R28</f>
        <v>0</v>
      </c>
      <c r="S67" s="68">
        <f>'36. Generic chemical products'!S28</f>
        <v>0</v>
      </c>
      <c r="T67" s="68" t="str">
        <f>'36. Generic chemical products'!T28</f>
        <v>1310-73-2</v>
      </c>
      <c r="U67" s="68">
        <f>'36. Generic chemical products'!U28</f>
        <v>0</v>
      </c>
      <c r="V67" s="68">
        <f>'36. Generic chemical products'!V28</f>
        <v>0</v>
      </c>
      <c r="W67" s="68">
        <f>'36. Generic chemical products'!W28</f>
        <v>0</v>
      </c>
      <c r="X67" s="68">
        <f>'36. Generic chemical products'!X28</f>
        <v>0</v>
      </c>
      <c r="Y67" s="68">
        <f>'36. Generic chemical products'!Y28</f>
        <v>164.24</v>
      </c>
      <c r="Z67" s="68">
        <f>'36. Generic chemical products'!Z28</f>
        <v>400.09</v>
      </c>
      <c r="AA67" s="68" t="str">
        <f>'36. Generic chemical products'!AA28</f>
        <v>COSMEDE</v>
      </c>
      <c r="AB67" s="27">
        <f>$C$21*I67</f>
        <v>0</v>
      </c>
      <c r="AC67" s="29">
        <f>$C$33*O67</f>
        <v>6.0000000000000002E-6</v>
      </c>
      <c r="AD67" s="135">
        <f t="shared" si="11"/>
        <v>0</v>
      </c>
      <c r="AE67" s="135">
        <f t="shared" si="2"/>
        <v>0</v>
      </c>
      <c r="AF67" s="24">
        <f t="shared" si="3"/>
        <v>2.4005400000000001E-3</v>
      </c>
      <c r="AG67" s="24">
        <f t="shared" si="4"/>
        <v>0</v>
      </c>
      <c r="AH67" s="24">
        <f t="shared" si="5"/>
        <v>0</v>
      </c>
      <c r="AI67" s="24">
        <f t="shared" si="6"/>
        <v>0</v>
      </c>
      <c r="AJ67" s="24">
        <f t="shared" si="7"/>
        <v>0</v>
      </c>
      <c r="AK67" s="24">
        <f t="shared" si="8"/>
        <v>0</v>
      </c>
      <c r="AL67" s="24">
        <f t="shared" si="9"/>
        <v>2.4005400000000001E-3</v>
      </c>
      <c r="AM67" s="161">
        <f t="shared" si="10"/>
        <v>0</v>
      </c>
      <c r="AN67" s="157">
        <f t="shared" si="10"/>
        <v>0</v>
      </c>
      <c r="AO67" s="162">
        <f t="shared" si="10"/>
        <v>2.4005400000000001E-3</v>
      </c>
    </row>
    <row r="68" spans="1:41" s="8" customFormat="1" ht="15" customHeight="1" x14ac:dyDescent="0.2">
      <c r="A68" s="68" t="str">
        <f>'36. Generic chemical products'!A29</f>
        <v>Antifoaming agent, average (3M Defoamer)</v>
      </c>
      <c r="B68" s="68" t="str">
        <f>'36. Generic chemical products'!B29</f>
        <v>Sodium lauryl sulphate</v>
      </c>
      <c r="C68" s="68">
        <f>'36. Generic chemical products'!C29</f>
        <v>1E-3</v>
      </c>
      <c r="D68" s="68" t="str">
        <f>'36. Generic chemical products'!D29</f>
        <v>kg</v>
      </c>
      <c r="E68" s="68" t="str">
        <f>'36. Generic chemical products'!E29</f>
        <v>MSDS</v>
      </c>
      <c r="F68" s="68">
        <f>'36. Generic chemical products'!F29</f>
        <v>0</v>
      </c>
      <c r="G68" s="68" t="str">
        <f>'36. Generic chemical products'!G29</f>
        <v>-</v>
      </c>
      <c r="H68" s="68">
        <f>'36. Generic chemical products'!H29</f>
        <v>0</v>
      </c>
      <c r="I68" s="68">
        <f>'36. Generic chemical products'!I29</f>
        <v>0</v>
      </c>
      <c r="J68" s="68">
        <f>'36. Generic chemical products'!J29</f>
        <v>0</v>
      </c>
      <c r="K68" s="68">
        <f>'36. Generic chemical products'!K29</f>
        <v>0</v>
      </c>
      <c r="L68" s="68">
        <f>'36. Generic chemical products'!L29</f>
        <v>0</v>
      </c>
      <c r="M68" s="68" t="str">
        <f>'36. Generic chemical products'!M29</f>
        <v>Sodium lauryl sulfate</v>
      </c>
      <c r="N68" s="68" t="str">
        <f>'36. Generic chemical products'!N29</f>
        <v>river</v>
      </c>
      <c r="O68" s="68">
        <f>'36. Generic chemical products'!O29</f>
        <v>1E-4</v>
      </c>
      <c r="P68" s="68" t="str">
        <f>'36. Generic chemical products'!P29</f>
        <v>kg</v>
      </c>
      <c r="Q68" s="68">
        <f>'36. Generic chemical products'!Q29</f>
        <v>0</v>
      </c>
      <c r="R68" s="68">
        <f>'36. Generic chemical products'!R29</f>
        <v>0</v>
      </c>
      <c r="S68" s="68">
        <f>'36. Generic chemical products'!S29</f>
        <v>0</v>
      </c>
      <c r="T68" s="68" t="str">
        <f>'36. Generic chemical products'!T29</f>
        <v>151-21-3</v>
      </c>
      <c r="U68" s="68">
        <f>'36. Generic chemical products'!U29</f>
        <v>0</v>
      </c>
      <c r="V68" s="68">
        <f>'36. Generic chemical products'!V29</f>
        <v>0</v>
      </c>
      <c r="W68" s="68">
        <f>'36. Generic chemical products'!W29</f>
        <v>0</v>
      </c>
      <c r="X68" s="68">
        <f>'36. Generic chemical products'!X29</f>
        <v>0</v>
      </c>
      <c r="Y68" s="68">
        <f>'36. Generic chemical products'!Y29</f>
        <v>306.24811854656059</v>
      </c>
      <c r="Z68" s="68">
        <f>'36. Generic chemical products'!Z29</f>
        <v>2239.9292193792821</v>
      </c>
      <c r="AA68" s="68" t="str">
        <f>'36. Generic chemical products'!AA29</f>
        <v>USEtox</v>
      </c>
      <c r="AB68" s="27">
        <f>$C$21*I68</f>
        <v>0</v>
      </c>
      <c r="AC68" s="29">
        <f>$C$33*O68</f>
        <v>3.0000000000000004E-7</v>
      </c>
      <c r="AD68" s="135">
        <f t="shared" si="11"/>
        <v>0</v>
      </c>
      <c r="AE68" s="135">
        <f t="shared" si="2"/>
        <v>0</v>
      </c>
      <c r="AF68" s="24">
        <f t="shared" si="3"/>
        <v>6.7197876581378472E-4</v>
      </c>
      <c r="AG68" s="24">
        <f t="shared" si="4"/>
        <v>0</v>
      </c>
      <c r="AH68" s="24">
        <f t="shared" si="5"/>
        <v>0</v>
      </c>
      <c r="AI68" s="24">
        <f t="shared" si="6"/>
        <v>0</v>
      </c>
      <c r="AJ68" s="24">
        <f t="shared" si="7"/>
        <v>0</v>
      </c>
      <c r="AK68" s="24">
        <f t="shared" si="8"/>
        <v>0</v>
      </c>
      <c r="AL68" s="24">
        <f t="shared" si="9"/>
        <v>6.7197876581378472E-4</v>
      </c>
      <c r="AM68" s="161">
        <f t="shared" si="10"/>
        <v>0</v>
      </c>
      <c r="AN68" s="157">
        <f t="shared" si="10"/>
        <v>0</v>
      </c>
      <c r="AO68" s="162">
        <f t="shared" si="10"/>
        <v>6.7197876581378472E-4</v>
      </c>
    </row>
    <row r="69" spans="1:41" s="8" customFormat="1" ht="15" customHeight="1" x14ac:dyDescent="0.2">
      <c r="A69" s="68" t="str">
        <f>'36. Generic chemical products'!A30</f>
        <v>Antifoaming agent, average (3M Defoamer)</v>
      </c>
      <c r="B69" s="68" t="str">
        <f>'36. Generic chemical products'!B30</f>
        <v>5-chloro-2-methyl-4-isothiazoline-3-one</v>
      </c>
      <c r="C69" s="68">
        <f>'36. Generic chemical products'!C30</f>
        <v>1E-3</v>
      </c>
      <c r="D69" s="68" t="str">
        <f>'36. Generic chemical products'!D30</f>
        <v>kg</v>
      </c>
      <c r="E69" s="68" t="str">
        <f>'36. Generic chemical products'!E30</f>
        <v>MSDS</v>
      </c>
      <c r="F69" s="68">
        <f>'36. Generic chemical products'!F30</f>
        <v>0</v>
      </c>
      <c r="G69" s="68" t="str">
        <f>'36. Generic chemical products'!G30</f>
        <v>-</v>
      </c>
      <c r="H69" s="68">
        <f>'36. Generic chemical products'!H30</f>
        <v>0</v>
      </c>
      <c r="I69" s="68">
        <f>'36. Generic chemical products'!I30</f>
        <v>0</v>
      </c>
      <c r="J69" s="68">
        <f>'36. Generic chemical products'!J30</f>
        <v>0</v>
      </c>
      <c r="K69" s="68">
        <f>'36. Generic chemical products'!K30</f>
        <v>0</v>
      </c>
      <c r="L69" s="68">
        <f>'36. Generic chemical products'!L30</f>
        <v>0</v>
      </c>
      <c r="M69" s="68" t="str">
        <f>'36. Generic chemical products'!M30</f>
        <v>5-chloro-2-methyl-4-isothiazolin-3-one</v>
      </c>
      <c r="N69" s="68" t="str">
        <f>'36. Generic chemical products'!N30</f>
        <v>river</v>
      </c>
      <c r="O69" s="68">
        <f>'36. Generic chemical products'!O30</f>
        <v>1E-4</v>
      </c>
      <c r="P69" s="68" t="str">
        <f>'36. Generic chemical products'!P30</f>
        <v>kg</v>
      </c>
      <c r="Q69" s="68">
        <f>'36. Generic chemical products'!Q30</f>
        <v>0</v>
      </c>
      <c r="R69" s="68">
        <f>'36. Generic chemical products'!R30</f>
        <v>0</v>
      </c>
      <c r="S69" s="68">
        <f>'36. Generic chemical products'!S30</f>
        <v>0</v>
      </c>
      <c r="T69" s="68" t="str">
        <f>'36. Generic chemical products'!T30</f>
        <v>26172-55-4</v>
      </c>
      <c r="U69" s="68">
        <f>'36. Generic chemical products'!U30</f>
        <v>0</v>
      </c>
      <c r="V69" s="68">
        <f>'36. Generic chemical products'!V30</f>
        <v>0</v>
      </c>
      <c r="W69" s="68">
        <f>'36. Generic chemical products'!W30</f>
        <v>0</v>
      </c>
      <c r="X69" s="68">
        <f>'36. Generic chemical products'!X30</f>
        <v>0</v>
      </c>
      <c r="Y69" s="68">
        <f>'36. Generic chemical products'!Y30</f>
        <v>6089.5109426939807</v>
      </c>
      <c r="Z69" s="68">
        <f>'36. Generic chemical products'!Z30</f>
        <v>54476.932420915044</v>
      </c>
      <c r="AA69" s="68" t="str">
        <f>'36. Generic chemical products'!AA30</f>
        <v>USEtox</v>
      </c>
      <c r="AB69" s="27">
        <f>$C$21*I69</f>
        <v>0</v>
      </c>
      <c r="AC69" s="29">
        <f>$C$33*O69</f>
        <v>3.0000000000000004E-7</v>
      </c>
      <c r="AD69" s="135">
        <f t="shared" si="11"/>
        <v>0</v>
      </c>
      <c r="AE69" s="135">
        <f t="shared" si="2"/>
        <v>0</v>
      </c>
      <c r="AF69" s="24">
        <f t="shared" si="3"/>
        <v>1.6343079726274516E-2</v>
      </c>
      <c r="AG69" s="24">
        <f t="shared" si="4"/>
        <v>0</v>
      </c>
      <c r="AH69" s="24">
        <f t="shared" si="5"/>
        <v>0</v>
      </c>
      <c r="AI69" s="24">
        <f t="shared" si="6"/>
        <v>0</v>
      </c>
      <c r="AJ69" s="24">
        <f t="shared" si="7"/>
        <v>0</v>
      </c>
      <c r="AK69" s="24">
        <f t="shared" si="8"/>
        <v>0</v>
      </c>
      <c r="AL69" s="24">
        <f t="shared" si="9"/>
        <v>1.6343079726274516E-2</v>
      </c>
      <c r="AM69" s="161">
        <f t="shared" si="10"/>
        <v>0</v>
      </c>
      <c r="AN69" s="157">
        <f t="shared" si="10"/>
        <v>0</v>
      </c>
      <c r="AO69" s="162">
        <f t="shared" si="10"/>
        <v>1.6343079726274516E-2</v>
      </c>
    </row>
    <row r="70" spans="1:41" s="49" customFormat="1" ht="15" customHeight="1" x14ac:dyDescent="0.2">
      <c r="A70" s="193" t="str">
        <f>'36. Generic chemical products'!A31</f>
        <v>Antifoaming agent, average (3M Defoamer)</v>
      </c>
      <c r="B70" s="193" t="str">
        <f>'36. Generic chemical products'!B31</f>
        <v>2-methyl-4-isothiazolin-3-one</v>
      </c>
      <c r="C70" s="193">
        <f>'36. Generic chemical products'!C31</f>
        <v>1E-3</v>
      </c>
      <c r="D70" s="193" t="str">
        <f>'36. Generic chemical products'!D31</f>
        <v>kg</v>
      </c>
      <c r="E70" s="193" t="str">
        <f>'36. Generic chemical products'!E31</f>
        <v>MSDS</v>
      </c>
      <c r="F70" s="193">
        <f>'36. Generic chemical products'!F31</f>
        <v>0</v>
      </c>
      <c r="G70" s="193" t="str">
        <f>'36. Generic chemical products'!G31</f>
        <v>-</v>
      </c>
      <c r="H70" s="193">
        <f>'36. Generic chemical products'!H31</f>
        <v>0</v>
      </c>
      <c r="I70" s="193">
        <f>'36. Generic chemical products'!I31</f>
        <v>0</v>
      </c>
      <c r="J70" s="193">
        <f>'36. Generic chemical products'!J31</f>
        <v>0</v>
      </c>
      <c r="K70" s="193">
        <f>'36. Generic chemical products'!K31</f>
        <v>0</v>
      </c>
      <c r="L70" s="193">
        <f>'36. Generic chemical products'!L31</f>
        <v>0</v>
      </c>
      <c r="M70" s="193" t="str">
        <f>'36. Generic chemical products'!M31</f>
        <v>2-methyl-4-isothiazolin-3-one</v>
      </c>
      <c r="N70" s="193" t="str">
        <f>'36. Generic chemical products'!N31</f>
        <v>river</v>
      </c>
      <c r="O70" s="193">
        <f>'36. Generic chemical products'!O31</f>
        <v>1E-4</v>
      </c>
      <c r="P70" s="193" t="str">
        <f>'36. Generic chemical products'!P31</f>
        <v>kg</v>
      </c>
      <c r="Q70" s="193">
        <f>'36. Generic chemical products'!Q31</f>
        <v>0</v>
      </c>
      <c r="R70" s="193">
        <f>'36. Generic chemical products'!R31</f>
        <v>0</v>
      </c>
      <c r="S70" s="193">
        <f>'36. Generic chemical products'!S31</f>
        <v>0</v>
      </c>
      <c r="T70" s="193" t="str">
        <f>'36. Generic chemical products'!T31</f>
        <v>2682-20-4</v>
      </c>
      <c r="U70" s="193">
        <f>'36. Generic chemical products'!U31</f>
        <v>0</v>
      </c>
      <c r="V70" s="193">
        <f>'36. Generic chemical products'!V31</f>
        <v>0</v>
      </c>
      <c r="W70" s="193">
        <f>'36. Generic chemical products'!W31</f>
        <v>0</v>
      </c>
      <c r="X70" s="193">
        <f>'36. Generic chemical products'!X31</f>
        <v>0</v>
      </c>
      <c r="Y70" s="193">
        <f>'36. Generic chemical products'!Y31</f>
        <v>15653.997644153058</v>
      </c>
      <c r="Z70" s="193">
        <f>'36. Generic chemical products'!Z31</f>
        <v>184815.26625319294</v>
      </c>
      <c r="AA70" s="193" t="str">
        <f>'36. Generic chemical products'!AA31</f>
        <v>USEtox</v>
      </c>
      <c r="AB70" s="28">
        <f>$C$21*I70</f>
        <v>0</v>
      </c>
      <c r="AC70" s="146">
        <f>$C$33*O70</f>
        <v>3.0000000000000004E-7</v>
      </c>
      <c r="AD70" s="147">
        <f t="shared" si="11"/>
        <v>0</v>
      </c>
      <c r="AE70" s="147">
        <f t="shared" si="2"/>
        <v>0</v>
      </c>
      <c r="AF70" s="25">
        <f t="shared" si="3"/>
        <v>5.544457987595789E-2</v>
      </c>
      <c r="AG70" s="25">
        <f t="shared" si="4"/>
        <v>0</v>
      </c>
      <c r="AH70" s="25">
        <f t="shared" si="5"/>
        <v>0</v>
      </c>
      <c r="AI70" s="25">
        <f t="shared" si="6"/>
        <v>0</v>
      </c>
      <c r="AJ70" s="25">
        <f t="shared" si="7"/>
        <v>0</v>
      </c>
      <c r="AK70" s="25">
        <f t="shared" si="8"/>
        <v>0</v>
      </c>
      <c r="AL70" s="25">
        <f t="shared" si="9"/>
        <v>5.544457987595789E-2</v>
      </c>
      <c r="AM70" s="163">
        <f t="shared" si="10"/>
        <v>0</v>
      </c>
      <c r="AN70" s="164">
        <f t="shared" si="10"/>
        <v>0</v>
      </c>
      <c r="AO70" s="165">
        <f t="shared" si="10"/>
        <v>5.544457987595789E-2</v>
      </c>
    </row>
    <row r="71" spans="1:41" s="361" customFormat="1" ht="15" customHeight="1" x14ac:dyDescent="0.2">
      <c r="A71" s="194" t="str">
        <f>'36. Generic chemical products'!A32</f>
        <v>Base/Soda ash (Na2CO3), average</v>
      </c>
      <c r="B71" s="194" t="str">
        <f>'36. Generic chemical products'!B32</f>
        <v>Sodium carbonate (Na2CO3)</v>
      </c>
      <c r="C71" s="194">
        <f>'36. Generic chemical products'!C32</f>
        <v>1</v>
      </c>
      <c r="D71" s="194" t="str">
        <f>'36. Generic chemical products'!D32</f>
        <v>kg</v>
      </c>
      <c r="E71" s="194">
        <f>'36. Generic chemical products'!E32</f>
        <v>1</v>
      </c>
      <c r="F71" s="194">
        <f>'36. Generic chemical products'!F32</f>
        <v>0</v>
      </c>
      <c r="G71" s="194" t="str">
        <f>'36. Generic chemical products'!G32</f>
        <v>-</v>
      </c>
      <c r="H71" s="194">
        <f>'36. Generic chemical products'!H32</f>
        <v>0</v>
      </c>
      <c r="I71" s="194">
        <f>'36. Generic chemical products'!I32</f>
        <v>0</v>
      </c>
      <c r="J71" s="194">
        <f>'36. Generic chemical products'!J32</f>
        <v>0</v>
      </c>
      <c r="K71" s="194" t="str">
        <f>'36. Generic chemical products'!K32</f>
        <v>Worst case - mist carries substance</v>
      </c>
      <c r="L71" s="194">
        <f>'36. Generic chemical products'!L32</f>
        <v>0</v>
      </c>
      <c r="M71" s="194" t="str">
        <f>'36. Generic chemical products'!M32</f>
        <v>Sodium carbonate (Na2CO3)</v>
      </c>
      <c r="N71" s="194" t="str">
        <f>'36. Generic chemical products'!N32</f>
        <v>river</v>
      </c>
      <c r="O71" s="194">
        <f>'36. Generic chemical products'!O32</f>
        <v>0.1</v>
      </c>
      <c r="P71" s="194" t="str">
        <f>'36. Generic chemical products'!P32</f>
        <v>kg</v>
      </c>
      <c r="Q71" s="194">
        <f>'36. Generic chemical products'!Q32</f>
        <v>0</v>
      </c>
      <c r="R71" s="194">
        <f>'36. Generic chemical products'!R32</f>
        <v>0</v>
      </c>
      <c r="S71" s="194">
        <f>'36. Generic chemical products'!S32</f>
        <v>0</v>
      </c>
      <c r="T71" s="194" t="str">
        <f>'36. Generic chemical products'!T32</f>
        <v>497-19-8</v>
      </c>
      <c r="U71" s="194">
        <f>'36. Generic chemical products'!U32</f>
        <v>0</v>
      </c>
      <c r="V71" s="194">
        <f>'36. Generic chemical products'!V32</f>
        <v>0</v>
      </c>
      <c r="W71" s="194">
        <f>'36. Generic chemical products'!W32</f>
        <v>0</v>
      </c>
      <c r="X71" s="194">
        <f>'36. Generic chemical products'!X32</f>
        <v>0</v>
      </c>
      <c r="Y71" s="194">
        <f>'36. Generic chemical products'!Y32</f>
        <v>31</v>
      </c>
      <c r="Z71" s="194">
        <f>'36. Generic chemical products'!Z32</f>
        <v>73.7</v>
      </c>
      <c r="AA71" s="194" t="str">
        <f>'36. Generic chemical products'!AA32</f>
        <v>COSMEDE</v>
      </c>
      <c r="AB71" s="401">
        <f>$C$22*I71</f>
        <v>0</v>
      </c>
      <c r="AC71" s="362">
        <f>$C$34*O71</f>
        <v>1E-3</v>
      </c>
      <c r="AD71" s="402">
        <f t="shared" si="11"/>
        <v>0</v>
      </c>
      <c r="AE71" s="402">
        <f t="shared" si="2"/>
        <v>0</v>
      </c>
      <c r="AF71" s="403">
        <f t="shared" si="3"/>
        <v>7.3700000000000002E-2</v>
      </c>
      <c r="AG71" s="403">
        <f t="shared" si="4"/>
        <v>0</v>
      </c>
      <c r="AH71" s="403">
        <f t="shared" si="5"/>
        <v>0</v>
      </c>
      <c r="AI71" s="403">
        <f t="shared" si="6"/>
        <v>0</v>
      </c>
      <c r="AJ71" s="403">
        <f t="shared" si="7"/>
        <v>0</v>
      </c>
      <c r="AK71" s="403">
        <f t="shared" si="8"/>
        <v>0</v>
      </c>
      <c r="AL71" s="403">
        <f t="shared" si="9"/>
        <v>7.3700000000000002E-2</v>
      </c>
      <c r="AM71" s="404">
        <f t="shared" si="10"/>
        <v>0</v>
      </c>
      <c r="AN71" s="405">
        <f t="shared" si="10"/>
        <v>0</v>
      </c>
      <c r="AO71" s="406">
        <f t="shared" si="10"/>
        <v>7.3700000000000002E-2</v>
      </c>
    </row>
    <row r="72" spans="1:41" s="361" customFormat="1" ht="15" customHeight="1" x14ac:dyDescent="0.2">
      <c r="A72" s="363" t="str">
        <f>'36. Generic chemical products'!A11</f>
        <v>Acid, formic acid, average</v>
      </c>
      <c r="B72" s="363" t="str">
        <f>'36. Generic chemical products'!B11</f>
        <v>Formic acid</v>
      </c>
      <c r="C72" s="363">
        <f>'36. Generic chemical products'!C11</f>
        <v>1</v>
      </c>
      <c r="D72" s="363" t="str">
        <f>'36. Generic chemical products'!D11</f>
        <v>kg</v>
      </c>
      <c r="E72" s="363">
        <f>'36. Generic chemical products'!E11</f>
        <v>1</v>
      </c>
      <c r="F72" s="363">
        <f>'36. Generic chemical products'!F11</f>
        <v>0</v>
      </c>
      <c r="G72" s="363" t="str">
        <f>'36. Generic chemical products'!G11</f>
        <v>Formic acid</v>
      </c>
      <c r="H72" s="363" t="str">
        <f>'36. Generic chemical products'!H11</f>
        <v>high. pop.</v>
      </c>
      <c r="I72" s="363">
        <f>'36. Generic chemical products'!I11</f>
        <v>1E-3</v>
      </c>
      <c r="J72" s="363" t="str">
        <f>'36. Generic chemical products'!J11</f>
        <v>kg</v>
      </c>
      <c r="K72" s="363">
        <f>'36. Generic chemical products'!K11</f>
        <v>0</v>
      </c>
      <c r="L72" s="363">
        <f>'36. Generic chemical products'!L11</f>
        <v>0</v>
      </c>
      <c r="M72" s="363" t="str">
        <f>'36. Generic chemical products'!M11</f>
        <v>Formic acid</v>
      </c>
      <c r="N72" s="363" t="str">
        <f>'36. Generic chemical products'!N11</f>
        <v>river</v>
      </c>
      <c r="O72" s="363">
        <f>'36. Generic chemical products'!O11</f>
        <v>0.1</v>
      </c>
      <c r="P72" s="363" t="str">
        <f>'36. Generic chemical products'!P11</f>
        <v>kg</v>
      </c>
      <c r="Q72" s="363">
        <f>'36. Generic chemical products'!Q11</f>
        <v>0</v>
      </c>
      <c r="R72" s="363">
        <f>'36. Generic chemical products'!R11</f>
        <v>0</v>
      </c>
      <c r="S72" s="363">
        <f>'36. Generic chemical products'!S11</f>
        <v>0</v>
      </c>
      <c r="T72" s="363" t="str">
        <f>'36. Generic chemical products'!T11</f>
        <v>64-18-6</v>
      </c>
      <c r="U72" s="363">
        <f>'36. Generic chemical products'!U11</f>
        <v>0</v>
      </c>
      <c r="V72" s="363">
        <f>'36. Generic chemical products'!V11</f>
        <v>0</v>
      </c>
      <c r="W72" s="363">
        <f>'36. Generic chemical products'!W11</f>
        <v>0</v>
      </c>
      <c r="X72" s="363">
        <f>'36. Generic chemical products'!X11</f>
        <v>0</v>
      </c>
      <c r="Y72" s="363">
        <f>'36. Generic chemical products'!Y11</f>
        <v>2.8072892978694037</v>
      </c>
      <c r="Z72" s="363">
        <f>'36. Generic chemical products'!Z11</f>
        <v>44.680467206809801</v>
      </c>
      <c r="AA72" s="363" t="str">
        <f>'36. Generic chemical products'!AA11</f>
        <v>USEtox</v>
      </c>
      <c r="AB72" s="401">
        <f>$C$23*I72</f>
        <v>5.0000000000000002E-5</v>
      </c>
      <c r="AC72" s="362">
        <f>$C$35*O72</f>
        <v>5.000000000000001E-3</v>
      </c>
      <c r="AD72" s="402">
        <f t="shared" si="11"/>
        <v>0</v>
      </c>
      <c r="AE72" s="402">
        <f t="shared" si="2"/>
        <v>0</v>
      </c>
      <c r="AF72" s="403">
        <f t="shared" si="3"/>
        <v>0.22354270049894251</v>
      </c>
      <c r="AG72" s="403">
        <f t="shared" si="4"/>
        <v>0</v>
      </c>
      <c r="AH72" s="403">
        <f t="shared" si="5"/>
        <v>0</v>
      </c>
      <c r="AI72" s="403">
        <f t="shared" si="6"/>
        <v>1.4036446489347018E-4</v>
      </c>
      <c r="AJ72" s="403">
        <f t="shared" si="7"/>
        <v>0</v>
      </c>
      <c r="AK72" s="403">
        <f t="shared" si="8"/>
        <v>0</v>
      </c>
      <c r="AL72" s="403">
        <f t="shared" si="9"/>
        <v>0.22340233603404905</v>
      </c>
      <c r="AM72" s="404">
        <f t="shared" si="10"/>
        <v>0</v>
      </c>
      <c r="AN72" s="405">
        <f t="shared" si="10"/>
        <v>0</v>
      </c>
      <c r="AO72" s="406">
        <f t="shared" si="10"/>
        <v>0.22354270049894251</v>
      </c>
    </row>
    <row r="73" spans="1:41" s="8" customFormat="1" ht="15" customHeight="1" x14ac:dyDescent="0.2">
      <c r="A73" s="54" t="str">
        <f>'36. Generic chemical products'!A23</f>
        <v>Wetting agent/Penetration agent, worst case (Cottoclarin ok 88 ECO)</v>
      </c>
      <c r="B73" s="54" t="str">
        <f>'36. Generic chemical products'!B23</f>
        <v>Fatty methylester sulfonates (R16) sodium salt</v>
      </c>
      <c r="C73" s="54">
        <f>'36. Generic chemical products'!C23</f>
        <v>0.6</v>
      </c>
      <c r="D73" s="54" t="str">
        <f>'36. Generic chemical products'!D23</f>
        <v>kg</v>
      </c>
      <c r="E73" s="54" t="str">
        <f>'36. Generic chemical products'!E23</f>
        <v>MSDS</v>
      </c>
      <c r="F73" s="54">
        <f>'36. Generic chemical products'!F23</f>
        <v>0</v>
      </c>
      <c r="G73" s="54" t="str">
        <f>'36. Generic chemical products'!G23</f>
        <v>-</v>
      </c>
      <c r="H73" s="54">
        <f>'36. Generic chemical products'!H23</f>
        <v>0</v>
      </c>
      <c r="I73" s="54">
        <f>'36. Generic chemical products'!I23</f>
        <v>0</v>
      </c>
      <c r="J73" s="54">
        <f>'36. Generic chemical products'!J23</f>
        <v>0</v>
      </c>
      <c r="K73" s="54">
        <f>'36. Generic chemical products'!K23</f>
        <v>0</v>
      </c>
      <c r="L73" s="54">
        <f>'36. Generic chemical products'!L23</f>
        <v>0</v>
      </c>
      <c r="M73" s="54" t="str">
        <f>'36. Generic chemical products'!M23</f>
        <v>Fatty methylester sulfonates</v>
      </c>
      <c r="N73" s="54" t="str">
        <f>'36. Generic chemical products'!N23</f>
        <v>river</v>
      </c>
      <c r="O73" s="54">
        <f>'36. Generic chemical products'!O23</f>
        <v>0.06</v>
      </c>
      <c r="P73" s="54" t="str">
        <f>'36. Generic chemical products'!P23</f>
        <v>kg</v>
      </c>
      <c r="Q73" s="54">
        <f>'36. Generic chemical products'!Q23</f>
        <v>0</v>
      </c>
      <c r="R73" s="54">
        <f>'36. Generic chemical products'!R23</f>
        <v>0</v>
      </c>
      <c r="S73" s="54">
        <f>'36. Generic chemical products'!S23</f>
        <v>0</v>
      </c>
      <c r="T73" s="54" t="str">
        <f>'36. Generic chemical products'!T23</f>
        <v>93348-22-2</v>
      </c>
      <c r="U73" s="54">
        <f>'36. Generic chemical products'!U23</f>
        <v>0</v>
      </c>
      <c r="V73" s="54">
        <f>'36. Generic chemical products'!V23</f>
        <v>1.6437731647150863E-6</v>
      </c>
      <c r="W73" s="54">
        <f>'36. Generic chemical products'!W23</f>
        <v>0</v>
      </c>
      <c r="X73" s="54">
        <f>'36. Generic chemical products'!X23</f>
        <v>9.8891167609639291E-6</v>
      </c>
      <c r="Y73" s="54">
        <f>'36. Generic chemical products'!Y23</f>
        <v>25539.178143122717</v>
      </c>
      <c r="Z73" s="54">
        <f>'36. Generic chemical products'!Z23</f>
        <v>766743.80504211958</v>
      </c>
      <c r="AA73" s="54" t="str">
        <f>'36. Generic chemical products'!AA23</f>
        <v>Roos 2017</v>
      </c>
      <c r="AB73" s="27">
        <f>$C$24*I73</f>
        <v>0</v>
      </c>
      <c r="AC73" s="29">
        <f>$C$36*O73</f>
        <v>5.399999999999999E-4</v>
      </c>
      <c r="AD73" s="135">
        <f t="shared" si="11"/>
        <v>0</v>
      </c>
      <c r="AE73" s="135">
        <f t="shared" si="2"/>
        <v>5.340123050920521E-9</v>
      </c>
      <c r="AF73" s="24">
        <f t="shared" si="3"/>
        <v>414.04165472274451</v>
      </c>
      <c r="AG73" s="24">
        <f t="shared" si="4"/>
        <v>0</v>
      </c>
      <c r="AH73" s="24">
        <f t="shared" si="5"/>
        <v>0</v>
      </c>
      <c r="AI73" s="24">
        <f t="shared" si="6"/>
        <v>0</v>
      </c>
      <c r="AJ73" s="24">
        <f t="shared" si="7"/>
        <v>0</v>
      </c>
      <c r="AK73" s="24">
        <f t="shared" si="8"/>
        <v>5.340123050920521E-9</v>
      </c>
      <c r="AL73" s="24">
        <f t="shared" si="9"/>
        <v>414.04165472274451</v>
      </c>
      <c r="AM73" s="161">
        <f t="shared" si="10"/>
        <v>0</v>
      </c>
      <c r="AN73" s="157">
        <f t="shared" si="10"/>
        <v>5.340123050920521E-9</v>
      </c>
      <c r="AO73" s="162">
        <f t="shared" si="10"/>
        <v>414.04165472274451</v>
      </c>
    </row>
    <row r="74" spans="1:41" s="8" customFormat="1" ht="15" customHeight="1" x14ac:dyDescent="0.2">
      <c r="A74" s="54" t="str">
        <f>'36. Generic chemical products'!A24</f>
        <v>Wetting agent/Penetration agent, worst case (Cottoclarin ok 88 ECO)</v>
      </c>
      <c r="B74" s="54" t="str">
        <f>'36. Generic chemical products'!B24</f>
        <v>Iso-octyl alcohol</v>
      </c>
      <c r="C74" s="54">
        <f>'36. Generic chemical products'!C24</f>
        <v>0.2</v>
      </c>
      <c r="D74" s="54" t="str">
        <f>'36. Generic chemical products'!D24</f>
        <v>kg</v>
      </c>
      <c r="E74" s="54" t="str">
        <f>'36. Generic chemical products'!E24</f>
        <v>MSDS</v>
      </c>
      <c r="F74" s="54">
        <f>'36. Generic chemical products'!F24</f>
        <v>0</v>
      </c>
      <c r="G74" s="54" t="str">
        <f>'36. Generic chemical products'!G24</f>
        <v>Iso-octyl alcohol</v>
      </c>
      <c r="H74" s="54" t="str">
        <f>'36. Generic chemical products'!H24</f>
        <v>high. pop.</v>
      </c>
      <c r="I74" s="54">
        <f>'36. Generic chemical products'!I24</f>
        <v>2.0000000000000001E-4</v>
      </c>
      <c r="J74" s="54" t="str">
        <f>'36. Generic chemical products'!J24</f>
        <v>kg</v>
      </c>
      <c r="K74" s="54">
        <f>'36. Generic chemical products'!K24</f>
        <v>0</v>
      </c>
      <c r="L74" s="54">
        <f>'36. Generic chemical products'!L24</f>
        <v>0</v>
      </c>
      <c r="M74" s="54" t="str">
        <f>'36. Generic chemical products'!M24</f>
        <v>Isooctyl alcohol</v>
      </c>
      <c r="N74" s="54" t="str">
        <f>'36. Generic chemical products'!N24</f>
        <v>river</v>
      </c>
      <c r="O74" s="54">
        <f>'36. Generic chemical products'!O24</f>
        <v>2.0000000000000004E-2</v>
      </c>
      <c r="P74" s="54" t="str">
        <f>'36. Generic chemical products'!P24</f>
        <v>kg</v>
      </c>
      <c r="Q74" s="54">
        <f>'36. Generic chemical products'!Q24</f>
        <v>0</v>
      </c>
      <c r="R74" s="54">
        <f>'36. Generic chemical products'!R24</f>
        <v>0</v>
      </c>
      <c r="S74" s="54">
        <f>'36. Generic chemical products'!S24</f>
        <v>0</v>
      </c>
      <c r="T74" s="54" t="str">
        <f>'36. Generic chemical products'!T24</f>
        <v>104-76-7</v>
      </c>
      <c r="U74" s="54">
        <f>'36. Generic chemical products'!U24</f>
        <v>3.1027213023718394E-8</v>
      </c>
      <c r="V74" s="54">
        <f>'36. Generic chemical products'!V24</f>
        <v>0</v>
      </c>
      <c r="W74" s="54">
        <f>'36. Generic chemical products'!W24</f>
        <v>1.7206281348183625E-8</v>
      </c>
      <c r="X74" s="54">
        <f>'36. Generic chemical products'!X24</f>
        <v>0</v>
      </c>
      <c r="Y74" s="54">
        <f>'36. Generic chemical products'!Y24</f>
        <v>2.6323079574736696</v>
      </c>
      <c r="Z74" s="54">
        <f>'36. Generic chemical products'!Z24</f>
        <v>191.63613931032927</v>
      </c>
      <c r="AA74" s="54" t="str">
        <f>'36. Generic chemical products'!AA24</f>
        <v>USEtox</v>
      </c>
      <c r="AB74" s="27">
        <f>$C$24*I74</f>
        <v>1.7999999999999999E-6</v>
      </c>
      <c r="AC74" s="29">
        <f>$C$36*O74</f>
        <v>1.8000000000000001E-4</v>
      </c>
      <c r="AD74" s="135">
        <f t="shared" si="11"/>
        <v>3.1529796261157458E-12</v>
      </c>
      <c r="AE74" s="135">
        <f t="shared" si="2"/>
        <v>0</v>
      </c>
      <c r="AF74" s="24">
        <f t="shared" si="3"/>
        <v>3.4499243230182726E-2</v>
      </c>
      <c r="AG74" s="24">
        <f t="shared" si="4"/>
        <v>5.5848983442693105E-14</v>
      </c>
      <c r="AH74" s="24">
        <f t="shared" si="5"/>
        <v>0</v>
      </c>
      <c r="AI74" s="24">
        <f t="shared" si="6"/>
        <v>4.7381543234526055E-6</v>
      </c>
      <c r="AJ74" s="24">
        <f t="shared" si="7"/>
        <v>3.0971306426730528E-12</v>
      </c>
      <c r="AK74" s="24">
        <f t="shared" si="8"/>
        <v>0</v>
      </c>
      <c r="AL74" s="24">
        <f t="shared" si="9"/>
        <v>3.4494505075859272E-2</v>
      </c>
      <c r="AM74" s="161">
        <f t="shared" si="10"/>
        <v>3.1529796261157458E-12</v>
      </c>
      <c r="AN74" s="157">
        <f t="shared" si="10"/>
        <v>0</v>
      </c>
      <c r="AO74" s="162">
        <f t="shared" si="10"/>
        <v>3.4499243230182726E-2</v>
      </c>
    </row>
    <row r="75" spans="1:41" s="8" customFormat="1" ht="15" customHeight="1" x14ac:dyDescent="0.2">
      <c r="A75" s="54" t="str">
        <f>'36. Generic chemical products'!A25</f>
        <v>Wetting agent/Penetration agent, worst case (Cottoclarin ok 88 ECO)</v>
      </c>
      <c r="B75" s="54" t="str">
        <f>'36. Generic chemical products'!B25</f>
        <v>Ethoxylated alcohol (NPEO)</v>
      </c>
      <c r="C75" s="54">
        <f>'36. Generic chemical products'!C25</f>
        <v>0.1</v>
      </c>
      <c r="D75" s="54" t="str">
        <f>'36. Generic chemical products'!D25</f>
        <v>kg</v>
      </c>
      <c r="E75" s="54" t="str">
        <f>'36. Generic chemical products'!E25</f>
        <v>MSDS</v>
      </c>
      <c r="F75" s="54">
        <f>'36. Generic chemical products'!F25</f>
        <v>0</v>
      </c>
      <c r="G75" s="54" t="str">
        <f>'36. Generic chemical products'!G25</f>
        <v>Nonylphenol ethoxylate (NPEO)</v>
      </c>
      <c r="H75" s="54" t="str">
        <f>'36. Generic chemical products'!H25</f>
        <v>high. pop.</v>
      </c>
      <c r="I75" s="54">
        <f>'36. Generic chemical products'!I25</f>
        <v>1E-4</v>
      </c>
      <c r="J75" s="54" t="str">
        <f>'36. Generic chemical products'!J25</f>
        <v>kg</v>
      </c>
      <c r="K75" s="54">
        <f>'36. Generic chemical products'!K25</f>
        <v>0</v>
      </c>
      <c r="L75" s="54">
        <f>'36. Generic chemical products'!L25</f>
        <v>0</v>
      </c>
      <c r="M75" s="54" t="str">
        <f>'36. Generic chemical products'!M25</f>
        <v>Nonylphenol ethoxylate (NPEO)</v>
      </c>
      <c r="N75" s="54" t="str">
        <f>'36. Generic chemical products'!N25</f>
        <v>river</v>
      </c>
      <c r="O75" s="54">
        <f>'36. Generic chemical products'!O25</f>
        <v>1.0000000000000002E-2</v>
      </c>
      <c r="P75" s="54" t="str">
        <f>'36. Generic chemical products'!P25</f>
        <v>kg</v>
      </c>
      <c r="Q75" s="54">
        <f>'36. Generic chemical products'!Q25</f>
        <v>0</v>
      </c>
      <c r="R75" s="54">
        <f>'36. Generic chemical products'!R25</f>
        <v>0</v>
      </c>
      <c r="S75" s="54">
        <f>'36. Generic chemical products'!S25</f>
        <v>0</v>
      </c>
      <c r="T75" s="54" t="str">
        <f>'36. Generic chemical products'!T25</f>
        <v>9016-45-9</v>
      </c>
      <c r="U75" s="54">
        <f>'36. Generic chemical products'!U25</f>
        <v>0</v>
      </c>
      <c r="V75" s="54">
        <f>'36. Generic chemical products'!V25</f>
        <v>0</v>
      </c>
      <c r="W75" s="54">
        <f>'36. Generic chemical products'!W25</f>
        <v>0</v>
      </c>
      <c r="X75" s="54">
        <f>'36. Generic chemical products'!X25</f>
        <v>0</v>
      </c>
      <c r="Y75" s="54">
        <f>'36. Generic chemical products'!Y25</f>
        <v>63</v>
      </c>
      <c r="Z75" s="54">
        <f>'36. Generic chemical products'!Z25</f>
        <v>2910</v>
      </c>
      <c r="AA75" s="54" t="str">
        <f>'36. Generic chemical products'!AA25</f>
        <v>COSMEDE</v>
      </c>
      <c r="AB75" s="27">
        <f>$C$24*I75</f>
        <v>8.9999999999999996E-7</v>
      </c>
      <c r="AC75" s="29">
        <f>$C$36*O75</f>
        <v>9.0000000000000006E-5</v>
      </c>
      <c r="AD75" s="135">
        <f t="shared" si="11"/>
        <v>0</v>
      </c>
      <c r="AE75" s="135">
        <f t="shared" si="2"/>
        <v>0</v>
      </c>
      <c r="AF75" s="24">
        <f t="shared" si="3"/>
        <v>0.26195670000000004</v>
      </c>
      <c r="AG75" s="24">
        <f t="shared" si="4"/>
        <v>0</v>
      </c>
      <c r="AH75" s="24">
        <f t="shared" si="5"/>
        <v>0</v>
      </c>
      <c r="AI75" s="24">
        <f t="shared" si="6"/>
        <v>5.6699999999999996E-5</v>
      </c>
      <c r="AJ75" s="24">
        <f t="shared" si="7"/>
        <v>0</v>
      </c>
      <c r="AK75" s="24">
        <f t="shared" si="8"/>
        <v>0</v>
      </c>
      <c r="AL75" s="24">
        <f t="shared" si="9"/>
        <v>0.26190000000000002</v>
      </c>
      <c r="AM75" s="161">
        <f t="shared" ref="AM75:AO89" si="12">AG75+AJ75</f>
        <v>0</v>
      </c>
      <c r="AN75" s="157">
        <f t="shared" si="12"/>
        <v>0</v>
      </c>
      <c r="AO75" s="162">
        <f t="shared" si="12"/>
        <v>0.26195670000000004</v>
      </c>
    </row>
    <row r="76" spans="1:41" s="49" customFormat="1" ht="15" customHeight="1" x14ac:dyDescent="0.2">
      <c r="A76" s="141" t="str">
        <f>'36. Generic chemical products'!A26</f>
        <v>Wetting agent/Penetration agent, worst case (Cottoclarin ok 88 ECO)</v>
      </c>
      <c r="B76" s="141" t="str">
        <f>'36. Generic chemical products'!B26</f>
        <v>Nonylphenol</v>
      </c>
      <c r="C76" s="141">
        <f>'36. Generic chemical products'!C26</f>
        <v>0</v>
      </c>
      <c r="D76" s="141">
        <f>'36. Generic chemical products'!D26</f>
        <v>0</v>
      </c>
      <c r="E76" s="141" t="str">
        <f>'36. Generic chemical products'!E26</f>
        <v>Breakdown product</v>
      </c>
      <c r="F76" s="141">
        <f>'36. Generic chemical products'!F26</f>
        <v>0</v>
      </c>
      <c r="G76" s="141" t="str">
        <f>'36. Generic chemical products'!G26</f>
        <v>-</v>
      </c>
      <c r="H76" s="141">
        <f>'36. Generic chemical products'!H26</f>
        <v>0</v>
      </c>
      <c r="I76" s="141">
        <f>'36. Generic chemical products'!I26</f>
        <v>0</v>
      </c>
      <c r="J76" s="141">
        <f>'36. Generic chemical products'!J26</f>
        <v>0</v>
      </c>
      <c r="K76" s="141">
        <f>'36. Generic chemical products'!K26</f>
        <v>0</v>
      </c>
      <c r="L76" s="141">
        <f>'36. Generic chemical products'!L26</f>
        <v>0</v>
      </c>
      <c r="M76" s="141" t="str">
        <f>'36. Generic chemical products'!M26</f>
        <v>Nonylphenol</v>
      </c>
      <c r="N76" s="141" t="str">
        <f>'36. Generic chemical products'!N26</f>
        <v>river</v>
      </c>
      <c r="O76" s="141">
        <f>'36. Generic chemical products'!O26</f>
        <v>1.0000000000000001E-5</v>
      </c>
      <c r="P76" s="141" t="str">
        <f>'36. Generic chemical products'!P26</f>
        <v>kg</v>
      </c>
      <c r="Q76" s="141" t="str">
        <f>'36. Generic chemical products'!Q26</f>
        <v>0.1 % of the content is degraded to common breakdown products.</v>
      </c>
      <c r="R76" s="141">
        <f>'36. Generic chemical products'!R26</f>
        <v>0</v>
      </c>
      <c r="S76" s="141">
        <f>'36. Generic chemical products'!S26</f>
        <v>0</v>
      </c>
      <c r="T76" s="141" t="str">
        <f>'36. Generic chemical products'!T26</f>
        <v>25154-52-3</v>
      </c>
      <c r="U76" s="141">
        <f>'36. Generic chemical products'!U26</f>
        <v>0</v>
      </c>
      <c r="V76" s="141">
        <f>'36. Generic chemical products'!V26</f>
        <v>0</v>
      </c>
      <c r="W76" s="141">
        <f>'36. Generic chemical products'!W26</f>
        <v>0</v>
      </c>
      <c r="X76" s="141">
        <f>'36. Generic chemical products'!X26</f>
        <v>0</v>
      </c>
      <c r="Y76" s="141">
        <f>'36. Generic chemical products'!Y26</f>
        <v>63.500038841149426</v>
      </c>
      <c r="Z76" s="141">
        <f>'36. Generic chemical products'!Z26</f>
        <v>10848.472578502809</v>
      </c>
      <c r="AA76" s="141" t="str">
        <f>'36. Generic chemical products'!AA26</f>
        <v>USEtox</v>
      </c>
      <c r="AB76" s="28">
        <f>$C$24*I76</f>
        <v>0</v>
      </c>
      <c r="AC76" s="146">
        <f>$C$36*O76</f>
        <v>8.9999999999999999E-8</v>
      </c>
      <c r="AD76" s="147">
        <f t="shared" si="11"/>
        <v>0</v>
      </c>
      <c r="AE76" s="147">
        <f t="shared" si="2"/>
        <v>0</v>
      </c>
      <c r="AF76" s="25">
        <f t="shared" si="3"/>
        <v>9.7636253206525279E-4</v>
      </c>
      <c r="AG76" s="25">
        <f t="shared" si="4"/>
        <v>0</v>
      </c>
      <c r="AH76" s="25">
        <f t="shared" si="5"/>
        <v>0</v>
      </c>
      <c r="AI76" s="25">
        <f t="shared" si="6"/>
        <v>0</v>
      </c>
      <c r="AJ76" s="25">
        <f t="shared" si="7"/>
        <v>0</v>
      </c>
      <c r="AK76" s="25">
        <f t="shared" si="8"/>
        <v>0</v>
      </c>
      <c r="AL76" s="25">
        <f t="shared" si="9"/>
        <v>9.7636253206525279E-4</v>
      </c>
      <c r="AM76" s="163">
        <f t="shared" si="12"/>
        <v>0</v>
      </c>
      <c r="AN76" s="164">
        <f t="shared" si="12"/>
        <v>0</v>
      </c>
      <c r="AO76" s="165">
        <f t="shared" si="12"/>
        <v>9.7636253206525279E-4</v>
      </c>
    </row>
    <row r="77" spans="1:41" s="8" customFormat="1" ht="15" customHeight="1" x14ac:dyDescent="0.2">
      <c r="A77" s="68" t="str">
        <f>'36. Generic chemical products'!A2</f>
        <v>Lubricant, average (Albafluid CD)</v>
      </c>
      <c r="B77" s="68" t="str">
        <f>'36. Generic chemical products'!B2</f>
        <v>Acrylamide/sodium acrylate copolymer</v>
      </c>
      <c r="C77" s="68">
        <f>'36. Generic chemical products'!C2</f>
        <v>0.3</v>
      </c>
      <c r="D77" s="68" t="str">
        <f>'36. Generic chemical products'!D2</f>
        <v>kg</v>
      </c>
      <c r="E77" s="68" t="str">
        <f>'36. Generic chemical products'!E2</f>
        <v>MSDS + Expert estimation for concentration</v>
      </c>
      <c r="F77" s="68">
        <f>'36. Generic chemical products'!F2</f>
        <v>0</v>
      </c>
      <c r="G77" s="68" t="str">
        <f>'36. Generic chemical products'!G2</f>
        <v>-</v>
      </c>
      <c r="H77" s="68">
        <f>'36. Generic chemical products'!H2</f>
        <v>0</v>
      </c>
      <c r="I77" s="68">
        <f>'36. Generic chemical products'!I2</f>
        <v>0</v>
      </c>
      <c r="J77" s="68">
        <f>'36. Generic chemical products'!J2</f>
        <v>0</v>
      </c>
      <c r="K77" s="68">
        <f>'36. Generic chemical products'!K2</f>
        <v>0</v>
      </c>
      <c r="L77" s="68">
        <f>'36. Generic chemical products'!L2</f>
        <v>0</v>
      </c>
      <c r="M77" s="68" t="str">
        <f>'36. Generic chemical products'!M2</f>
        <v>Acrylamide/sodium acrylate copolymer</v>
      </c>
      <c r="N77" s="68" t="str">
        <f>'36. Generic chemical products'!N2</f>
        <v>river</v>
      </c>
      <c r="O77" s="68">
        <f>'36. Generic chemical products'!O2</f>
        <v>2.9700000000000001E-2</v>
      </c>
      <c r="P77" s="68" t="str">
        <f>'36. Generic chemical products'!P2</f>
        <v>kg</v>
      </c>
      <c r="Q77" s="68" t="str">
        <f>'36. Generic chemical products'!Q2</f>
        <v>1% of polymer content remains as monomers from the production process.</v>
      </c>
      <c r="R77" s="68">
        <f>'36. Generic chemical products'!R2</f>
        <v>0</v>
      </c>
      <c r="S77" s="68">
        <f>'36. Generic chemical products'!S2</f>
        <v>0</v>
      </c>
      <c r="T77" s="68" t="str">
        <f>'36. Generic chemical products'!T2</f>
        <v>25085-02-3</v>
      </c>
      <c r="U77" s="68">
        <f>'36. Generic chemical products'!U2</f>
        <v>0</v>
      </c>
      <c r="V77" s="68">
        <f>'36. Generic chemical products'!V2</f>
        <v>1.318367210059499E-10</v>
      </c>
      <c r="W77" s="68">
        <f>'36. Generic chemical products'!W2</f>
        <v>0</v>
      </c>
      <c r="X77" s="68">
        <f>'36. Generic chemical products'!X2</f>
        <v>1.3016448977650344E-10</v>
      </c>
      <c r="Y77" s="68">
        <f>'36. Generic chemical products'!Y2</f>
        <v>1.1181204517092254</v>
      </c>
      <c r="Z77" s="68">
        <f>'36. Generic chemical products'!Z2</f>
        <v>78.957506928451508</v>
      </c>
      <c r="AA77" s="68" t="str">
        <f>'36. Generic chemical products'!AA2</f>
        <v>Roos 2017</v>
      </c>
      <c r="AB77" s="27">
        <f>$C$25*I77</f>
        <v>0</v>
      </c>
      <c r="AC77" s="29">
        <f>$C$37*O77</f>
        <v>5.9400000000000002E-4</v>
      </c>
      <c r="AD77" s="135">
        <f t="shared" si="11"/>
        <v>0</v>
      </c>
      <c r="AE77" s="135">
        <f t="shared" si="2"/>
        <v>7.7317706927243038E-14</v>
      </c>
      <c r="AF77" s="24">
        <f t="shared" si="3"/>
        <v>4.69007591155002E-2</v>
      </c>
      <c r="AG77" s="24">
        <f t="shared" si="4"/>
        <v>0</v>
      </c>
      <c r="AH77" s="24">
        <f t="shared" si="5"/>
        <v>0</v>
      </c>
      <c r="AI77" s="24">
        <f t="shared" si="6"/>
        <v>0</v>
      </c>
      <c r="AJ77" s="24">
        <f t="shared" si="7"/>
        <v>0</v>
      </c>
      <c r="AK77" s="24">
        <f t="shared" si="8"/>
        <v>7.7317706927243038E-14</v>
      </c>
      <c r="AL77" s="24">
        <f t="shared" si="9"/>
        <v>4.69007591155002E-2</v>
      </c>
      <c r="AM77" s="161">
        <f t="shared" si="12"/>
        <v>0</v>
      </c>
      <c r="AN77" s="157">
        <f t="shared" si="12"/>
        <v>7.7317706927243038E-14</v>
      </c>
      <c r="AO77" s="162">
        <f t="shared" si="12"/>
        <v>4.69007591155002E-2</v>
      </c>
    </row>
    <row r="78" spans="1:41" s="8" customFormat="1" ht="15" customHeight="1" x14ac:dyDescent="0.2">
      <c r="A78" s="68" t="str">
        <f>'36. Generic chemical products'!A3</f>
        <v>Lubricant, average (Albafluid CD)</v>
      </c>
      <c r="B78" s="68" t="str">
        <f>'36. Generic chemical products'!B3</f>
        <v>Acrylamide</v>
      </c>
      <c r="C78" s="68">
        <f>'36. Generic chemical products'!C3</f>
        <v>0</v>
      </c>
      <c r="D78" s="68">
        <f>'36. Generic chemical products'!D3</f>
        <v>0</v>
      </c>
      <c r="E78" s="68" t="str">
        <f>'36. Generic chemical products'!E3</f>
        <v>Breakdown product (Caulfield, 2002)</v>
      </c>
      <c r="F78" s="68">
        <f>'36. Generic chemical products'!F3</f>
        <v>0</v>
      </c>
      <c r="G78" s="68" t="str">
        <f>'36. Generic chemical products'!G3</f>
        <v>Acrylamide</v>
      </c>
      <c r="H78" s="68" t="str">
        <f>'36. Generic chemical products'!H3</f>
        <v>high. pop.</v>
      </c>
      <c r="I78" s="68">
        <f>'36. Generic chemical products'!I3</f>
        <v>3.0000000000000001E-6</v>
      </c>
      <c r="J78" s="68" t="str">
        <f>'36. Generic chemical products'!J3</f>
        <v>kg</v>
      </c>
      <c r="K78" s="68">
        <f>'36. Generic chemical products'!K3</f>
        <v>0</v>
      </c>
      <c r="L78" s="68">
        <f>'36. Generic chemical products'!L3</f>
        <v>0</v>
      </c>
      <c r="M78" s="68" t="str">
        <f>'36. Generic chemical products'!M3</f>
        <v>Acrylamide</v>
      </c>
      <c r="N78" s="68" t="str">
        <f>'36. Generic chemical products'!N3</f>
        <v>river</v>
      </c>
      <c r="O78" s="68">
        <f>'36. Generic chemical products'!O3</f>
        <v>3.0000000000000004E-5</v>
      </c>
      <c r="P78" s="68" t="str">
        <f>'36. Generic chemical products'!P3</f>
        <v>kg</v>
      </c>
      <c r="Q78" s="68" t="str">
        <f>'36. Generic chemical products'!Q3</f>
        <v xml:space="preserve">90% of reactive chemicals are degraded during operations. </v>
      </c>
      <c r="R78" s="68">
        <f>'36. Generic chemical products'!R3</f>
        <v>0</v>
      </c>
      <c r="S78" s="68">
        <f>'36. Generic chemical products'!S3</f>
        <v>0</v>
      </c>
      <c r="T78" s="68" t="str">
        <f>'36. Generic chemical products'!T3</f>
        <v>79-06-1</v>
      </c>
      <c r="U78" s="68">
        <f>'36. Generic chemical products'!U3</f>
        <v>3.0023364753950555E-5</v>
      </c>
      <c r="V78" s="68">
        <f>'36. Generic chemical products'!V3</f>
        <v>1.2481126126868064E-4</v>
      </c>
      <c r="W78" s="68">
        <f>'36. Generic chemical products'!W3</f>
        <v>1.1959264101490567E-5</v>
      </c>
      <c r="X78" s="68">
        <f>'36. Generic chemical products'!X3</f>
        <v>4.9716307568620708E-5</v>
      </c>
      <c r="Y78" s="68">
        <f>'36. Generic chemical products'!Y3</f>
        <v>10.037499181426883</v>
      </c>
      <c r="Z78" s="68">
        <f>'36. Generic chemical products'!Z3</f>
        <v>119.14199796898779</v>
      </c>
      <c r="AA78" s="68" t="str">
        <f>'36. Generic chemical products'!AA3</f>
        <v>USEtox</v>
      </c>
      <c r="AB78" s="27">
        <f>$C$25*I78</f>
        <v>6.0000000000000008E-8</v>
      </c>
      <c r="AC78" s="29">
        <f>$C$37*O78</f>
        <v>6.0000000000000008E-7</v>
      </c>
      <c r="AD78" s="135">
        <f t="shared" si="11"/>
        <v>8.976960346131374E-12</v>
      </c>
      <c r="AE78" s="135">
        <f t="shared" si="2"/>
        <v>3.7318460217293267E-11</v>
      </c>
      <c r="AF78" s="24">
        <f t="shared" si="3"/>
        <v>7.2087448732278294E-5</v>
      </c>
      <c r="AG78" s="24">
        <f t="shared" si="4"/>
        <v>1.8014018852370334E-12</v>
      </c>
      <c r="AH78" s="24">
        <f t="shared" si="5"/>
        <v>7.4886756761208397E-12</v>
      </c>
      <c r="AI78" s="24">
        <f t="shared" si="6"/>
        <v>6.0224995088561304E-7</v>
      </c>
      <c r="AJ78" s="24">
        <f t="shared" si="7"/>
        <v>7.1755584608943407E-12</v>
      </c>
      <c r="AK78" s="24">
        <f t="shared" si="8"/>
        <v>2.9829784541172427E-11</v>
      </c>
      <c r="AL78" s="24">
        <f t="shared" si="9"/>
        <v>7.1485198781392684E-5</v>
      </c>
      <c r="AM78" s="161">
        <f t="shared" si="12"/>
        <v>8.976960346131374E-12</v>
      </c>
      <c r="AN78" s="157">
        <f t="shared" si="12"/>
        <v>3.7318460217293267E-11</v>
      </c>
      <c r="AO78" s="162">
        <f t="shared" si="12"/>
        <v>7.2087448732278294E-5</v>
      </c>
    </row>
    <row r="79" spans="1:41" s="49" customFormat="1" ht="15" customHeight="1" x14ac:dyDescent="0.2">
      <c r="A79" s="193" t="str">
        <f>'36. Generic chemical products'!A4</f>
        <v>Lubricant, average (Albafluid CD)</v>
      </c>
      <c r="B79" s="193">
        <f>'36. Generic chemical products'!B4</f>
        <v>0</v>
      </c>
      <c r="C79" s="193">
        <f>'36. Generic chemical products'!C4</f>
        <v>0</v>
      </c>
      <c r="D79" s="193">
        <f>'36. Generic chemical products'!D4</f>
        <v>0</v>
      </c>
      <c r="E79" s="193" t="str">
        <f>'36. Generic chemical products'!E4</f>
        <v>Common breakdown product of of acrylics, 0.001 % assumed</v>
      </c>
      <c r="F79" s="193">
        <f>'36. Generic chemical products'!F4</f>
        <v>0</v>
      </c>
      <c r="G79" s="193" t="str">
        <f>'36. Generic chemical products'!G4</f>
        <v>Formaldehyde</v>
      </c>
      <c r="H79" s="193" t="str">
        <f>'36. Generic chemical products'!H4</f>
        <v>high. pop.</v>
      </c>
      <c r="I79" s="193">
        <f>'36. Generic chemical products'!I4</f>
        <v>2.9999999999999999E-7</v>
      </c>
      <c r="J79" s="193" t="str">
        <f>'36. Generic chemical products'!J4</f>
        <v>kg</v>
      </c>
      <c r="K79" s="193">
        <f>'36. Generic chemical products'!K4</f>
        <v>0</v>
      </c>
      <c r="L79" s="193">
        <f>'36. Generic chemical products'!L4</f>
        <v>0</v>
      </c>
      <c r="M79" s="193" t="str">
        <f>'36. Generic chemical products'!M4</f>
        <v>Formaldehyde</v>
      </c>
      <c r="N79" s="193" t="str">
        <f>'36. Generic chemical products'!N4</f>
        <v>river</v>
      </c>
      <c r="O79" s="193">
        <f>'36. Generic chemical products'!O4</f>
        <v>3.0000000000000001E-6</v>
      </c>
      <c r="P79" s="193" t="str">
        <f>'36. Generic chemical products'!P4</f>
        <v>kg</v>
      </c>
      <c r="Q79" s="193" t="str">
        <f>'36. Generic chemical products'!Q4</f>
        <v xml:space="preserve">0.1 % of the content is degraded to common breakdown products. 90% of reactive chemicals are degraded during operations. </v>
      </c>
      <c r="R79" s="193">
        <f>'36. Generic chemical products'!R4</f>
        <v>0</v>
      </c>
      <c r="S79" s="193">
        <f>'36. Generic chemical products'!S4</f>
        <v>0</v>
      </c>
      <c r="T79" s="193" t="str">
        <f>'36. Generic chemical products'!T4</f>
        <v>50-00-0</v>
      </c>
      <c r="U79" s="193">
        <f>'36. Generic chemical products'!U4</f>
        <v>2.5208446330720887E-5</v>
      </c>
      <c r="V79" s="193">
        <f>'36. Generic chemical products'!V4</f>
        <v>2.6504960021309262E-7</v>
      </c>
      <c r="W79" s="193">
        <f>'36. Generic chemical products'!W4</f>
        <v>1.4222228897488039E-7</v>
      </c>
      <c r="X79" s="193">
        <f>'36. Generic chemical products'!X4</f>
        <v>3.170874313501273E-7</v>
      </c>
      <c r="Y79" s="193">
        <f>'36. Generic chemical products'!Y4</f>
        <v>17.989178582912412</v>
      </c>
      <c r="Z79" s="193">
        <f>'36. Generic chemical products'!Z4</f>
        <v>290.05086067463066</v>
      </c>
      <c r="AA79" s="193" t="str">
        <f>'36. Generic chemical products'!AA4</f>
        <v>USEtox</v>
      </c>
      <c r="AB79" s="28">
        <f>$C$25*I79</f>
        <v>6E-9</v>
      </c>
      <c r="AC79" s="146">
        <f>$C$37*O79</f>
        <v>6.0000000000000008E-8</v>
      </c>
      <c r="AD79" s="147">
        <f t="shared" si="11"/>
        <v>1.5978401532281816E-13</v>
      </c>
      <c r="AE79" s="147">
        <f t="shared" si="2"/>
        <v>2.0615543482286197E-14</v>
      </c>
      <c r="AF79" s="25">
        <f t="shared" si="3"/>
        <v>1.7510986711975316E-5</v>
      </c>
      <c r="AG79" s="25">
        <f t="shared" si="4"/>
        <v>1.5125067798432532E-13</v>
      </c>
      <c r="AH79" s="25">
        <f t="shared" si="5"/>
        <v>1.5902976012785556E-15</v>
      </c>
      <c r="AI79" s="25">
        <f t="shared" si="6"/>
        <v>1.0793507149747448E-7</v>
      </c>
      <c r="AJ79" s="25">
        <f t="shared" si="7"/>
        <v>8.5333373384928241E-15</v>
      </c>
      <c r="AK79" s="25">
        <f t="shared" si="8"/>
        <v>1.902524588100764E-14</v>
      </c>
      <c r="AL79" s="25">
        <f t="shared" si="9"/>
        <v>1.7403051640477843E-5</v>
      </c>
      <c r="AM79" s="163">
        <f t="shared" si="12"/>
        <v>1.5978401532281816E-13</v>
      </c>
      <c r="AN79" s="164">
        <f t="shared" si="12"/>
        <v>2.0615543482286197E-14</v>
      </c>
      <c r="AO79" s="165">
        <f t="shared" si="12"/>
        <v>1.7510986711975316E-5</v>
      </c>
    </row>
    <row r="80" spans="1:41" s="387" customFormat="1" ht="15" customHeight="1" x14ac:dyDescent="0.2">
      <c r="A80" s="194" t="str">
        <f>'36. Generic chemical products'!A56</f>
        <v>Black disperse dyestuff PA (Eriofast Black M)</v>
      </c>
      <c r="B80" s="194" t="str">
        <f>'36. Generic chemical products'!B56</f>
        <v>Disperse Black 1</v>
      </c>
      <c r="C80" s="194">
        <f>'36. Generic chemical products'!C56</f>
        <v>0.75</v>
      </c>
      <c r="D80" s="194" t="str">
        <f>'36. Generic chemical products'!D56</f>
        <v>kg</v>
      </c>
      <c r="E80" s="194" t="str">
        <f>'36. Generic chemical products'!E56</f>
        <v>MSDS</v>
      </c>
      <c r="F80" s="194">
        <f>'36. Generic chemical products'!F56</f>
        <v>0</v>
      </c>
      <c r="G80" s="194" t="str">
        <f>'36. Generic chemical products'!G56</f>
        <v>(7-(4-Chloro-6-(4-ethenesulfonyl-phenyl-amino)-
(1,3,5)-triazin-2-ylamino)-4-hydroxy-3-(2-hydroxy-5-
nitro-phenylazo)-naphthalene-2-sulfonic acid)-(3-
hydroxy-4-(2-hydroxy-naphthalene-1-ylazo)-7-nitronaphthalene-
1-sulfonic acid)-chrome(III) complex,
sodium salt</v>
      </c>
      <c r="H80" s="194" t="str">
        <f>'36. Generic chemical products'!H56</f>
        <v>high. pop.</v>
      </c>
      <c r="I80" s="194">
        <f>'36. Generic chemical products'!I56</f>
        <v>7.5000000000000002E-4</v>
      </c>
      <c r="J80" s="194" t="str">
        <f>'36. Generic chemical products'!J56</f>
        <v>kg</v>
      </c>
      <c r="K80" s="194">
        <f>'36. Generic chemical products'!K56</f>
        <v>0</v>
      </c>
      <c r="L80" s="194">
        <f>'36. Generic chemical products'!L56</f>
        <v>0</v>
      </c>
      <c r="M80" s="194" t="str">
        <f>'36. Generic chemical products'!M56</f>
        <v>(7-(4-Chloro-6-(4-ethenesulfonyl-phenyl-amino)-
(1,3,5)-triazin-2-ylamino)-4-hydroxy-3-(2-hydroxy-5-
nitro-phenylazo)-naphthalene-2-sulfonic acid)-(3-
hydroxy-4-(2-hydroxy-naphthalene-1-ylazo)-7-nitronaphthalene-
1-sulfonic acid)-chrome(III) complex,
sodium salt</v>
      </c>
      <c r="N80" s="194" t="str">
        <f>'36. Generic chemical products'!N56</f>
        <v>river</v>
      </c>
      <c r="O80" s="194">
        <f>'36. Generic chemical products'!O56</f>
        <v>3.7500000000000007E-3</v>
      </c>
      <c r="P80" s="194" t="str">
        <f>'36. Generic chemical products'!P56</f>
        <v>kg</v>
      </c>
      <c r="Q80" s="194" t="str">
        <f>'36. Generic chemical products'!Q56</f>
        <v>95% on fabric</v>
      </c>
      <c r="R80" s="194">
        <f>'36. Generic chemical products'!R56</f>
        <v>0</v>
      </c>
      <c r="S80" s="194">
        <f>'36. Generic chemical products'!S56</f>
        <v>0</v>
      </c>
      <c r="T80" s="194" t="str">
        <f>'36. Generic chemical products'!T56</f>
        <v>6054-48-4</v>
      </c>
      <c r="U80" s="194">
        <f>'36. Generic chemical products'!U56</f>
        <v>2.9376617915978413E-5</v>
      </c>
      <c r="V80" s="194">
        <f>'36. Generic chemical products'!V56</f>
        <v>1.5549232836361298E-6</v>
      </c>
      <c r="W80" s="194">
        <f>'36. Generic chemical products'!W56</f>
        <v>1.297252698814143E-4</v>
      </c>
      <c r="X80" s="194">
        <f>'36. Generic chemical products'!X56</f>
        <v>6.8664419842856388E-6</v>
      </c>
      <c r="Y80" s="194">
        <f>'36. Generic chemical products'!Y56</f>
        <v>592.97072899355226</v>
      </c>
      <c r="Z80" s="194">
        <f>'36. Generic chemical products'!Z56</f>
        <v>81.853308412925216</v>
      </c>
      <c r="AA80" s="194" t="str">
        <f>'36. Generic chemical products'!AA56</f>
        <v>Roos 2017</v>
      </c>
      <c r="AB80" s="435">
        <f>$C$26*I80</f>
        <v>3.7500000000000003E-5</v>
      </c>
      <c r="AC80" s="436">
        <f>$C$38*O80</f>
        <v>1.8750000000000006E-4</v>
      </c>
      <c r="AD80" s="437">
        <f t="shared" si="11"/>
        <v>2.5425111274614381E-8</v>
      </c>
      <c r="AE80" s="437">
        <f t="shared" si="2"/>
        <v>1.3457674951899125E-9</v>
      </c>
      <c r="AF80" s="438">
        <f t="shared" si="3"/>
        <v>3.7583897664681697E-2</v>
      </c>
      <c r="AG80" s="438">
        <f t="shared" si="4"/>
        <v>1.1016231718491906E-9</v>
      </c>
      <c r="AH80" s="438">
        <f t="shared" si="5"/>
        <v>5.8309623136354868E-11</v>
      </c>
      <c r="AI80" s="438">
        <f t="shared" si="6"/>
        <v>2.2236402337258213E-2</v>
      </c>
      <c r="AJ80" s="438">
        <f t="shared" si="7"/>
        <v>2.4323488102765189E-8</v>
      </c>
      <c r="AK80" s="438">
        <f t="shared" si="8"/>
        <v>1.2874578720535576E-9</v>
      </c>
      <c r="AL80" s="438">
        <f t="shared" si="9"/>
        <v>1.5347495327423483E-2</v>
      </c>
      <c r="AM80" s="439">
        <f t="shared" si="12"/>
        <v>2.5425111274614381E-8</v>
      </c>
      <c r="AN80" s="434">
        <f t="shared" si="12"/>
        <v>1.3457674951899125E-9</v>
      </c>
      <c r="AO80" s="440">
        <f t="shared" si="12"/>
        <v>3.7583897664681697E-2</v>
      </c>
    </row>
    <row r="81" spans="1:41" s="361" customFormat="1" ht="15" customHeight="1" x14ac:dyDescent="0.2">
      <c r="A81" s="196" t="str">
        <f>'36. Generic chemical products'!A80</f>
        <v>Yellow disperse dyestuff PA, BAT (Eriofast Yellow 5G)</v>
      </c>
      <c r="B81" s="196" t="str">
        <f>'36. Generic chemical products'!B80</f>
        <v>Natrium av sulfosuccinsyradioktylester</v>
      </c>
      <c r="C81" s="196">
        <f>'36. Generic chemical products'!C80</f>
        <v>0.05</v>
      </c>
      <c r="D81" s="196" t="str">
        <f>'36. Generic chemical products'!D80</f>
        <v>kg</v>
      </c>
      <c r="E81" s="196" t="str">
        <f>'36. Generic chemical products'!E80</f>
        <v>MSDS</v>
      </c>
      <c r="F81" s="196">
        <f>'36. Generic chemical products'!F80</f>
        <v>0</v>
      </c>
      <c r="G81" s="196" t="str">
        <f>'36. Generic chemical products'!G80</f>
        <v>Natrium av sulfosuccinsyradioktylester</v>
      </c>
      <c r="H81" s="196" t="str">
        <f>'36. Generic chemical products'!H80</f>
        <v>high. pop.</v>
      </c>
      <c r="I81" s="196">
        <f>'36. Generic chemical products'!I80</f>
        <v>5.0000000000000002E-5</v>
      </c>
      <c r="J81" s="196" t="str">
        <f>'36. Generic chemical products'!J80</f>
        <v>kg</v>
      </c>
      <c r="K81" s="196">
        <f>'36. Generic chemical products'!K80</f>
        <v>0</v>
      </c>
      <c r="L81" s="196">
        <f>'36. Generic chemical products'!L80</f>
        <v>0</v>
      </c>
      <c r="M81" s="196" t="str">
        <f>'36. Generic chemical products'!M80</f>
        <v>Dioctyl sodium sulfosuccinate</v>
      </c>
      <c r="N81" s="196" t="str">
        <f>'36. Generic chemical products'!N80</f>
        <v>river</v>
      </c>
      <c r="O81" s="196">
        <f>'36. Generic chemical products'!O80</f>
        <v>2.5000000000000006E-4</v>
      </c>
      <c r="P81" s="196" t="str">
        <f>'36. Generic chemical products'!P80</f>
        <v>kg</v>
      </c>
      <c r="Q81" s="196" t="str">
        <f>'36. Generic chemical products'!Q80</f>
        <v>95% on fabric</v>
      </c>
      <c r="R81" s="196">
        <f>'36. Generic chemical products'!R80</f>
        <v>0</v>
      </c>
      <c r="S81" s="196">
        <f>'36. Generic chemical products'!S80</f>
        <v>0</v>
      </c>
      <c r="T81" s="196" t="str">
        <f>'36. Generic chemical products'!T80</f>
        <v>577-11-7</v>
      </c>
      <c r="U81" s="196">
        <f>'36. Generic chemical products'!U80</f>
        <v>0</v>
      </c>
      <c r="V81" s="196">
        <f>'36. Generic chemical products'!V80</f>
        <v>0</v>
      </c>
      <c r="W81" s="196">
        <f>'36. Generic chemical products'!W80</f>
        <v>0</v>
      </c>
      <c r="X81" s="196">
        <f>'36. Generic chemical products'!X80</f>
        <v>0</v>
      </c>
      <c r="Y81" s="196">
        <f>'36. Generic chemical products'!Y80</f>
        <v>13.802967816428488</v>
      </c>
      <c r="Z81" s="196">
        <f>'36. Generic chemical products'!Z80</f>
        <v>401.06412725859315</v>
      </c>
      <c r="AA81" s="196" t="str">
        <f>'36. Generic chemical products'!AA80</f>
        <v>USEtox</v>
      </c>
      <c r="AB81" s="401">
        <f>$C$27*I81</f>
        <v>5.0000000000000008E-7</v>
      </c>
      <c r="AC81" s="362">
        <f>$C$39*O81</f>
        <v>2.5000000000000006E-6</v>
      </c>
      <c r="AD81" s="402">
        <f t="shared" si="11"/>
        <v>0</v>
      </c>
      <c r="AE81" s="402">
        <f t="shared" si="2"/>
        <v>0</v>
      </c>
      <c r="AF81" s="403">
        <f t="shared" si="3"/>
        <v>1.0095618020546974E-3</v>
      </c>
      <c r="AG81" s="403">
        <f t="shared" si="4"/>
        <v>0</v>
      </c>
      <c r="AH81" s="403">
        <f t="shared" si="5"/>
        <v>0</v>
      </c>
      <c r="AI81" s="403">
        <f t="shared" si="6"/>
        <v>6.9014839082142455E-6</v>
      </c>
      <c r="AJ81" s="403">
        <f t="shared" si="7"/>
        <v>0</v>
      </c>
      <c r="AK81" s="403">
        <f t="shared" si="8"/>
        <v>0</v>
      </c>
      <c r="AL81" s="403">
        <f t="shared" si="9"/>
        <v>1.0026603181464832E-3</v>
      </c>
      <c r="AM81" s="404">
        <f t="shared" si="12"/>
        <v>0</v>
      </c>
      <c r="AN81" s="405">
        <f t="shared" si="12"/>
        <v>0</v>
      </c>
      <c r="AO81" s="406">
        <f t="shared" si="12"/>
        <v>1.0095618020546974E-3</v>
      </c>
    </row>
    <row r="82" spans="1:41" s="387" customFormat="1" ht="15" customHeight="1" x14ac:dyDescent="0.2">
      <c r="A82" s="194" t="str">
        <f>'36. Generic chemical products'!A113</f>
        <v>Blue disperse dyestuff PA, BAT (Eriofast Blue 3G)</v>
      </c>
      <c r="B82" s="194" t="str">
        <f>'36. Generic chemical products'!B113</f>
        <v>Reactive Blue 4</v>
      </c>
      <c r="C82" s="194">
        <f>'36. Generic chemical products'!C113</f>
        <v>0.75</v>
      </c>
      <c r="D82" s="194" t="str">
        <f>'36. Generic chemical products'!D113</f>
        <v>kg</v>
      </c>
      <c r="E82" s="194" t="str">
        <f>'36. Generic chemical products'!E113</f>
        <v>MSDS, replaces 500717-36-2</v>
      </c>
      <c r="F82" s="194">
        <f>'36. Generic chemical products'!F113</f>
        <v>0</v>
      </c>
      <c r="G82" s="194" t="str">
        <f>'36. Generic chemical products'!G113</f>
        <v>2-Anthracenesulfonic acid, 1-amino-4-[(4-amino-2-
sulfophenyl)amino]-9,10-dihydro-9,10-dioxo-,
disodium salt, reaction product with 2-[[3-[(4,6-
dichloro-1,3,5-triazin-2-yl)ethylamino]phenyl]sulfonyl
]ethyl hydrogen sulfate, sodium salts</v>
      </c>
      <c r="H82" s="194" t="str">
        <f>'36. Generic chemical products'!H113</f>
        <v>high. pop.</v>
      </c>
      <c r="I82" s="194">
        <f>'36. Generic chemical products'!I113</f>
        <v>7.5000000000000002E-4</v>
      </c>
      <c r="J82" s="194" t="str">
        <f>'36. Generic chemical products'!J113</f>
        <v>kg</v>
      </c>
      <c r="K82" s="194">
        <f>'36. Generic chemical products'!K113</f>
        <v>0</v>
      </c>
      <c r="L82" s="194">
        <f>'36. Generic chemical products'!L113</f>
        <v>0</v>
      </c>
      <c r="M82" s="194" t="str">
        <f>'36. Generic chemical products'!M113</f>
        <v>2-Anthracenesulfonic acid, 1-amino-4-[(4-amino-2-
sulfophenyl)amino]-9,10-dihydro-9,10-dioxo-,
disodium salt, reaction product with 2-[[3-[(4,6-
dichloro-1,3,5-triazin-2-yl)ethylamino]phenyl]sulfonyl
]ethyl hydrogen sulfate, sodium salts</v>
      </c>
      <c r="N82" s="194" t="str">
        <f>'36. Generic chemical products'!N113</f>
        <v>river</v>
      </c>
      <c r="O82" s="194">
        <f>'36. Generic chemical products'!O113</f>
        <v>3.7500000000000007E-3</v>
      </c>
      <c r="P82" s="194" t="str">
        <f>'36. Generic chemical products'!P113</f>
        <v>kg</v>
      </c>
      <c r="Q82" s="194" t="str">
        <f>'36. Generic chemical products'!Q113</f>
        <v>95% on fabric</v>
      </c>
      <c r="R82" s="194">
        <f>'36. Generic chemical products'!R113</f>
        <v>0</v>
      </c>
      <c r="S82" s="194">
        <f>'36. Generic chemical products'!S113</f>
        <v>0</v>
      </c>
      <c r="T82" s="194" t="str">
        <f>'36. Generic chemical products'!T113</f>
        <v>13324-20-4</v>
      </c>
      <c r="U82" s="194">
        <f>'36. Generic chemical products'!U113</f>
        <v>2.3250974052490423E-6</v>
      </c>
      <c r="V82" s="194">
        <f>'36. Generic chemical products'!V113</f>
        <v>3.6419621494691573E-7</v>
      </c>
      <c r="W82" s="194">
        <f>'36. Generic chemical products'!W113</f>
        <v>1.7961299223192751E-6</v>
      </c>
      <c r="X82" s="194">
        <f>'36. Generic chemical products'!X113</f>
        <v>2.8134035063856268E-7</v>
      </c>
      <c r="Y82" s="194">
        <f>'36. Generic chemical products'!Y113</f>
        <v>10.290742530418507</v>
      </c>
      <c r="Z82" s="194">
        <f>'36. Generic chemical products'!Z113</f>
        <v>34.995514714186051</v>
      </c>
      <c r="AA82" s="194" t="str">
        <f>'36. Generic chemical products'!AA113</f>
        <v>Roos 2017</v>
      </c>
      <c r="AB82" s="435">
        <f>$C$28*I82</f>
        <v>1.125E-6</v>
      </c>
      <c r="AC82" s="436">
        <f>$C$40*O82</f>
        <v>5.6250000000000012E-6</v>
      </c>
      <c r="AD82" s="437">
        <f t="shared" si="11"/>
        <v>1.2718965393951096E-11</v>
      </c>
      <c r="AE82" s="437">
        <f t="shared" si="2"/>
        <v>1.9922602141571957E-12</v>
      </c>
      <c r="AF82" s="438">
        <f t="shared" si="3"/>
        <v>2.0842685561401741E-4</v>
      </c>
      <c r="AG82" s="438">
        <f t="shared" si="4"/>
        <v>2.6157345809051725E-12</v>
      </c>
      <c r="AH82" s="438">
        <f t="shared" si="5"/>
        <v>4.097207418152802E-13</v>
      </c>
      <c r="AI82" s="438">
        <f t="shared" si="6"/>
        <v>1.1577085346720821E-5</v>
      </c>
      <c r="AJ82" s="438">
        <f t="shared" si="7"/>
        <v>1.0103230813045924E-11</v>
      </c>
      <c r="AK82" s="438">
        <f t="shared" si="8"/>
        <v>1.5825394723419154E-12</v>
      </c>
      <c r="AL82" s="438">
        <f t="shared" si="9"/>
        <v>1.9684977026729659E-4</v>
      </c>
      <c r="AM82" s="439">
        <f t="shared" si="12"/>
        <v>1.2718965393951096E-11</v>
      </c>
      <c r="AN82" s="434">
        <f t="shared" si="12"/>
        <v>1.9922602141571957E-12</v>
      </c>
      <c r="AO82" s="440">
        <f t="shared" si="12"/>
        <v>2.0842685561401741E-4</v>
      </c>
    </row>
    <row r="83" spans="1:41" s="361" customFormat="1" ht="15" customHeight="1" x14ac:dyDescent="0.2">
      <c r="A83" s="196" t="str">
        <f>'36. Generic chemical products'!A45</f>
        <v>Soda (CaCO3), average</v>
      </c>
      <c r="B83" s="196" t="str">
        <f>'36. Generic chemical products'!B45</f>
        <v>Calcium carbonate</v>
      </c>
      <c r="C83" s="196">
        <f>'36. Generic chemical products'!C45</f>
        <v>1</v>
      </c>
      <c r="D83" s="196" t="str">
        <f>'36. Generic chemical products'!D45</f>
        <v>kg</v>
      </c>
      <c r="E83" s="196">
        <f>'36. Generic chemical products'!E45</f>
        <v>1</v>
      </c>
      <c r="F83" s="196">
        <f>'36. Generic chemical products'!F45</f>
        <v>0</v>
      </c>
      <c r="G83" s="196" t="str">
        <f>'36. Generic chemical products'!G45</f>
        <v>-</v>
      </c>
      <c r="H83" s="196">
        <f>'36. Generic chemical products'!H45</f>
        <v>0</v>
      </c>
      <c r="I83" s="196">
        <f>'36. Generic chemical products'!I45</f>
        <v>0</v>
      </c>
      <c r="J83" s="196">
        <f>'36. Generic chemical products'!J45</f>
        <v>0</v>
      </c>
      <c r="K83" s="196">
        <f>'36. Generic chemical products'!K45</f>
        <v>0</v>
      </c>
      <c r="L83" s="196">
        <f>'36. Generic chemical products'!L45</f>
        <v>0</v>
      </c>
      <c r="M83" s="196" t="str">
        <f>'36. Generic chemical products'!M45</f>
        <v>Calcium carbonate</v>
      </c>
      <c r="N83" s="196" t="str">
        <f>'36. Generic chemical products'!N45</f>
        <v>river</v>
      </c>
      <c r="O83" s="196">
        <f>'36. Generic chemical products'!O45</f>
        <v>0.1</v>
      </c>
      <c r="P83" s="196" t="str">
        <f>'36. Generic chemical products'!P45</f>
        <v>kg</v>
      </c>
      <c r="Q83" s="196">
        <f>'36. Generic chemical products'!Q45</f>
        <v>0</v>
      </c>
      <c r="R83" s="196">
        <f>'36. Generic chemical products'!R45</f>
        <v>0</v>
      </c>
      <c r="S83" s="196">
        <f>'36. Generic chemical products'!S45</f>
        <v>0</v>
      </c>
      <c r="T83" s="196" t="str">
        <f>'36. Generic chemical products'!T45</f>
        <v>471-34-1</v>
      </c>
      <c r="U83" s="196">
        <f>'36. Generic chemical products'!U45</f>
        <v>0</v>
      </c>
      <c r="V83" s="196">
        <f>'36. Generic chemical products'!V45</f>
        <v>0</v>
      </c>
      <c r="W83" s="196">
        <f>'36. Generic chemical products'!W45</f>
        <v>0</v>
      </c>
      <c r="X83" s="196">
        <f>'36. Generic chemical products'!X45</f>
        <v>0</v>
      </c>
      <c r="Y83" s="196">
        <f>'36. Generic chemical products'!Y45</f>
        <v>22</v>
      </c>
      <c r="Z83" s="196">
        <f>'36. Generic chemical products'!Z45</f>
        <v>51.7</v>
      </c>
      <c r="AA83" s="196" t="str">
        <f>'36. Generic chemical products'!AA45</f>
        <v>COSMEDE</v>
      </c>
      <c r="AB83" s="401">
        <f>$C$29*I83</f>
        <v>0</v>
      </c>
      <c r="AC83" s="362">
        <f>$C$41*O83</f>
        <v>1E-3</v>
      </c>
      <c r="AD83" s="402">
        <f t="shared" si="11"/>
        <v>0</v>
      </c>
      <c r="AE83" s="402">
        <f t="shared" si="2"/>
        <v>0</v>
      </c>
      <c r="AF83" s="403">
        <f t="shared" si="3"/>
        <v>5.1700000000000003E-2</v>
      </c>
      <c r="AG83" s="403">
        <f t="shared" si="4"/>
        <v>0</v>
      </c>
      <c r="AH83" s="403">
        <f t="shared" si="5"/>
        <v>0</v>
      </c>
      <c r="AI83" s="403">
        <f t="shared" si="6"/>
        <v>0</v>
      </c>
      <c r="AJ83" s="403">
        <f t="shared" si="7"/>
        <v>0</v>
      </c>
      <c r="AK83" s="403">
        <f t="shared" si="8"/>
        <v>0</v>
      </c>
      <c r="AL83" s="403">
        <f t="shared" si="9"/>
        <v>5.1700000000000003E-2</v>
      </c>
      <c r="AM83" s="404">
        <f t="shared" si="12"/>
        <v>0</v>
      </c>
      <c r="AN83" s="405">
        <f t="shared" si="12"/>
        <v>0</v>
      </c>
      <c r="AO83" s="406">
        <f t="shared" si="12"/>
        <v>5.1700000000000003E-2</v>
      </c>
    </row>
    <row r="84" spans="1:41" s="8" customFormat="1" ht="15" customHeight="1" x14ac:dyDescent="0.2">
      <c r="A84" s="54" t="str">
        <f>'36. Generic chemical products'!A64</f>
        <v>DWR agent, silicon, BAT (Phobotone BC New)</v>
      </c>
      <c r="B84" s="54" t="str">
        <f>'36. Generic chemical products'!B64</f>
        <v>PDMS</v>
      </c>
      <c r="C84" s="54">
        <f>'36. Generic chemical products'!C64</f>
        <v>0.5</v>
      </c>
      <c r="D84" s="54" t="str">
        <f>'36. Generic chemical products'!D64</f>
        <v>kg</v>
      </c>
      <c r="E84" s="54" t="str">
        <f>'36. Generic chemical products'!E64</f>
        <v>assumption 50%. Emulsion bestående av polydimetylsiloxan och en självtvärbindande
kondensationsprodukt. Katjonisk</v>
      </c>
      <c r="F84" s="54">
        <f>'36. Generic chemical products'!F64</f>
        <v>0</v>
      </c>
      <c r="G84" s="54" t="str">
        <f>'36. Generic chemical products'!G64</f>
        <v>-</v>
      </c>
      <c r="H84" s="54">
        <f>'36. Generic chemical products'!H64</f>
        <v>0</v>
      </c>
      <c r="I84" s="54">
        <f>'36. Generic chemical products'!I64</f>
        <v>0</v>
      </c>
      <c r="J84" s="54">
        <f>'36. Generic chemical products'!J64</f>
        <v>0</v>
      </c>
      <c r="K84" s="54" t="str">
        <f>'36. Generic chemical products'!K64</f>
        <v>worst case - monomer release</v>
      </c>
      <c r="L84" s="54">
        <f>'36. Generic chemical products'!L64</f>
        <v>0</v>
      </c>
      <c r="M84" s="54" t="str">
        <f>'36. Generic chemical products'!M64</f>
        <v>PDMS</v>
      </c>
      <c r="N84" s="54" t="str">
        <f>'36. Generic chemical products'!N64</f>
        <v>river</v>
      </c>
      <c r="O84" s="54">
        <f>'36. Generic chemical products'!O64</f>
        <v>2.5000000000000005E-3</v>
      </c>
      <c r="P84" s="54" t="str">
        <f>'36. Generic chemical products'!P64</f>
        <v>kg</v>
      </c>
      <c r="Q84" s="54" t="str">
        <f>'36. Generic chemical products'!Q64</f>
        <v>95% on fabric</v>
      </c>
      <c r="R84" s="54">
        <f>'36. Generic chemical products'!R64</f>
        <v>0</v>
      </c>
      <c r="S84" s="54">
        <f>'36. Generic chemical products'!S64</f>
        <v>0</v>
      </c>
      <c r="T84" s="54" t="str">
        <f>'36. Generic chemical products'!T64</f>
        <v xml:space="preserve">63148-62-9 </v>
      </c>
      <c r="U84" s="54">
        <f>'36. Generic chemical products'!U64</f>
        <v>0</v>
      </c>
      <c r="V84" s="54">
        <f>'36. Generic chemical products'!V64</f>
        <v>4.8150971100649583E-7</v>
      </c>
      <c r="W84" s="54">
        <f>'36. Generic chemical products'!W64</f>
        <v>0</v>
      </c>
      <c r="X84" s="54">
        <f>'36. Generic chemical products'!X64</f>
        <v>3.4017420676238008E-5</v>
      </c>
      <c r="Y84" s="54">
        <f>'36. Generic chemical products'!Y64</f>
        <v>0.21984397801517921</v>
      </c>
      <c r="Z84" s="54">
        <f>'36. Generic chemical products'!Z64</f>
        <v>16.35619356945876</v>
      </c>
      <c r="AA84" s="54" t="str">
        <f>'36. Generic chemical products'!AA64</f>
        <v>Roos 2017</v>
      </c>
      <c r="AB84" s="27">
        <f t="shared" ref="AB84:AB89" si="13">$C$30*I84</f>
        <v>0</v>
      </c>
      <c r="AC84" s="29">
        <f t="shared" ref="AC84:AC88" si="14">$C$42*O84</f>
        <v>1.2500000000000002E-3</v>
      </c>
      <c r="AD84" s="135">
        <f t="shared" si="11"/>
        <v>0</v>
      </c>
      <c r="AE84" s="135">
        <f t="shared" si="2"/>
        <v>4.2521775845297522E-8</v>
      </c>
      <c r="AF84" s="24">
        <f t="shared" si="3"/>
        <v>2.0445241961823454E-2</v>
      </c>
      <c r="AG84" s="24">
        <f t="shared" si="4"/>
        <v>0</v>
      </c>
      <c r="AH84" s="24">
        <f t="shared" si="5"/>
        <v>0</v>
      </c>
      <c r="AI84" s="24">
        <f t="shared" si="6"/>
        <v>0</v>
      </c>
      <c r="AJ84" s="24">
        <f t="shared" si="7"/>
        <v>0</v>
      </c>
      <c r="AK84" s="24">
        <f t="shared" si="8"/>
        <v>4.2521775845297522E-8</v>
      </c>
      <c r="AL84" s="24">
        <f t="shared" si="9"/>
        <v>2.0445241961823454E-2</v>
      </c>
      <c r="AM84" s="161">
        <f t="shared" si="12"/>
        <v>0</v>
      </c>
      <c r="AN84" s="157">
        <f t="shared" si="12"/>
        <v>4.2521775845297522E-8</v>
      </c>
      <c r="AO84" s="162">
        <f t="shared" si="12"/>
        <v>2.0445241961823454E-2</v>
      </c>
    </row>
    <row r="85" spans="1:41" s="8" customFormat="1" ht="15" customHeight="1" x14ac:dyDescent="0.2">
      <c r="A85" s="54" t="str">
        <f>'36. Generic chemical products'!A65</f>
        <v>DWR agent, silicon, BAT (Phobotone BC New)</v>
      </c>
      <c r="B85" s="54" t="str">
        <f>'36. Generic chemical products'!B65</f>
        <v>Alcohols, C11-14-iso-,
C13-rich</v>
      </c>
      <c r="C85" s="54">
        <f>'36. Generic chemical products'!C65</f>
        <v>0.03</v>
      </c>
      <c r="D85" s="54" t="str">
        <f>'36. Generic chemical products'!D65</f>
        <v>kg</v>
      </c>
      <c r="E85" s="54" t="str">
        <f>'36. Generic chemical products'!E65</f>
        <v>MSDS</v>
      </c>
      <c r="F85" s="54">
        <f>'36. Generic chemical products'!F65</f>
        <v>0</v>
      </c>
      <c r="G85" s="54" t="str">
        <f>'36. Generic chemical products'!G65</f>
        <v>Alcohols, C11-14-iso-,
C13-rich</v>
      </c>
      <c r="H85" s="54" t="str">
        <f>'36. Generic chemical products'!H65</f>
        <v>high. pop.</v>
      </c>
      <c r="I85" s="54">
        <f>'36. Generic chemical products'!I65</f>
        <v>3.0000000000000001E-5</v>
      </c>
      <c r="J85" s="54" t="str">
        <f>'36. Generic chemical products'!J65</f>
        <v>kg</v>
      </c>
      <c r="K85" s="54">
        <f>'36. Generic chemical products'!K65</f>
        <v>0</v>
      </c>
      <c r="L85" s="54">
        <f>'36. Generic chemical products'!L65</f>
        <v>0</v>
      </c>
      <c r="M85" s="54" t="str">
        <f>'36. Generic chemical products'!M65</f>
        <v>Alcohols, C11-14-iso-,
C13-rich</v>
      </c>
      <c r="N85" s="54" t="str">
        <f>'36. Generic chemical products'!N65</f>
        <v>river</v>
      </c>
      <c r="O85" s="54">
        <f>'36. Generic chemical products'!O65</f>
        <v>3.0000000000000001E-3</v>
      </c>
      <c r="P85" s="54">
        <f>'36. Generic chemical products'!P65</f>
        <v>0</v>
      </c>
      <c r="Q85" s="54">
        <f>'36. Generic chemical products'!Q65</f>
        <v>0</v>
      </c>
      <c r="R85" s="54">
        <f>'36. Generic chemical products'!R65</f>
        <v>0</v>
      </c>
      <c r="S85" s="54">
        <f>'36. Generic chemical products'!S65</f>
        <v>0</v>
      </c>
      <c r="T85" s="54" t="str">
        <f>'36. Generic chemical products'!T65</f>
        <v>68526-86-3</v>
      </c>
      <c r="U85" s="54">
        <f>'36. Generic chemical products'!U65</f>
        <v>0</v>
      </c>
      <c r="V85" s="54">
        <f>'36. Generic chemical products'!V65</f>
        <v>0</v>
      </c>
      <c r="W85" s="54">
        <f>'36. Generic chemical products'!W65</f>
        <v>0</v>
      </c>
      <c r="X85" s="54">
        <f>'36. Generic chemical products'!X65</f>
        <v>0</v>
      </c>
      <c r="Y85" s="54">
        <f>'36. Generic chemical products'!Y65</f>
        <v>3.6114752306981606</v>
      </c>
      <c r="Z85" s="54">
        <f>'36. Generic chemical products'!Z65</f>
        <v>293.57375419425159</v>
      </c>
      <c r="AA85" s="54" t="str">
        <f>'36. Generic chemical products'!AA65</f>
        <v>USEtox</v>
      </c>
      <c r="AB85" s="27">
        <f t="shared" si="13"/>
        <v>1.5E-5</v>
      </c>
      <c r="AC85" s="29">
        <f t="shared" si="14"/>
        <v>1.5E-3</v>
      </c>
      <c r="AD85" s="135">
        <f t="shared" si="11"/>
        <v>0</v>
      </c>
      <c r="AE85" s="135">
        <f t="shared" si="2"/>
        <v>0</v>
      </c>
      <c r="AF85" s="24">
        <f t="shared" si="3"/>
        <v>0.44041480341983791</v>
      </c>
      <c r="AG85" s="24">
        <f t="shared" si="4"/>
        <v>0</v>
      </c>
      <c r="AH85" s="24">
        <f t="shared" si="5"/>
        <v>0</v>
      </c>
      <c r="AI85" s="24">
        <f t="shared" si="6"/>
        <v>5.4172128460472412E-5</v>
      </c>
      <c r="AJ85" s="24">
        <f t="shared" si="7"/>
        <v>0</v>
      </c>
      <c r="AK85" s="24">
        <f t="shared" si="8"/>
        <v>0</v>
      </c>
      <c r="AL85" s="24">
        <f t="shared" si="9"/>
        <v>0.44036063129137742</v>
      </c>
      <c r="AM85" s="161">
        <f t="shared" si="12"/>
        <v>0</v>
      </c>
      <c r="AN85" s="157">
        <f t="shared" si="12"/>
        <v>0</v>
      </c>
      <c r="AO85" s="162">
        <f t="shared" si="12"/>
        <v>0.44041480341983791</v>
      </c>
    </row>
    <row r="86" spans="1:41" s="8" customFormat="1" ht="15" customHeight="1" x14ac:dyDescent="0.2">
      <c r="A86" s="54" t="str">
        <f>'36. Generic chemical products'!A66</f>
        <v>DWR agent, silicon, BAT (Phobotone BC New)</v>
      </c>
      <c r="B86" s="54" t="str">
        <f>'36. Generic chemical products'!B66</f>
        <v>DMSD</v>
      </c>
      <c r="C86" s="54">
        <f>'36. Generic chemical products'!C66</f>
        <v>0</v>
      </c>
      <c r="D86" s="54">
        <f>'36. Generic chemical products'!D66</f>
        <v>0</v>
      </c>
      <c r="E86" s="54" t="str">
        <f>'36. Generic chemical products'!E66</f>
        <v>DMSD is the primary hydrolysis product of PDMS, assumption 1% of PDMS</v>
      </c>
      <c r="F86" s="54">
        <f>'36. Generic chemical products'!F66</f>
        <v>0</v>
      </c>
      <c r="G86" s="54" t="str">
        <f>'36. Generic chemical products'!G66</f>
        <v>Dimethylsilanediol (DMSD)</v>
      </c>
      <c r="H86" s="54" t="str">
        <f>'36. Generic chemical products'!H66</f>
        <v>high. pop.</v>
      </c>
      <c r="I86" s="54">
        <f>'36. Generic chemical products'!I66</f>
        <v>5.0000000000000002E-5</v>
      </c>
      <c r="J86" s="54" t="str">
        <f>'36. Generic chemical products'!J66</f>
        <v>kg</v>
      </c>
      <c r="K86" s="54">
        <f>'36. Generic chemical products'!K66</f>
        <v>0</v>
      </c>
      <c r="L86" s="54">
        <f>'36. Generic chemical products'!L66</f>
        <v>0</v>
      </c>
      <c r="M86" s="54" t="str">
        <f>'36. Generic chemical products'!M66</f>
        <v>Dimethylsilanediol (DMSD)</v>
      </c>
      <c r="N86" s="54" t="str">
        <f>'36. Generic chemical products'!N66</f>
        <v>river</v>
      </c>
      <c r="O86" s="54">
        <f>'36. Generic chemical products'!O66</f>
        <v>5.0000000000000001E-4</v>
      </c>
      <c r="P86" s="54" t="str">
        <f>'36. Generic chemical products'!P66</f>
        <v>kg</v>
      </c>
      <c r="Q86" s="54" t="str">
        <f>'36. Generic chemical products'!Q66</f>
        <v>assumption 1% of PDMS</v>
      </c>
      <c r="R86" s="54">
        <f>'36. Generic chemical products'!R66</f>
        <v>0</v>
      </c>
      <c r="S86" s="54">
        <f>'36. Generic chemical products'!S66</f>
        <v>0</v>
      </c>
      <c r="T86" s="54" t="str">
        <f>'36. Generic chemical products'!T66</f>
        <v>1066-42-8</v>
      </c>
      <c r="U86" s="54">
        <f>'36. Generic chemical products'!U66</f>
        <v>0</v>
      </c>
      <c r="V86" s="54">
        <f>'36. Generic chemical products'!V66</f>
        <v>5.8729527284859051E-7</v>
      </c>
      <c r="W86" s="54">
        <f>'36. Generic chemical products'!W66</f>
        <v>0</v>
      </c>
      <c r="X86" s="54">
        <f>'36. Generic chemical products'!X66</f>
        <v>4.9841317466958876E-7</v>
      </c>
      <c r="Y86" s="54">
        <f>'36. Generic chemical products'!Y66</f>
        <v>0.72430805120024888</v>
      </c>
      <c r="Z86" s="54">
        <f>'36. Generic chemical products'!Z66</f>
        <v>4.3581145649604585</v>
      </c>
      <c r="AA86" s="54" t="str">
        <f>'36. Generic chemical products'!AA66</f>
        <v>Roos 2017</v>
      </c>
      <c r="AB86" s="27">
        <f t="shared" si="13"/>
        <v>2.5000000000000001E-5</v>
      </c>
      <c r="AC86" s="29">
        <f t="shared" si="14"/>
        <v>2.5000000000000001E-4</v>
      </c>
      <c r="AD86" s="135">
        <f t="shared" si="11"/>
        <v>0</v>
      </c>
      <c r="AE86" s="135">
        <f t="shared" si="2"/>
        <v>1.3928567548861195E-10</v>
      </c>
      <c r="AF86" s="24">
        <f t="shared" si="3"/>
        <v>1.1076363425201207E-3</v>
      </c>
      <c r="AG86" s="24">
        <f t="shared" si="4"/>
        <v>0</v>
      </c>
      <c r="AH86" s="24">
        <f t="shared" si="5"/>
        <v>1.4682381821214762E-11</v>
      </c>
      <c r="AI86" s="24">
        <f t="shared" si="6"/>
        <v>1.8107701280006221E-5</v>
      </c>
      <c r="AJ86" s="24">
        <f t="shared" si="7"/>
        <v>0</v>
      </c>
      <c r="AK86" s="24">
        <f t="shared" si="8"/>
        <v>1.2460329366739718E-10</v>
      </c>
      <c r="AL86" s="24">
        <f t="shared" si="9"/>
        <v>1.0895286412401146E-3</v>
      </c>
      <c r="AM86" s="161">
        <f t="shared" si="12"/>
        <v>0</v>
      </c>
      <c r="AN86" s="157">
        <f t="shared" si="12"/>
        <v>1.3928567548861195E-10</v>
      </c>
      <c r="AO86" s="162">
        <f t="shared" si="12"/>
        <v>1.1076363425201207E-3</v>
      </c>
    </row>
    <row r="87" spans="1:41" s="8" customFormat="1" ht="15" customHeight="1" x14ac:dyDescent="0.2">
      <c r="A87" s="54" t="str">
        <f>'36. Generic chemical products'!A67</f>
        <v>DWR agent, silicon, BAT (Phobotone BC New)</v>
      </c>
      <c r="B87" s="54" t="str">
        <f>'36. Generic chemical products'!B67</f>
        <v>D5, Decamethylcyclopentasiloxane</v>
      </c>
      <c r="C87" s="54">
        <f>'36. Generic chemical products'!C67</f>
        <v>0</v>
      </c>
      <c r="D87" s="54">
        <f>'36. Generic chemical products'!D67</f>
        <v>0</v>
      </c>
      <c r="E87" s="54" t="str">
        <f>'36. Generic chemical products'!E67</f>
        <v>assumption 1% of PDMS</v>
      </c>
      <c r="F87" s="54">
        <f>'36. Generic chemical products'!F67</f>
        <v>0</v>
      </c>
      <c r="G87" s="54" t="str">
        <f>'36. Generic chemical products'!G67</f>
        <v>D5, Decamethylcyclopentasiloxane</v>
      </c>
      <c r="H87" s="54" t="str">
        <f>'36. Generic chemical products'!H67</f>
        <v>high. pop.</v>
      </c>
      <c r="I87" s="54">
        <f>'36. Generic chemical products'!I67</f>
        <v>5.0000000000000004E-6</v>
      </c>
      <c r="J87" s="54" t="str">
        <f>'36. Generic chemical products'!J67</f>
        <v>kg</v>
      </c>
      <c r="K87" s="54">
        <f>'36. Generic chemical products'!K67</f>
        <v>0</v>
      </c>
      <c r="L87" s="54">
        <f>'36. Generic chemical products'!L67</f>
        <v>0</v>
      </c>
      <c r="M87" s="54" t="str">
        <f>'36. Generic chemical products'!M67</f>
        <v>D5, Decamethylcyclopentasiloxane</v>
      </c>
      <c r="N87" s="54" t="str">
        <f>'36. Generic chemical products'!N67</f>
        <v>river</v>
      </c>
      <c r="O87" s="54">
        <f>'36. Generic chemical products'!O67</f>
        <v>5.0000000000000001E-4</v>
      </c>
      <c r="P87" s="54" t="str">
        <f>'36. Generic chemical products'!P67</f>
        <v>kg</v>
      </c>
      <c r="Q87" s="54" t="str">
        <f>'36. Generic chemical products'!Q67</f>
        <v>assumption 1% of PDMS</v>
      </c>
      <c r="R87" s="54">
        <f>'36. Generic chemical products'!R67</f>
        <v>0</v>
      </c>
      <c r="S87" s="54">
        <f>'36. Generic chemical products'!S67</f>
        <v>0</v>
      </c>
      <c r="T87" s="54" t="str">
        <f>'36. Generic chemical products'!T67</f>
        <v>541-02-6</v>
      </c>
      <c r="U87" s="54">
        <f>'36. Generic chemical products'!U67</f>
        <v>1.2989346582460636E-4</v>
      </c>
      <c r="V87" s="54">
        <f>'36. Generic chemical products'!V67</f>
        <v>6.0532463000159839E-8</v>
      </c>
      <c r="W87" s="54">
        <f>'36. Generic chemical products'!W67</f>
        <v>4.1441705731287989E-5</v>
      </c>
      <c r="X87" s="54">
        <f>'36. Generic chemical products'!X67</f>
        <v>1.9312507391480285E-8</v>
      </c>
      <c r="Y87" s="54">
        <f>'36. Generic chemical products'!Y67</f>
        <v>16.293115472362601</v>
      </c>
      <c r="Z87" s="54">
        <f>'36. Generic chemical products'!Z67</f>
        <v>462.56767404636184</v>
      </c>
      <c r="AA87" s="54" t="str">
        <f>'36. Generic chemical products'!AA67</f>
        <v>COSMEDE</v>
      </c>
      <c r="AB87" s="27">
        <f t="shared" si="13"/>
        <v>2.5000000000000002E-6</v>
      </c>
      <c r="AC87" s="29">
        <f t="shared" si="14"/>
        <v>2.5000000000000001E-4</v>
      </c>
      <c r="AD87" s="135">
        <f t="shared" si="11"/>
        <v>1.0685160097383513E-8</v>
      </c>
      <c r="AE87" s="135">
        <f t="shared" si="2"/>
        <v>4.9794580053704709E-12</v>
      </c>
      <c r="AF87" s="24">
        <f t="shared" si="3"/>
        <v>0.11568265130027136</v>
      </c>
      <c r="AG87" s="24">
        <f t="shared" si="4"/>
        <v>3.2473366456151591E-10</v>
      </c>
      <c r="AH87" s="24">
        <f t="shared" si="5"/>
        <v>1.513311575003996E-13</v>
      </c>
      <c r="AI87" s="24">
        <f t="shared" si="6"/>
        <v>4.0732788680906508E-5</v>
      </c>
      <c r="AJ87" s="24">
        <f t="shared" si="7"/>
        <v>1.0360426432821997E-8</v>
      </c>
      <c r="AK87" s="24">
        <f t="shared" si="8"/>
        <v>4.8281268478700711E-12</v>
      </c>
      <c r="AL87" s="24">
        <f t="shared" si="9"/>
        <v>0.11564191851159046</v>
      </c>
      <c r="AM87" s="161">
        <f t="shared" si="12"/>
        <v>1.0685160097383513E-8</v>
      </c>
      <c r="AN87" s="157">
        <f t="shared" si="12"/>
        <v>4.9794580053704709E-12</v>
      </c>
      <c r="AO87" s="162">
        <f t="shared" si="12"/>
        <v>0.11568265130027136</v>
      </c>
    </row>
    <row r="88" spans="1:41" s="8" customFormat="1" ht="15" customHeight="1" x14ac:dyDescent="0.2">
      <c r="A88" s="54" t="str">
        <f>'36. Generic chemical products'!A68</f>
        <v>DWR agent, silicon, BAT (Phobotone BC New)</v>
      </c>
      <c r="B88" s="54" t="str">
        <f>'36. Generic chemical products'!B68</f>
        <v>D4, Octamethylcyclotetrasiloxane</v>
      </c>
      <c r="C88" s="54">
        <f>'36. Generic chemical products'!C68</f>
        <v>0</v>
      </c>
      <c r="D88" s="54">
        <f>'36. Generic chemical products'!D68</f>
        <v>0</v>
      </c>
      <c r="E88" s="54" t="str">
        <f>'36. Generic chemical products'!E68</f>
        <v>assumption 1% of PDMS</v>
      </c>
      <c r="F88" s="54">
        <f>'36. Generic chemical products'!F68</f>
        <v>0</v>
      </c>
      <c r="G88" s="54" t="str">
        <f>'36. Generic chemical products'!G68</f>
        <v>D4, Octamethylcyclotetrasiloxane</v>
      </c>
      <c r="H88" s="54" t="str">
        <f>'36. Generic chemical products'!H68</f>
        <v>high. pop.</v>
      </c>
      <c r="I88" s="54">
        <f>'36. Generic chemical products'!I68</f>
        <v>5.0000000000000004E-6</v>
      </c>
      <c r="J88" s="54" t="str">
        <f>'36. Generic chemical products'!J68</f>
        <v>kg</v>
      </c>
      <c r="K88" s="54">
        <f>'36. Generic chemical products'!K68</f>
        <v>0</v>
      </c>
      <c r="L88" s="54">
        <f>'36. Generic chemical products'!L68</f>
        <v>0</v>
      </c>
      <c r="M88" s="54" t="str">
        <f>'36. Generic chemical products'!M68</f>
        <v>D4, Octamethylcyclotetrasiloxane</v>
      </c>
      <c r="N88" s="54" t="str">
        <f>'36. Generic chemical products'!N68</f>
        <v>river</v>
      </c>
      <c r="O88" s="54">
        <f>'36. Generic chemical products'!O68</f>
        <v>5.0000000000000001E-4</v>
      </c>
      <c r="P88" s="54" t="str">
        <f>'36. Generic chemical products'!P68</f>
        <v>kg</v>
      </c>
      <c r="Q88" s="54" t="str">
        <f>'36. Generic chemical products'!Q68</f>
        <v>assumption 1% of PDMS</v>
      </c>
      <c r="R88" s="54">
        <f>'36. Generic chemical products'!R68</f>
        <v>0</v>
      </c>
      <c r="S88" s="54">
        <f>'36. Generic chemical products'!S68</f>
        <v>0</v>
      </c>
      <c r="T88" s="54" t="str">
        <f>'36. Generic chemical products'!T68</f>
        <v>556-67-2</v>
      </c>
      <c r="U88" s="54">
        <f>'36. Generic chemical products'!U68</f>
        <v>0</v>
      </c>
      <c r="V88" s="54">
        <f>'36. Generic chemical products'!V68</f>
        <v>0</v>
      </c>
      <c r="W88" s="54">
        <f>'36. Generic chemical products'!W68</f>
        <v>0</v>
      </c>
      <c r="X88" s="54">
        <f>'36. Generic chemical products'!X68</f>
        <v>0</v>
      </c>
      <c r="Y88" s="54">
        <f>'36. Generic chemical products'!Y68</f>
        <v>22.652229020966026</v>
      </c>
      <c r="Z88" s="54">
        <f>'36. Generic chemical products'!Z68</f>
        <v>215359.14100115595</v>
      </c>
      <c r="AA88" s="54" t="str">
        <f>'36. Generic chemical products'!AA68</f>
        <v>USEtox</v>
      </c>
      <c r="AB88" s="27">
        <f t="shared" si="13"/>
        <v>2.5000000000000002E-6</v>
      </c>
      <c r="AC88" s="29">
        <f t="shared" si="14"/>
        <v>2.5000000000000001E-4</v>
      </c>
      <c r="AD88" s="135">
        <f t="shared" si="11"/>
        <v>0</v>
      </c>
      <c r="AE88" s="135">
        <f t="shared" si="2"/>
        <v>0</v>
      </c>
      <c r="AF88" s="24">
        <f t="shared" si="3"/>
        <v>53.839841880861542</v>
      </c>
      <c r="AG88" s="24">
        <f t="shared" si="4"/>
        <v>0</v>
      </c>
      <c r="AH88" s="24">
        <f t="shared" si="5"/>
        <v>0</v>
      </c>
      <c r="AI88" s="24">
        <f t="shared" si="6"/>
        <v>5.6630572552415071E-5</v>
      </c>
      <c r="AJ88" s="24">
        <f t="shared" si="7"/>
        <v>0</v>
      </c>
      <c r="AK88" s="24">
        <f t="shared" si="8"/>
        <v>0</v>
      </c>
      <c r="AL88" s="24">
        <f t="shared" si="9"/>
        <v>53.83978525028899</v>
      </c>
      <c r="AM88" s="161">
        <f t="shared" si="12"/>
        <v>0</v>
      </c>
      <c r="AN88" s="157">
        <f t="shared" si="12"/>
        <v>0</v>
      </c>
      <c r="AO88" s="162">
        <f t="shared" si="12"/>
        <v>53.839841880861542</v>
      </c>
    </row>
    <row r="89" spans="1:41" s="49" customFormat="1" ht="15" customHeight="1" x14ac:dyDescent="0.2">
      <c r="A89" s="141" t="str">
        <f>'36. Generic chemical products'!A69</f>
        <v>DWR agent, silicon, BAT (Phobotone BC New)</v>
      </c>
      <c r="B89" s="141" t="str">
        <f>'36. Generic chemical products'!B69</f>
        <v>TMS</v>
      </c>
      <c r="C89" s="141">
        <f>'36. Generic chemical products'!C69</f>
        <v>0</v>
      </c>
      <c r="D89" s="141">
        <f>'36. Generic chemical products'!D69</f>
        <v>0</v>
      </c>
      <c r="E89" s="141" t="str">
        <f>'36. Generic chemical products'!E69</f>
        <v>TMS is a possible breakdown product from PDMS, assumption 0.01% of PDMS</v>
      </c>
      <c r="F89" s="141">
        <f>'36. Generic chemical products'!F69</f>
        <v>0</v>
      </c>
      <c r="G89" s="141" t="str">
        <f>'36. Generic chemical products'!G69</f>
        <v>Hydroxytrimethylsilane (trimethylsilanol) (TMS)</v>
      </c>
      <c r="H89" s="141" t="str">
        <f>'36. Generic chemical products'!H69</f>
        <v>high. pop.</v>
      </c>
      <c r="I89" s="141">
        <f>'36. Generic chemical products'!I69</f>
        <v>5.0000000000000004E-6</v>
      </c>
      <c r="J89" s="141" t="str">
        <f>'36. Generic chemical products'!J69</f>
        <v>kg</v>
      </c>
      <c r="K89" s="141">
        <f>'36. Generic chemical products'!K69</f>
        <v>0</v>
      </c>
      <c r="L89" s="141">
        <f>'36. Generic chemical products'!L69</f>
        <v>0</v>
      </c>
      <c r="M89" s="141" t="str">
        <f>'36. Generic chemical products'!M69</f>
        <v>Hydroxytrimethylsilane (trimethylsilanol) (TMS)</v>
      </c>
      <c r="N89" s="141" t="str">
        <f>'36. Generic chemical products'!N69</f>
        <v>river</v>
      </c>
      <c r="O89" s="141">
        <f>'36. Generic chemical products'!O69</f>
        <v>5.0000000000000004E-6</v>
      </c>
      <c r="P89" s="141" t="str">
        <f>'36. Generic chemical products'!P69</f>
        <v>kg</v>
      </c>
      <c r="Q89" s="141" t="str">
        <f>'36. Generic chemical products'!Q69</f>
        <v>assumption 0.01% of PDMS</v>
      </c>
      <c r="R89" s="141">
        <f>'36. Generic chemical products'!R69</f>
        <v>0</v>
      </c>
      <c r="S89" s="141">
        <f>'36. Generic chemical products'!S69</f>
        <v>0</v>
      </c>
      <c r="T89" s="141" t="str">
        <f>'36. Generic chemical products'!T69</f>
        <v>1066-40-6</v>
      </c>
      <c r="U89" s="141">
        <f>'36. Generic chemical products'!U69</f>
        <v>0</v>
      </c>
      <c r="V89" s="141">
        <f>'36. Generic chemical products'!V69</f>
        <v>2.0329061867301982E-8</v>
      </c>
      <c r="W89" s="141">
        <f>'36. Generic chemical products'!W69</f>
        <v>0</v>
      </c>
      <c r="X89" s="141">
        <f>'36. Generic chemical products'!X69</f>
        <v>1.6279569562509775E-8</v>
      </c>
      <c r="Y89" s="141">
        <f>'36. Generic chemical products'!Y69</f>
        <v>0.53651638944850399</v>
      </c>
      <c r="Z89" s="141">
        <f>'36. Generic chemical products'!Z69</f>
        <v>17.896737771834839</v>
      </c>
      <c r="AA89" s="141" t="str">
        <f>'36. Generic chemical products'!AA69</f>
        <v>Roos 2017</v>
      </c>
      <c r="AB89" s="28">
        <f t="shared" si="13"/>
        <v>2.5000000000000002E-6</v>
      </c>
      <c r="AC89" s="146">
        <f>$C$42*O89</f>
        <v>2.5000000000000002E-6</v>
      </c>
      <c r="AD89" s="147">
        <f t="shared" si="11"/>
        <v>0</v>
      </c>
      <c r="AE89" s="147">
        <f t="shared" si="2"/>
        <v>9.1521578574529395E-14</v>
      </c>
      <c r="AF89" s="25">
        <f t="shared" si="3"/>
        <v>4.6083135403208366E-5</v>
      </c>
      <c r="AG89" s="25">
        <f t="shared" si="4"/>
        <v>0</v>
      </c>
      <c r="AH89" s="25">
        <f t="shared" si="5"/>
        <v>5.0822654668254959E-14</v>
      </c>
      <c r="AI89" s="25">
        <f t="shared" si="6"/>
        <v>1.3412909736212601E-6</v>
      </c>
      <c r="AJ89" s="25">
        <f t="shared" si="7"/>
        <v>0</v>
      </c>
      <c r="AK89" s="25">
        <f t="shared" si="8"/>
        <v>4.0698923906274443E-14</v>
      </c>
      <c r="AL89" s="25">
        <f t="shared" si="9"/>
        <v>4.4741844429587104E-5</v>
      </c>
      <c r="AM89" s="163">
        <f t="shared" si="12"/>
        <v>0</v>
      </c>
      <c r="AN89" s="164">
        <f t="shared" si="12"/>
        <v>9.1521578574529395E-14</v>
      </c>
      <c r="AO89" s="165">
        <f t="shared" si="12"/>
        <v>4.6083135403208366E-5</v>
      </c>
    </row>
    <row r="90" spans="1:41" s="8" customFormat="1" ht="15" customHeight="1" x14ac:dyDescent="0.2">
      <c r="A90" s="34"/>
      <c r="B90" s="54"/>
      <c r="C90" s="74"/>
      <c r="D90" s="51"/>
      <c r="E90" s="64"/>
      <c r="F90" s="51"/>
      <c r="G90" s="51"/>
      <c r="H90" s="69"/>
      <c r="I90" s="51"/>
      <c r="J90" s="51"/>
      <c r="K90" s="51"/>
      <c r="L90" s="51"/>
      <c r="M90" s="69"/>
      <c r="N90" s="51"/>
      <c r="O90" s="51"/>
      <c r="P90" s="54"/>
      <c r="Q90" s="115"/>
      <c r="R90" s="115"/>
      <c r="S90" s="115"/>
      <c r="T90" s="115"/>
      <c r="U90" s="115"/>
      <c r="V90" s="115"/>
      <c r="W90" s="125"/>
      <c r="X90" s="203"/>
      <c r="Y90" s="204"/>
      <c r="Z90" s="205"/>
      <c r="AA90" s="205"/>
      <c r="AB90" s="203"/>
      <c r="AC90" s="203"/>
      <c r="AD90" s="177">
        <f>SUM(AD59:AD89)</f>
        <v>3.6136421952963627E-8</v>
      </c>
      <c r="AE90" s="177">
        <f t="shared" ref="AE90:AF90" si="15">SUM(AE59:AE89)</f>
        <v>5.0222379316071194E-8</v>
      </c>
      <c r="AF90" s="177">
        <f t="shared" si="15"/>
        <v>471.13375007086938</v>
      </c>
      <c r="AG90" s="203"/>
      <c r="AH90" s="203"/>
      <c r="AI90" s="157"/>
      <c r="AJ90" s="157"/>
      <c r="AK90" s="157"/>
    </row>
    <row r="91" spans="1:41" x14ac:dyDescent="0.2">
      <c r="A91" s="47" t="s">
        <v>736</v>
      </c>
    </row>
    <row r="94" spans="1:41" x14ac:dyDescent="0.2">
      <c r="A94" s="35" t="s">
        <v>687</v>
      </c>
    </row>
    <row r="95" spans="1:41" x14ac:dyDescent="0.2">
      <c r="A95" s="244" t="s">
        <v>1102</v>
      </c>
    </row>
    <row r="96" spans="1:41" x14ac:dyDescent="0.2">
      <c r="A96" s="244" t="s">
        <v>1103</v>
      </c>
    </row>
    <row r="97" spans="1:1" x14ac:dyDescent="0.2">
      <c r="A97" t="s">
        <v>1068</v>
      </c>
    </row>
    <row r="98" spans="1:1" x14ac:dyDescent="0.2">
      <c r="A98" s="244" t="s">
        <v>1083</v>
      </c>
    </row>
    <row r="99" spans="1:1" x14ac:dyDescent="0.2">
      <c r="A99" s="244" t="s">
        <v>1104</v>
      </c>
    </row>
    <row r="100" spans="1:1" x14ac:dyDescent="0.2">
      <c r="A100" s="244" t="s">
        <v>1087</v>
      </c>
    </row>
    <row r="101" spans="1:1" x14ac:dyDescent="0.2">
      <c r="A101" s="244" t="s">
        <v>1105</v>
      </c>
    </row>
    <row r="102" spans="1:1" x14ac:dyDescent="0.2">
      <c r="A102" s="244" t="s">
        <v>1106</v>
      </c>
    </row>
    <row r="103" spans="1:1" x14ac:dyDescent="0.2">
      <c r="A103" s="244" t="s">
        <v>1097</v>
      </c>
    </row>
    <row r="104" spans="1:1" x14ac:dyDescent="0.2">
      <c r="A104" s="244" t="s">
        <v>1162</v>
      </c>
    </row>
    <row r="105" spans="1:1" x14ac:dyDescent="0.2">
      <c r="A105" s="244" t="s">
        <v>1091</v>
      </c>
    </row>
    <row r="106" spans="1:1" x14ac:dyDescent="0.2">
      <c r="A106" s="244" t="s">
        <v>1107</v>
      </c>
    </row>
    <row r="107" spans="1:1" x14ac:dyDescent="0.2">
      <c r="A107" t="s">
        <v>1098</v>
      </c>
    </row>
    <row r="108" spans="1:1" x14ac:dyDescent="0.2">
      <c r="A108" s="244" t="s">
        <v>1099</v>
      </c>
    </row>
    <row r="109" spans="1:1" x14ac:dyDescent="0.2">
      <c r="A109" s="244" t="s">
        <v>1070</v>
      </c>
    </row>
    <row r="110" spans="1:1" x14ac:dyDescent="0.2">
      <c r="A110" s="244" t="s">
        <v>1096</v>
      </c>
    </row>
    <row r="111" spans="1:1" x14ac:dyDescent="0.2">
      <c r="A111" s="244" t="s">
        <v>1108</v>
      </c>
    </row>
    <row r="112" spans="1:1" x14ac:dyDescent="0.2">
      <c r="A112" s="244" t="s">
        <v>1109</v>
      </c>
    </row>
    <row r="113" spans="1:1" x14ac:dyDescent="0.2">
      <c r="A113" s="244" t="s">
        <v>1072</v>
      </c>
    </row>
    <row r="114" spans="1:1" x14ac:dyDescent="0.2">
      <c r="A114" s="244" t="s">
        <v>1100</v>
      </c>
    </row>
    <row r="115" spans="1:1" x14ac:dyDescent="0.2">
      <c r="A115" s="244" t="s">
        <v>1101</v>
      </c>
    </row>
  </sheetData>
  <pageMargins left="0.7" right="0.7" top="0.75" bottom="0.75"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O134"/>
  <sheetViews>
    <sheetView zoomScale="60" zoomScaleNormal="60" workbookViewId="0"/>
  </sheetViews>
  <sheetFormatPr defaultRowHeight="12.75" x14ac:dyDescent="0.2"/>
  <cols>
    <col min="1" max="1" width="56.85546875" style="244" customWidth="1"/>
    <col min="2" max="2" width="28.7109375" style="244" customWidth="1"/>
    <col min="3" max="3" width="14.7109375" style="244" customWidth="1"/>
    <col min="4" max="4" width="9.140625" style="244" customWidth="1"/>
    <col min="5" max="5" width="38.140625" style="244" customWidth="1"/>
    <col min="6" max="6" width="9.140625" style="244" customWidth="1"/>
    <col min="7" max="7" width="62" style="244" customWidth="1"/>
    <col min="8" max="8" width="28" style="244" customWidth="1"/>
    <col min="9" max="10" width="9.140625" style="244" customWidth="1"/>
    <col min="11" max="11" width="22.85546875" style="244" customWidth="1"/>
    <col min="12" max="12" width="9.140625" style="244" customWidth="1"/>
    <col min="13" max="13" width="62" style="244" customWidth="1"/>
    <col min="14" max="14" width="18.85546875" style="244" customWidth="1"/>
    <col min="15" max="15" width="9.5703125" style="244" customWidth="1"/>
    <col min="16" max="16" width="10" style="244" customWidth="1"/>
    <col min="17" max="17" width="26.42578125" style="244" customWidth="1"/>
    <col min="18" max="18" width="20.140625" style="244" customWidth="1"/>
    <col min="19" max="19" width="38.140625" style="244" customWidth="1"/>
    <col min="20" max="24" width="16.28515625" style="244" customWidth="1"/>
    <col min="25" max="25" width="15.28515625" style="260" customWidth="1"/>
    <col min="26" max="27" width="9.140625" style="260" customWidth="1"/>
    <col min="28" max="29" width="9.140625" style="260"/>
    <col min="30" max="30" width="15.7109375" style="260" bestFit="1" customWidth="1"/>
    <col min="31" max="31" width="10.28515625" style="260" bestFit="1" customWidth="1"/>
    <col min="32" max="32" width="9.28515625" style="260" customWidth="1"/>
    <col min="33" max="33" width="9.85546875" style="260" bestFit="1" customWidth="1"/>
    <col min="34" max="37" width="9.140625" style="260"/>
    <col min="38" max="16384" width="9.140625" style="244"/>
  </cols>
  <sheetData>
    <row r="1" spans="1:37" ht="16.5" thickBot="1" x14ac:dyDescent="0.3">
      <c r="A1" s="37" t="s">
        <v>583</v>
      </c>
      <c r="B1" s="38"/>
      <c r="C1" s="38" t="s">
        <v>217</v>
      </c>
      <c r="D1" s="38" t="s">
        <v>11</v>
      </c>
      <c r="E1" s="39" t="s">
        <v>180</v>
      </c>
      <c r="G1" s="263" t="s">
        <v>907</v>
      </c>
      <c r="H1" s="264"/>
      <c r="I1" s="264" t="s">
        <v>217</v>
      </c>
      <c r="J1" s="264" t="s">
        <v>11</v>
      </c>
      <c r="K1" s="265" t="s">
        <v>180</v>
      </c>
      <c r="M1" s="266" t="s">
        <v>788</v>
      </c>
      <c r="N1" s="267"/>
      <c r="O1" s="268" t="s">
        <v>217</v>
      </c>
      <c r="P1" s="268" t="s">
        <v>11</v>
      </c>
      <c r="Q1" s="269" t="s">
        <v>180</v>
      </c>
      <c r="S1" s="270" t="s">
        <v>908</v>
      </c>
      <c r="T1" s="271"/>
      <c r="U1" s="271" t="s">
        <v>217</v>
      </c>
      <c r="V1" s="271" t="s">
        <v>11</v>
      </c>
      <c r="W1" s="272" t="s">
        <v>180</v>
      </c>
      <c r="Y1" s="273" t="s">
        <v>790</v>
      </c>
      <c r="Z1" s="274"/>
      <c r="AA1" s="274" t="s">
        <v>217</v>
      </c>
      <c r="AB1" s="274" t="s">
        <v>11</v>
      </c>
      <c r="AC1" s="275" t="s">
        <v>180</v>
      </c>
      <c r="AF1" s="276" t="s">
        <v>710</v>
      </c>
      <c r="AJ1" s="244"/>
      <c r="AK1" s="244"/>
    </row>
    <row r="2" spans="1:37" x14ac:dyDescent="0.2">
      <c r="A2" s="277" t="s">
        <v>218</v>
      </c>
      <c r="B2" s="278"/>
      <c r="C2" s="278"/>
      <c r="D2" s="278"/>
      <c r="E2" s="279"/>
      <c r="G2" s="277" t="s">
        <v>218</v>
      </c>
      <c r="H2" s="278"/>
      <c r="I2" s="278"/>
      <c r="J2" s="278"/>
      <c r="K2" s="279"/>
      <c r="M2" s="277" t="s">
        <v>218</v>
      </c>
      <c r="N2" s="278"/>
      <c r="O2" s="278"/>
      <c r="P2" s="278"/>
      <c r="Q2" s="279"/>
      <c r="S2" s="277" t="s">
        <v>218</v>
      </c>
      <c r="T2" s="278"/>
      <c r="U2" s="278"/>
      <c r="V2" s="278"/>
      <c r="W2" s="279"/>
      <c r="Y2" s="277" t="s">
        <v>218</v>
      </c>
      <c r="Z2" s="278"/>
      <c r="AA2" s="278"/>
      <c r="AB2" s="278"/>
      <c r="AC2" s="279"/>
      <c r="AF2" s="244" t="s">
        <v>941</v>
      </c>
      <c r="AG2" s="260" t="s">
        <v>709</v>
      </c>
      <c r="AI2" s="244"/>
      <c r="AJ2" s="244"/>
      <c r="AK2" s="244"/>
    </row>
    <row r="3" spans="1:37" x14ac:dyDescent="0.2">
      <c r="A3" s="280" t="s">
        <v>791</v>
      </c>
      <c r="B3" s="281"/>
      <c r="C3" s="281">
        <v>1</v>
      </c>
      <c r="D3" s="281" t="s">
        <v>2</v>
      </c>
      <c r="E3" s="282"/>
      <c r="G3" s="280" t="s">
        <v>791</v>
      </c>
      <c r="H3" s="281"/>
      <c r="I3" s="281">
        <v>1</v>
      </c>
      <c r="J3" s="281" t="s">
        <v>2</v>
      </c>
      <c r="K3" s="282"/>
      <c r="M3" s="280" t="s">
        <v>791</v>
      </c>
      <c r="N3" s="281"/>
      <c r="O3" s="281">
        <v>1</v>
      </c>
      <c r="P3" s="281" t="s">
        <v>2</v>
      </c>
      <c r="Q3" s="282"/>
      <c r="S3" s="280" t="s">
        <v>791</v>
      </c>
      <c r="T3" s="281"/>
      <c r="U3" s="281">
        <v>1</v>
      </c>
      <c r="V3" s="281" t="s">
        <v>2</v>
      </c>
      <c r="W3" s="282"/>
      <c r="Y3" s="280" t="s">
        <v>791</v>
      </c>
      <c r="Z3" s="281"/>
      <c r="AA3" s="281">
        <v>1</v>
      </c>
      <c r="AB3" s="281" t="s">
        <v>2</v>
      </c>
      <c r="AC3" s="282"/>
      <c r="AE3" s="260" t="s">
        <v>260</v>
      </c>
      <c r="AF3" s="283">
        <v>1.5829745955100001</v>
      </c>
      <c r="AJ3" s="244"/>
      <c r="AK3" s="244"/>
    </row>
    <row r="4" spans="1:37" s="1" customFormat="1" x14ac:dyDescent="0.2">
      <c r="A4" s="277" t="s">
        <v>183</v>
      </c>
      <c r="B4" s="278"/>
      <c r="C4" s="278"/>
      <c r="D4" s="278"/>
      <c r="E4" s="279"/>
      <c r="G4" s="277" t="s">
        <v>183</v>
      </c>
      <c r="H4" s="278"/>
      <c r="I4" s="278"/>
      <c r="J4" s="278"/>
      <c r="K4" s="279"/>
      <c r="M4" s="277" t="s">
        <v>183</v>
      </c>
      <c r="N4" s="278"/>
      <c r="O4" s="278"/>
      <c r="P4" s="278"/>
      <c r="Q4" s="279"/>
      <c r="S4" s="277" t="s">
        <v>183</v>
      </c>
      <c r="T4" s="278"/>
      <c r="U4" s="278"/>
      <c r="V4" s="278"/>
      <c r="W4" s="279"/>
      <c r="Y4" s="277" t="s">
        <v>183</v>
      </c>
      <c r="Z4" s="278"/>
      <c r="AA4" s="278"/>
      <c r="AB4" s="278"/>
      <c r="AC4" s="279"/>
      <c r="AD4" s="18"/>
      <c r="AE4" s="260" t="s">
        <v>261</v>
      </c>
      <c r="AF4" s="284">
        <v>4.80610094376147E-4</v>
      </c>
      <c r="AG4" s="18"/>
      <c r="AH4" s="18"/>
      <c r="AI4" s="18"/>
    </row>
    <row r="5" spans="1:37" x14ac:dyDescent="0.2">
      <c r="A5" s="280" t="s">
        <v>184</v>
      </c>
      <c r="B5" s="281"/>
      <c r="C5" s="281">
        <v>7.8E-2</v>
      </c>
      <c r="D5" s="281" t="s">
        <v>185</v>
      </c>
      <c r="E5" s="373" t="s">
        <v>1275</v>
      </c>
      <c r="F5" s="244" t="s">
        <v>179</v>
      </c>
      <c r="G5" s="280" t="s">
        <v>184</v>
      </c>
      <c r="H5" s="281"/>
      <c r="I5" s="281">
        <f>0.078/10*7</f>
        <v>5.4599999999999996E-2</v>
      </c>
      <c r="J5" s="281" t="s">
        <v>185</v>
      </c>
      <c r="K5" s="373" t="s">
        <v>1277</v>
      </c>
      <c r="M5" s="280" t="s">
        <v>184</v>
      </c>
      <c r="N5" s="281"/>
      <c r="O5" s="281">
        <f>0.078*2</f>
        <v>0.156</v>
      </c>
      <c r="P5" s="281" t="s">
        <v>185</v>
      </c>
      <c r="Q5" s="373" t="s">
        <v>1278</v>
      </c>
      <c r="S5" s="280" t="s">
        <v>184</v>
      </c>
      <c r="T5" s="281"/>
      <c r="U5" s="281">
        <v>7.8E-2</v>
      </c>
      <c r="V5" s="281" t="s">
        <v>185</v>
      </c>
      <c r="W5" s="373" t="s">
        <v>1275</v>
      </c>
      <c r="Y5" s="280" t="s">
        <v>184</v>
      </c>
      <c r="Z5" s="281"/>
      <c r="AA5" s="281">
        <v>7.8E-2</v>
      </c>
      <c r="AB5" s="281" t="s">
        <v>185</v>
      </c>
      <c r="AC5" s="373" t="s">
        <v>1275</v>
      </c>
      <c r="AD5" s="3" t="s">
        <v>87</v>
      </c>
      <c r="AE5" s="260" t="s">
        <v>262</v>
      </c>
      <c r="AF5" s="283">
        <v>6.0974664014021504E-3</v>
      </c>
      <c r="AJ5" s="244"/>
      <c r="AK5" s="244"/>
    </row>
    <row r="6" spans="1:37" s="1" customFormat="1" x14ac:dyDescent="0.2">
      <c r="A6" s="277" t="s">
        <v>187</v>
      </c>
      <c r="B6" s="278"/>
      <c r="C6" s="278"/>
      <c r="D6" s="278"/>
      <c r="E6" s="279"/>
      <c r="G6" s="277" t="s">
        <v>187</v>
      </c>
      <c r="H6" s="278"/>
      <c r="I6" s="278"/>
      <c r="J6" s="278"/>
      <c r="K6" s="279"/>
      <c r="M6" s="277" t="s">
        <v>187</v>
      </c>
      <c r="N6" s="278"/>
      <c r="O6" s="278"/>
      <c r="P6" s="278"/>
      <c r="Q6" s="279"/>
      <c r="S6" s="277" t="s">
        <v>187</v>
      </c>
      <c r="T6" s="278"/>
      <c r="U6" s="278"/>
      <c r="V6" s="278"/>
      <c r="W6" s="279"/>
      <c r="Y6" s="277" t="s">
        <v>187</v>
      </c>
      <c r="Z6" s="278"/>
      <c r="AA6" s="278"/>
      <c r="AB6" s="278"/>
      <c r="AC6" s="279"/>
      <c r="AD6" s="18"/>
      <c r="AE6" s="260" t="s">
        <v>263</v>
      </c>
      <c r="AF6" s="284">
        <v>3.3804768764161401E-3</v>
      </c>
      <c r="AG6" s="18"/>
      <c r="AH6" s="18"/>
      <c r="AI6" s="18"/>
    </row>
    <row r="7" spans="1:37" ht="15" x14ac:dyDescent="0.2">
      <c r="A7" s="280" t="s">
        <v>45</v>
      </c>
      <c r="B7" s="281"/>
      <c r="C7" s="281">
        <v>0.15000000000000002</v>
      </c>
      <c r="D7" s="281" t="s">
        <v>2</v>
      </c>
      <c r="E7" s="282" t="s">
        <v>179</v>
      </c>
      <c r="F7" s="244" t="s">
        <v>179</v>
      </c>
      <c r="G7" s="280" t="s">
        <v>45</v>
      </c>
      <c r="H7" s="281"/>
      <c r="I7" s="281">
        <v>0.15000000000000002</v>
      </c>
      <c r="J7" s="281" t="s">
        <v>2</v>
      </c>
      <c r="K7" s="282" t="s">
        <v>179</v>
      </c>
      <c r="M7" s="280" t="s">
        <v>45</v>
      </c>
      <c r="N7" s="281"/>
      <c r="O7" s="281">
        <v>0.15000000000000002</v>
      </c>
      <c r="P7" s="281" t="s">
        <v>2</v>
      </c>
      <c r="Q7" s="282" t="s">
        <v>179</v>
      </c>
      <c r="S7" s="280" t="s">
        <v>152</v>
      </c>
      <c r="T7" s="281"/>
      <c r="U7" s="281">
        <v>0.15000000000000002</v>
      </c>
      <c r="V7" s="281" t="s">
        <v>2</v>
      </c>
      <c r="W7" s="282" t="s">
        <v>179</v>
      </c>
      <c r="Y7" s="280" t="s">
        <v>1136</v>
      </c>
      <c r="Z7" s="281"/>
      <c r="AA7" s="281">
        <v>0.15000000000000002</v>
      </c>
      <c r="AB7" s="281" t="s">
        <v>2</v>
      </c>
      <c r="AC7" s="282" t="s">
        <v>179</v>
      </c>
      <c r="AE7" s="260" t="s">
        <v>675</v>
      </c>
      <c r="AF7" s="283">
        <v>12.644422719821399</v>
      </c>
      <c r="AJ7" s="244"/>
      <c r="AK7" s="244"/>
    </row>
    <row r="8" spans="1:37" x14ac:dyDescent="0.2">
      <c r="A8" s="280" t="s">
        <v>88</v>
      </c>
      <c r="B8" s="281"/>
      <c r="C8" s="281">
        <v>0.04</v>
      </c>
      <c r="D8" s="281" t="s">
        <v>2</v>
      </c>
      <c r="E8" s="282" t="s">
        <v>179</v>
      </c>
      <c r="F8" s="244" t="s">
        <v>179</v>
      </c>
      <c r="G8" s="280" t="s">
        <v>88</v>
      </c>
      <c r="H8" s="281"/>
      <c r="I8" s="281">
        <v>0.04</v>
      </c>
      <c r="J8" s="281" t="s">
        <v>2</v>
      </c>
      <c r="K8" s="282" t="s">
        <v>179</v>
      </c>
      <c r="M8" s="280" t="s">
        <v>88</v>
      </c>
      <c r="N8" s="281"/>
      <c r="O8" s="281">
        <v>0.04</v>
      </c>
      <c r="P8" s="281" t="s">
        <v>2</v>
      </c>
      <c r="Q8" s="282" t="s">
        <v>179</v>
      </c>
      <c r="S8" s="280" t="s">
        <v>1256</v>
      </c>
      <c r="T8" s="281"/>
      <c r="U8" s="281">
        <v>0.04</v>
      </c>
      <c r="V8" s="281" t="s">
        <v>2</v>
      </c>
      <c r="W8" s="282" t="s">
        <v>179</v>
      </c>
      <c r="Y8" s="280" t="s">
        <v>1174</v>
      </c>
      <c r="Z8" s="281"/>
      <c r="AA8" s="281">
        <v>0.04</v>
      </c>
      <c r="AB8" s="281" t="s">
        <v>2</v>
      </c>
      <c r="AC8" s="282" t="s">
        <v>179</v>
      </c>
      <c r="AE8" s="260" t="s">
        <v>264</v>
      </c>
      <c r="AF8" s="283">
        <v>1.1780323947472899</v>
      </c>
      <c r="AJ8" s="244"/>
      <c r="AK8" s="244"/>
    </row>
    <row r="9" spans="1:37" x14ac:dyDescent="0.2">
      <c r="A9" s="280" t="s">
        <v>49</v>
      </c>
      <c r="B9" s="281"/>
      <c r="C9" s="281">
        <v>2.9999999999999996E-3</v>
      </c>
      <c r="D9" s="281" t="s">
        <v>2</v>
      </c>
      <c r="E9" s="282" t="s">
        <v>179</v>
      </c>
      <c r="F9" s="244" t="s">
        <v>179</v>
      </c>
      <c r="G9" s="280" t="s">
        <v>49</v>
      </c>
      <c r="H9" s="281"/>
      <c r="I9" s="281">
        <v>2.9999999999999996E-3</v>
      </c>
      <c r="J9" s="281" t="s">
        <v>2</v>
      </c>
      <c r="K9" s="282" t="s">
        <v>179</v>
      </c>
      <c r="M9" s="280" t="s">
        <v>49</v>
      </c>
      <c r="N9" s="281"/>
      <c r="O9" s="281">
        <v>2.9999999999999996E-3</v>
      </c>
      <c r="P9" s="281" t="s">
        <v>2</v>
      </c>
      <c r="Q9" s="282" t="s">
        <v>179</v>
      </c>
      <c r="S9" s="280" t="s">
        <v>1185</v>
      </c>
      <c r="T9" s="281"/>
      <c r="U9" s="281">
        <v>2.9999999999999996E-3</v>
      </c>
      <c r="V9" s="281" t="s">
        <v>2</v>
      </c>
      <c r="W9" s="282" t="s">
        <v>179</v>
      </c>
      <c r="Y9" s="280" t="s">
        <v>1211</v>
      </c>
      <c r="Z9" s="281"/>
      <c r="AA9" s="281">
        <v>2.9999999999999996E-3</v>
      </c>
      <c r="AB9" s="281" t="s">
        <v>2</v>
      </c>
      <c r="AC9" s="282" t="s">
        <v>179</v>
      </c>
      <c r="AE9" s="260" t="s">
        <v>266</v>
      </c>
      <c r="AF9" s="283">
        <v>3.4944774074422099E-7</v>
      </c>
      <c r="AG9" s="285">
        <f>AE109</f>
        <v>1.0350826425653627E-8</v>
      </c>
      <c r="AJ9" s="244"/>
      <c r="AK9" s="244"/>
    </row>
    <row r="10" spans="1:37" x14ac:dyDescent="0.2">
      <c r="A10" s="280" t="s">
        <v>146</v>
      </c>
      <c r="B10" s="281"/>
      <c r="C10" s="281">
        <v>5.0000000000000001E-3</v>
      </c>
      <c r="D10" s="281" t="s">
        <v>2</v>
      </c>
      <c r="E10" s="282"/>
      <c r="F10" s="244" t="s">
        <v>179</v>
      </c>
      <c r="G10" s="280" t="s">
        <v>146</v>
      </c>
      <c r="H10" s="281"/>
      <c r="I10" s="281">
        <v>5.0000000000000001E-3</v>
      </c>
      <c r="J10" s="281" t="s">
        <v>2</v>
      </c>
      <c r="K10" s="282"/>
      <c r="M10" s="280" t="s">
        <v>146</v>
      </c>
      <c r="N10" s="281"/>
      <c r="O10" s="281">
        <v>5.0000000000000001E-3</v>
      </c>
      <c r="P10" s="281" t="s">
        <v>2</v>
      </c>
      <c r="Q10" s="282"/>
      <c r="S10" s="280" t="s">
        <v>1257</v>
      </c>
      <c r="T10" s="281"/>
      <c r="U10" s="281">
        <v>5.0000000000000001E-3</v>
      </c>
      <c r="V10" s="281" t="s">
        <v>2</v>
      </c>
      <c r="W10" s="282"/>
      <c r="Y10" s="280" t="s">
        <v>1238</v>
      </c>
      <c r="Z10" s="281"/>
      <c r="AA10" s="281">
        <v>5.0000000000000001E-3</v>
      </c>
      <c r="AB10" s="281" t="s">
        <v>2</v>
      </c>
      <c r="AC10" s="282"/>
      <c r="AE10" s="260" t="s">
        <v>267</v>
      </c>
      <c r="AF10" s="283">
        <v>8.0524089977466802E-8</v>
      </c>
      <c r="AG10" s="285">
        <f>AD109</f>
        <v>6.9678034198498861E-12</v>
      </c>
      <c r="AJ10" s="244"/>
      <c r="AK10" s="244"/>
    </row>
    <row r="11" spans="1:37" x14ac:dyDescent="0.2">
      <c r="A11" s="280" t="s">
        <v>142</v>
      </c>
      <c r="B11" s="281"/>
      <c r="C11" s="281">
        <v>0.03</v>
      </c>
      <c r="D11" s="281" t="s">
        <v>2</v>
      </c>
      <c r="E11" s="282" t="s">
        <v>179</v>
      </c>
      <c r="F11" s="244" t="s">
        <v>179</v>
      </c>
      <c r="G11" s="280" t="s">
        <v>142</v>
      </c>
      <c r="H11" s="281"/>
      <c r="I11" s="281">
        <v>0.03</v>
      </c>
      <c r="J11" s="281" t="s">
        <v>2</v>
      </c>
      <c r="K11" s="282" t="s">
        <v>179</v>
      </c>
      <c r="M11" s="280" t="s">
        <v>142</v>
      </c>
      <c r="N11" s="281"/>
      <c r="O11" s="281">
        <v>0.03</v>
      </c>
      <c r="P11" s="281" t="s">
        <v>2</v>
      </c>
      <c r="Q11" s="282" t="s">
        <v>179</v>
      </c>
      <c r="S11" s="280" t="s">
        <v>1111</v>
      </c>
      <c r="T11" s="281"/>
      <c r="U11" s="281">
        <v>0.03</v>
      </c>
      <c r="V11" s="281" t="s">
        <v>2</v>
      </c>
      <c r="W11" s="282" t="s">
        <v>179</v>
      </c>
      <c r="Y11" s="280" t="s">
        <v>1137</v>
      </c>
      <c r="Z11" s="281"/>
      <c r="AA11" s="281">
        <v>0.03</v>
      </c>
      <c r="AB11" s="281" t="s">
        <v>2</v>
      </c>
      <c r="AC11" s="282" t="s">
        <v>179</v>
      </c>
      <c r="AE11" s="260" t="s">
        <v>268</v>
      </c>
      <c r="AF11" s="283">
        <v>10.3060410296619</v>
      </c>
      <c r="AG11" s="285">
        <f>AF109</f>
        <v>710.86493056256211</v>
      </c>
      <c r="AJ11" s="244"/>
      <c r="AK11" s="244"/>
    </row>
    <row r="12" spans="1:37" x14ac:dyDescent="0.2">
      <c r="A12" s="280" t="s">
        <v>102</v>
      </c>
      <c r="B12" s="281"/>
      <c r="C12" s="281">
        <v>1.4999999999999999E-2</v>
      </c>
      <c r="D12" s="281" t="s">
        <v>2</v>
      </c>
      <c r="E12" s="282"/>
      <c r="F12" s="244" t="s">
        <v>179</v>
      </c>
      <c r="G12" s="280" t="s">
        <v>102</v>
      </c>
      <c r="H12" s="281"/>
      <c r="I12" s="281">
        <v>1.4999999999999999E-2</v>
      </c>
      <c r="J12" s="281" t="s">
        <v>2</v>
      </c>
      <c r="K12" s="282"/>
      <c r="M12" s="280" t="s">
        <v>102</v>
      </c>
      <c r="N12" s="281"/>
      <c r="O12" s="281">
        <v>1.4999999999999999E-2</v>
      </c>
      <c r="P12" s="281" t="s">
        <v>2</v>
      </c>
      <c r="Q12" s="282"/>
      <c r="S12" s="280" t="s">
        <v>1167</v>
      </c>
      <c r="T12" s="281"/>
      <c r="U12" s="281">
        <v>1.4999999999999999E-2</v>
      </c>
      <c r="V12" s="281" t="s">
        <v>2</v>
      </c>
      <c r="W12" s="282"/>
      <c r="Y12" s="280" t="s">
        <v>1175</v>
      </c>
      <c r="Z12" s="281"/>
      <c r="AA12" s="281">
        <v>1.4999999999999999E-2</v>
      </c>
      <c r="AB12" s="281" t="s">
        <v>2</v>
      </c>
      <c r="AC12" s="282"/>
      <c r="AJ12" s="244"/>
      <c r="AK12" s="244"/>
    </row>
    <row r="13" spans="1:37" x14ac:dyDescent="0.2">
      <c r="A13" s="280" t="s">
        <v>147</v>
      </c>
      <c r="B13" s="281"/>
      <c r="C13" s="281">
        <v>0.03</v>
      </c>
      <c r="D13" s="281" t="s">
        <v>2</v>
      </c>
      <c r="E13" s="282"/>
      <c r="F13" s="244" t="s">
        <v>179</v>
      </c>
      <c r="G13" s="280" t="s">
        <v>147</v>
      </c>
      <c r="H13" s="281"/>
      <c r="I13" s="281">
        <v>0.03</v>
      </c>
      <c r="J13" s="281" t="s">
        <v>2</v>
      </c>
      <c r="K13" s="282"/>
      <c r="M13" s="280" t="s">
        <v>147</v>
      </c>
      <c r="N13" s="281"/>
      <c r="O13" s="281">
        <v>0.03</v>
      </c>
      <c r="P13" s="281" t="s">
        <v>2</v>
      </c>
      <c r="Q13" s="282"/>
      <c r="S13" s="280" t="s">
        <v>1258</v>
      </c>
      <c r="T13" s="281"/>
      <c r="U13" s="281">
        <v>0.03</v>
      </c>
      <c r="V13" s="281" t="s">
        <v>2</v>
      </c>
      <c r="W13" s="282"/>
      <c r="Y13" s="280" t="s">
        <v>1239</v>
      </c>
      <c r="Z13" s="281"/>
      <c r="AA13" s="281">
        <v>0.03</v>
      </c>
      <c r="AB13" s="281" t="s">
        <v>2</v>
      </c>
      <c r="AC13" s="282"/>
      <c r="AJ13" s="244"/>
      <c r="AK13" s="244"/>
    </row>
    <row r="14" spans="1:37" x14ac:dyDescent="0.2">
      <c r="A14" s="280" t="s">
        <v>148</v>
      </c>
      <c r="B14" s="281"/>
      <c r="C14" s="281">
        <v>0.02</v>
      </c>
      <c r="D14" s="281" t="s">
        <v>2</v>
      </c>
      <c r="E14" s="282"/>
      <c r="F14" s="244" t="s">
        <v>179</v>
      </c>
      <c r="G14" s="280" t="s">
        <v>148</v>
      </c>
      <c r="H14" s="281"/>
      <c r="I14" s="281">
        <v>0.02</v>
      </c>
      <c r="J14" s="281" t="s">
        <v>2</v>
      </c>
      <c r="K14" s="282"/>
      <c r="M14" s="280" t="s">
        <v>148</v>
      </c>
      <c r="N14" s="281"/>
      <c r="O14" s="281">
        <v>0.02</v>
      </c>
      <c r="P14" s="281" t="s">
        <v>2</v>
      </c>
      <c r="Q14" s="282"/>
      <c r="S14" s="280" t="s">
        <v>1259</v>
      </c>
      <c r="T14" s="281"/>
      <c r="U14" s="281">
        <v>0.02</v>
      </c>
      <c r="V14" s="281" t="s">
        <v>2</v>
      </c>
      <c r="W14" s="282"/>
      <c r="Y14" s="280" t="s">
        <v>1240</v>
      </c>
      <c r="Z14" s="281"/>
      <c r="AA14" s="281">
        <v>0.02</v>
      </c>
      <c r="AB14" s="281" t="s">
        <v>2</v>
      </c>
      <c r="AC14" s="282"/>
      <c r="AJ14" s="244"/>
      <c r="AK14" s="244"/>
    </row>
    <row r="15" spans="1:37" x14ac:dyDescent="0.2">
      <c r="A15" s="280" t="s">
        <v>149</v>
      </c>
      <c r="B15" s="281"/>
      <c r="C15" s="281">
        <v>0.03</v>
      </c>
      <c r="D15" s="281" t="s">
        <v>2</v>
      </c>
      <c r="E15" s="282"/>
      <c r="F15" s="244" t="s">
        <v>179</v>
      </c>
      <c r="G15" s="280" t="s">
        <v>149</v>
      </c>
      <c r="H15" s="281"/>
      <c r="I15" s="281">
        <v>0.03</v>
      </c>
      <c r="J15" s="281" t="s">
        <v>2</v>
      </c>
      <c r="K15" s="282"/>
      <c r="M15" s="280" t="s">
        <v>149</v>
      </c>
      <c r="N15" s="281"/>
      <c r="O15" s="281">
        <v>0.03</v>
      </c>
      <c r="P15" s="281" t="s">
        <v>2</v>
      </c>
      <c r="Q15" s="282"/>
      <c r="S15" s="280" t="s">
        <v>1260</v>
      </c>
      <c r="T15" s="281"/>
      <c r="U15" s="281">
        <v>0.03</v>
      </c>
      <c r="V15" s="281" t="s">
        <v>2</v>
      </c>
      <c r="W15" s="282"/>
      <c r="Y15" s="280" t="s">
        <v>1241</v>
      </c>
      <c r="Z15" s="281"/>
      <c r="AA15" s="281">
        <v>0.03</v>
      </c>
      <c r="AB15" s="281" t="s">
        <v>2</v>
      </c>
      <c r="AC15" s="282"/>
      <c r="AJ15" s="244"/>
      <c r="AK15" s="244"/>
    </row>
    <row r="16" spans="1:37" x14ac:dyDescent="0.2">
      <c r="A16" s="280" t="s">
        <v>591</v>
      </c>
      <c r="B16" s="281"/>
      <c r="C16" s="281">
        <v>5.9999999999999995E-4</v>
      </c>
      <c r="D16" s="281" t="s">
        <v>2</v>
      </c>
      <c r="E16" s="282" t="s">
        <v>792</v>
      </c>
      <c r="F16" s="244" t="s">
        <v>179</v>
      </c>
      <c r="G16" s="280" t="s">
        <v>591</v>
      </c>
      <c r="H16" s="281"/>
      <c r="I16" s="281">
        <v>5.9999999999999995E-4</v>
      </c>
      <c r="J16" s="281" t="s">
        <v>2</v>
      </c>
      <c r="K16" s="282" t="s">
        <v>792</v>
      </c>
      <c r="M16" s="280" t="s">
        <v>591</v>
      </c>
      <c r="N16" s="281"/>
      <c r="O16" s="281">
        <v>5.9999999999999995E-4</v>
      </c>
      <c r="P16" s="281" t="s">
        <v>2</v>
      </c>
      <c r="Q16" s="282" t="s">
        <v>792</v>
      </c>
      <c r="S16" s="280" t="s">
        <v>1314</v>
      </c>
      <c r="T16" s="281"/>
      <c r="U16" s="281">
        <v>5.9999999999999995E-4</v>
      </c>
      <c r="V16" s="281" t="s">
        <v>2</v>
      </c>
      <c r="W16" s="282"/>
      <c r="Y16" s="280" t="s">
        <v>1320</v>
      </c>
      <c r="Z16" s="281"/>
      <c r="AA16" s="281">
        <v>5.9999999999999995E-4</v>
      </c>
      <c r="AB16" s="281" t="s">
        <v>2</v>
      </c>
      <c r="AC16" s="282"/>
      <c r="AJ16" s="244"/>
      <c r="AK16" s="244"/>
    </row>
    <row r="17" spans="1:37" x14ac:dyDescent="0.2">
      <c r="A17" s="280" t="s">
        <v>592</v>
      </c>
      <c r="B17" s="281"/>
      <c r="C17" s="281">
        <v>1.2999999999999999E-2</v>
      </c>
      <c r="D17" s="281" t="s">
        <v>2</v>
      </c>
      <c r="E17" s="282" t="s">
        <v>793</v>
      </c>
      <c r="F17" s="244" t="s">
        <v>179</v>
      </c>
      <c r="G17" s="280" t="s">
        <v>592</v>
      </c>
      <c r="H17" s="281"/>
      <c r="I17" s="281">
        <v>1.2999999999999999E-2</v>
      </c>
      <c r="J17" s="281" t="s">
        <v>2</v>
      </c>
      <c r="K17" s="282" t="s">
        <v>793</v>
      </c>
      <c r="M17" s="280" t="s">
        <v>592</v>
      </c>
      <c r="N17" s="281"/>
      <c r="O17" s="281">
        <v>1.2999999999999999E-2</v>
      </c>
      <c r="P17" s="281" t="s">
        <v>2</v>
      </c>
      <c r="Q17" s="282" t="s">
        <v>793</v>
      </c>
      <c r="S17" s="280" t="s">
        <v>1315</v>
      </c>
      <c r="T17" s="281"/>
      <c r="U17" s="281">
        <v>1.2999999999999999E-2</v>
      </c>
      <c r="V17" s="281" t="s">
        <v>2</v>
      </c>
      <c r="W17" s="282"/>
      <c r="Y17" s="280" t="s">
        <v>1321</v>
      </c>
      <c r="Z17" s="281"/>
      <c r="AA17" s="281">
        <v>1.2999999999999999E-2</v>
      </c>
      <c r="AB17" s="281" t="s">
        <v>2</v>
      </c>
      <c r="AC17" s="282"/>
      <c r="AJ17" s="244"/>
      <c r="AK17" s="244"/>
    </row>
    <row r="18" spans="1:37" x14ac:dyDescent="0.2">
      <c r="A18" s="280" t="s">
        <v>47</v>
      </c>
      <c r="B18" s="281"/>
      <c r="C18" s="281">
        <v>5.0000000000000001E-3</v>
      </c>
      <c r="D18" s="281" t="s">
        <v>2</v>
      </c>
      <c r="E18" s="282"/>
      <c r="F18" s="244" t="s">
        <v>179</v>
      </c>
      <c r="G18" s="280" t="s">
        <v>47</v>
      </c>
      <c r="H18" s="281"/>
      <c r="I18" s="281">
        <v>5.0000000000000001E-3</v>
      </c>
      <c r="J18" s="281" t="s">
        <v>2</v>
      </c>
      <c r="K18" s="282"/>
      <c r="M18" s="280" t="s">
        <v>47</v>
      </c>
      <c r="N18" s="281"/>
      <c r="O18" s="281">
        <v>5.0000000000000001E-3</v>
      </c>
      <c r="P18" s="281" t="s">
        <v>2</v>
      </c>
      <c r="Q18" s="282"/>
      <c r="S18" s="280" t="s">
        <v>1113</v>
      </c>
      <c r="T18" s="281"/>
      <c r="U18" s="281">
        <v>5.0000000000000001E-3</v>
      </c>
      <c r="V18" s="281" t="s">
        <v>2</v>
      </c>
      <c r="W18" s="282"/>
      <c r="Y18" s="280" t="s">
        <v>1139</v>
      </c>
      <c r="Z18" s="281"/>
      <c r="AA18" s="281">
        <v>5.0000000000000001E-3</v>
      </c>
      <c r="AB18" s="281" t="s">
        <v>2</v>
      </c>
      <c r="AC18" s="282"/>
      <c r="AJ18" s="244"/>
      <c r="AK18" s="244"/>
    </row>
    <row r="19" spans="1:37" x14ac:dyDescent="0.2">
      <c r="A19" s="280" t="s">
        <v>51</v>
      </c>
      <c r="B19" s="281"/>
      <c r="C19" s="281">
        <v>5.0000000000000001E-3</v>
      </c>
      <c r="D19" s="281" t="s">
        <v>2</v>
      </c>
      <c r="E19" s="282" t="s">
        <v>179</v>
      </c>
      <c r="F19" s="244" t="s">
        <v>179</v>
      </c>
      <c r="G19" s="280" t="s">
        <v>51</v>
      </c>
      <c r="H19" s="281"/>
      <c r="I19" s="281">
        <v>5.0000000000000001E-3</v>
      </c>
      <c r="J19" s="281" t="s">
        <v>2</v>
      </c>
      <c r="K19" s="282" t="s">
        <v>179</v>
      </c>
      <c r="M19" s="280" t="s">
        <v>51</v>
      </c>
      <c r="N19" s="281"/>
      <c r="O19" s="281">
        <v>5.0000000000000001E-3</v>
      </c>
      <c r="P19" s="281" t="s">
        <v>2</v>
      </c>
      <c r="Q19" s="282" t="s">
        <v>179</v>
      </c>
      <c r="S19" s="280" t="s">
        <v>1187</v>
      </c>
      <c r="T19" s="281"/>
      <c r="U19" s="281">
        <v>5.0000000000000001E-3</v>
      </c>
      <c r="V19" s="281" t="s">
        <v>2</v>
      </c>
      <c r="W19" s="282"/>
      <c r="Y19" s="280" t="s">
        <v>1213</v>
      </c>
      <c r="Z19" s="281"/>
      <c r="AA19" s="281">
        <v>5.0000000000000001E-3</v>
      </c>
      <c r="AB19" s="281" t="s">
        <v>2</v>
      </c>
      <c r="AC19" s="282"/>
      <c r="AJ19" s="244"/>
      <c r="AK19" s="244"/>
    </row>
    <row r="20" spans="1:37" x14ac:dyDescent="0.2">
      <c r="A20" s="280" t="s">
        <v>151</v>
      </c>
      <c r="B20" s="281"/>
      <c r="C20" s="281">
        <v>0.02</v>
      </c>
      <c r="D20" s="281" t="s">
        <v>2</v>
      </c>
      <c r="E20" s="282" t="s">
        <v>179</v>
      </c>
      <c r="F20" s="244" t="s">
        <v>179</v>
      </c>
      <c r="G20" s="280" t="s">
        <v>151</v>
      </c>
      <c r="H20" s="281"/>
      <c r="I20" s="281">
        <v>0.02</v>
      </c>
      <c r="J20" s="281" t="s">
        <v>2</v>
      </c>
      <c r="K20" s="282" t="s">
        <v>179</v>
      </c>
      <c r="M20" s="280" t="s">
        <v>151</v>
      </c>
      <c r="N20" s="281"/>
      <c r="O20" s="281">
        <v>0.02</v>
      </c>
      <c r="P20" s="281" t="s">
        <v>2</v>
      </c>
      <c r="Q20" s="282" t="s">
        <v>179</v>
      </c>
      <c r="S20" s="280" t="s">
        <v>1262</v>
      </c>
      <c r="T20" s="281"/>
      <c r="U20" s="281">
        <v>0.02</v>
      </c>
      <c r="V20" s="281" t="s">
        <v>2</v>
      </c>
      <c r="W20" s="282"/>
      <c r="Y20" s="280" t="s">
        <v>1243</v>
      </c>
      <c r="Z20" s="281"/>
      <c r="AA20" s="281">
        <v>0.02</v>
      </c>
      <c r="AB20" s="281" t="s">
        <v>2</v>
      </c>
      <c r="AC20" s="282"/>
      <c r="AJ20" s="244"/>
      <c r="AK20" s="244"/>
    </row>
    <row r="21" spans="1:37" x14ac:dyDescent="0.2">
      <c r="A21" s="280" t="s">
        <v>45</v>
      </c>
      <c r="B21" s="281"/>
      <c r="C21" s="281">
        <v>0.02</v>
      </c>
      <c r="D21" s="281" t="s">
        <v>2</v>
      </c>
      <c r="E21" s="282" t="s">
        <v>179</v>
      </c>
      <c r="F21" s="244" t="s">
        <v>179</v>
      </c>
      <c r="G21" s="280" t="s">
        <v>45</v>
      </c>
      <c r="H21" s="281"/>
      <c r="I21" s="281">
        <v>0.02</v>
      </c>
      <c r="J21" s="281" t="s">
        <v>2</v>
      </c>
      <c r="K21" s="282" t="s">
        <v>179</v>
      </c>
      <c r="M21" s="280" t="s">
        <v>45</v>
      </c>
      <c r="N21" s="281"/>
      <c r="O21" s="281">
        <v>0.02</v>
      </c>
      <c r="P21" s="281" t="s">
        <v>2</v>
      </c>
      <c r="Q21" s="282" t="s">
        <v>179</v>
      </c>
      <c r="S21" s="280" t="s">
        <v>152</v>
      </c>
      <c r="T21" s="281"/>
      <c r="U21" s="281">
        <v>0.02</v>
      </c>
      <c r="V21" s="281" t="s">
        <v>2</v>
      </c>
      <c r="W21" s="282"/>
      <c r="Y21" s="280" t="s">
        <v>1136</v>
      </c>
      <c r="Z21" s="281"/>
      <c r="AA21" s="281">
        <v>0.02</v>
      </c>
      <c r="AB21" s="281" t="s">
        <v>2</v>
      </c>
      <c r="AC21" s="282"/>
      <c r="AJ21" s="244"/>
      <c r="AK21" s="244"/>
    </row>
    <row r="22" spans="1:37" x14ac:dyDescent="0.2">
      <c r="A22" s="280" t="s">
        <v>144</v>
      </c>
      <c r="B22" s="281"/>
      <c r="C22" s="281">
        <v>0.2</v>
      </c>
      <c r="D22" s="281" t="s">
        <v>2</v>
      </c>
      <c r="E22" s="282"/>
      <c r="F22" s="244" t="s">
        <v>179</v>
      </c>
      <c r="G22" s="280" t="s">
        <v>144</v>
      </c>
      <c r="H22" s="281"/>
      <c r="I22" s="281">
        <v>0.2</v>
      </c>
      <c r="J22" s="281" t="s">
        <v>2</v>
      </c>
      <c r="K22" s="282"/>
      <c r="M22" s="280" t="s">
        <v>144</v>
      </c>
      <c r="N22" s="281"/>
      <c r="O22" s="281">
        <v>0.2</v>
      </c>
      <c r="P22" s="281" t="s">
        <v>2</v>
      </c>
      <c r="Q22" s="282"/>
      <c r="S22" s="280" t="s">
        <v>1117</v>
      </c>
      <c r="T22" s="281"/>
      <c r="U22" s="281">
        <v>0.2</v>
      </c>
      <c r="V22" s="281" t="s">
        <v>2</v>
      </c>
      <c r="W22" s="282"/>
      <c r="Y22" s="280" t="s">
        <v>1143</v>
      </c>
      <c r="Z22" s="281"/>
      <c r="AA22" s="281">
        <v>0.2</v>
      </c>
      <c r="AB22" s="281" t="s">
        <v>2</v>
      </c>
      <c r="AC22" s="282"/>
      <c r="AJ22" s="244"/>
      <c r="AK22" s="244"/>
    </row>
    <row r="23" spans="1:37" x14ac:dyDescent="0.2">
      <c r="A23" s="280" t="s">
        <v>191</v>
      </c>
      <c r="B23" s="281"/>
      <c r="C23" s="281">
        <v>0.15000000000000002</v>
      </c>
      <c r="D23" s="281" t="s">
        <v>2</v>
      </c>
      <c r="E23" s="282" t="s">
        <v>179</v>
      </c>
      <c r="F23" s="244" t="s">
        <v>179</v>
      </c>
      <c r="G23" s="280" t="s">
        <v>191</v>
      </c>
      <c r="H23" s="281"/>
      <c r="I23" s="281">
        <v>0.15000000000000002</v>
      </c>
      <c r="J23" s="281" t="s">
        <v>2</v>
      </c>
      <c r="K23" s="324" t="s">
        <v>283</v>
      </c>
      <c r="M23" s="280" t="s">
        <v>191</v>
      </c>
      <c r="N23" s="281"/>
      <c r="O23" s="281">
        <v>0.15000000000000002</v>
      </c>
      <c r="P23" s="281" t="s">
        <v>2</v>
      </c>
      <c r="Q23" s="324" t="s">
        <v>1237</v>
      </c>
      <c r="S23" s="280" t="s">
        <v>285</v>
      </c>
      <c r="T23" s="281"/>
      <c r="U23" s="281">
        <v>0.15000000000000002</v>
      </c>
      <c r="V23" s="281" t="s">
        <v>2</v>
      </c>
      <c r="W23" s="282"/>
      <c r="Y23" s="280" t="s">
        <v>1145</v>
      </c>
      <c r="Z23" s="281"/>
      <c r="AA23" s="281">
        <v>0.15000000000000002</v>
      </c>
      <c r="AB23" s="281" t="s">
        <v>2</v>
      </c>
      <c r="AC23" s="282"/>
      <c r="AJ23" s="244"/>
      <c r="AK23" s="244"/>
    </row>
    <row r="24" spans="1:37" x14ac:dyDescent="0.2">
      <c r="A24" s="280" t="s">
        <v>231</v>
      </c>
      <c r="B24" s="281"/>
      <c r="C24" s="281">
        <v>0.04</v>
      </c>
      <c r="D24" s="281" t="s">
        <v>2</v>
      </c>
      <c r="E24" s="282" t="s">
        <v>179</v>
      </c>
      <c r="F24" s="244" t="s">
        <v>179</v>
      </c>
      <c r="G24" s="280" t="s">
        <v>231</v>
      </c>
      <c r="H24" s="281"/>
      <c r="I24" s="281">
        <v>0.04</v>
      </c>
      <c r="J24" s="281" t="s">
        <v>2</v>
      </c>
      <c r="K24" s="324" t="s">
        <v>283</v>
      </c>
      <c r="M24" s="280" t="s">
        <v>231</v>
      </c>
      <c r="N24" s="281"/>
      <c r="O24" s="281">
        <v>0.04</v>
      </c>
      <c r="P24" s="281" t="s">
        <v>2</v>
      </c>
      <c r="Q24" s="324" t="s">
        <v>1237</v>
      </c>
      <c r="S24" s="280" t="s">
        <v>1169</v>
      </c>
      <c r="T24" s="281"/>
      <c r="U24" s="281">
        <v>0.04</v>
      </c>
      <c r="V24" s="281" t="s">
        <v>2</v>
      </c>
      <c r="W24" s="282"/>
      <c r="Y24" s="280" t="s">
        <v>1177</v>
      </c>
      <c r="Z24" s="281"/>
      <c r="AA24" s="281">
        <v>0.04</v>
      </c>
      <c r="AB24" s="281" t="s">
        <v>2</v>
      </c>
      <c r="AC24" s="282"/>
      <c r="AJ24" s="244"/>
      <c r="AK24" s="244"/>
    </row>
    <row r="25" spans="1:37" x14ac:dyDescent="0.2">
      <c r="A25" s="280" t="s">
        <v>717</v>
      </c>
      <c r="B25" s="281"/>
      <c r="C25" s="281">
        <v>2.9999999999999996E-3</v>
      </c>
      <c r="D25" s="281" t="s">
        <v>2</v>
      </c>
      <c r="E25" s="282" t="s">
        <v>179</v>
      </c>
      <c r="F25" s="244" t="s">
        <v>179</v>
      </c>
      <c r="G25" s="280" t="s">
        <v>717</v>
      </c>
      <c r="H25" s="281"/>
      <c r="I25" s="281">
        <v>2.9999999999999996E-3</v>
      </c>
      <c r="J25" s="281" t="s">
        <v>2</v>
      </c>
      <c r="K25" s="324" t="s">
        <v>283</v>
      </c>
      <c r="M25" s="280" t="s">
        <v>717</v>
      </c>
      <c r="N25" s="281"/>
      <c r="O25" s="281">
        <v>2.9999999999999996E-3</v>
      </c>
      <c r="P25" s="281" t="s">
        <v>2</v>
      </c>
      <c r="Q25" s="324" t="s">
        <v>1237</v>
      </c>
      <c r="S25" s="280" t="s">
        <v>1193</v>
      </c>
      <c r="T25" s="281"/>
      <c r="U25" s="281">
        <v>2.9999999999999996E-3</v>
      </c>
      <c r="V25" s="281" t="s">
        <v>2</v>
      </c>
      <c r="W25" s="282"/>
      <c r="Y25" s="280" t="s">
        <v>1219</v>
      </c>
      <c r="Z25" s="281"/>
      <c r="AA25" s="281">
        <v>2.9999999999999996E-3</v>
      </c>
      <c r="AB25" s="281" t="s">
        <v>2</v>
      </c>
      <c r="AC25" s="282"/>
      <c r="AJ25" s="244"/>
      <c r="AK25" s="244"/>
    </row>
    <row r="26" spans="1:37" x14ac:dyDescent="0.2">
      <c r="A26" s="280" t="s">
        <v>742</v>
      </c>
      <c r="B26" s="281"/>
      <c r="C26" s="281">
        <v>0</v>
      </c>
      <c r="D26" s="281" t="s">
        <v>2</v>
      </c>
      <c r="E26" s="282" t="s">
        <v>271</v>
      </c>
      <c r="F26" s="244" t="s">
        <v>179</v>
      </c>
      <c r="G26" s="280" t="s">
        <v>742</v>
      </c>
      <c r="H26" s="281"/>
      <c r="I26" s="281">
        <v>0</v>
      </c>
      <c r="J26" s="281" t="s">
        <v>2</v>
      </c>
      <c r="K26" s="324" t="s">
        <v>283</v>
      </c>
      <c r="M26" s="280" t="s">
        <v>742</v>
      </c>
      <c r="N26" s="281"/>
      <c r="O26" s="281">
        <v>0</v>
      </c>
      <c r="P26" s="281" t="s">
        <v>2</v>
      </c>
      <c r="Q26" s="324" t="s">
        <v>1237</v>
      </c>
      <c r="S26" s="280" t="s">
        <v>1263</v>
      </c>
      <c r="T26" s="281"/>
      <c r="U26" s="281">
        <v>0</v>
      </c>
      <c r="V26" s="281" t="s">
        <v>2</v>
      </c>
      <c r="W26" s="282"/>
      <c r="Y26" s="280" t="s">
        <v>1244</v>
      </c>
      <c r="Z26" s="281"/>
      <c r="AA26" s="281">
        <v>0</v>
      </c>
      <c r="AB26" s="281" t="s">
        <v>2</v>
      </c>
      <c r="AC26" s="282"/>
      <c r="AJ26" s="244"/>
      <c r="AK26" s="244"/>
    </row>
    <row r="27" spans="1:37" x14ac:dyDescent="0.2">
      <c r="A27" s="280" t="s">
        <v>192</v>
      </c>
      <c r="B27" s="281"/>
      <c r="C27" s="281">
        <v>0.03</v>
      </c>
      <c r="D27" s="281" t="s">
        <v>2</v>
      </c>
      <c r="E27" s="282" t="s">
        <v>179</v>
      </c>
      <c r="F27" s="244" t="s">
        <v>179</v>
      </c>
      <c r="G27" s="280" t="s">
        <v>192</v>
      </c>
      <c r="H27" s="281"/>
      <c r="I27" s="281">
        <v>0.03</v>
      </c>
      <c r="J27" s="281" t="s">
        <v>2</v>
      </c>
      <c r="K27" s="324" t="s">
        <v>283</v>
      </c>
      <c r="M27" s="280" t="s">
        <v>192</v>
      </c>
      <c r="N27" s="281"/>
      <c r="O27" s="281">
        <v>0.03</v>
      </c>
      <c r="P27" s="281" t="s">
        <v>2</v>
      </c>
      <c r="Q27" s="324" t="s">
        <v>1237</v>
      </c>
      <c r="S27" s="280" t="s">
        <v>1119</v>
      </c>
      <c r="T27" s="281"/>
      <c r="U27" s="281">
        <v>0.03</v>
      </c>
      <c r="V27" s="281" t="s">
        <v>2</v>
      </c>
      <c r="W27" s="282"/>
      <c r="Y27" s="280" t="s">
        <v>1146</v>
      </c>
      <c r="Z27" s="281"/>
      <c r="AA27" s="281">
        <v>0.03</v>
      </c>
      <c r="AB27" s="281" t="s">
        <v>2</v>
      </c>
      <c r="AC27" s="282"/>
      <c r="AJ27" s="244"/>
      <c r="AK27" s="244"/>
    </row>
    <row r="28" spans="1:37" x14ac:dyDescent="0.2">
      <c r="A28" s="280" t="s">
        <v>702</v>
      </c>
      <c r="B28" s="281"/>
      <c r="C28" s="281">
        <v>1.4999999999999999E-2</v>
      </c>
      <c r="D28" s="281" t="s">
        <v>2</v>
      </c>
      <c r="E28" s="282"/>
      <c r="F28" s="244" t="s">
        <v>179</v>
      </c>
      <c r="G28" s="280" t="s">
        <v>702</v>
      </c>
      <c r="H28" s="281"/>
      <c r="I28" s="281">
        <v>1.4999999999999999E-2</v>
      </c>
      <c r="J28" s="281" t="s">
        <v>2</v>
      </c>
      <c r="K28" s="324" t="s">
        <v>283</v>
      </c>
      <c r="M28" s="280" t="s">
        <v>702</v>
      </c>
      <c r="N28" s="281"/>
      <c r="O28" s="281">
        <v>1.4999999999999999E-2</v>
      </c>
      <c r="P28" s="281" t="s">
        <v>2</v>
      </c>
      <c r="Q28" s="324" t="s">
        <v>1237</v>
      </c>
      <c r="S28" s="280" t="s">
        <v>1170</v>
      </c>
      <c r="T28" s="281"/>
      <c r="U28" s="281">
        <v>1.4999999999999999E-2</v>
      </c>
      <c r="V28" s="281" t="s">
        <v>2</v>
      </c>
      <c r="W28" s="282"/>
      <c r="Y28" s="280" t="s">
        <v>1178</v>
      </c>
      <c r="Z28" s="281"/>
      <c r="AA28" s="281">
        <v>1.4999999999999999E-2</v>
      </c>
      <c r="AB28" s="281" t="s">
        <v>2</v>
      </c>
      <c r="AC28" s="282"/>
      <c r="AJ28" s="244"/>
      <c r="AK28" s="244"/>
    </row>
    <row r="29" spans="1:37" x14ac:dyDescent="0.2">
      <c r="A29" s="280" t="s">
        <v>743</v>
      </c>
      <c r="B29" s="281"/>
      <c r="C29" s="281">
        <v>0.03</v>
      </c>
      <c r="D29" s="281" t="s">
        <v>2</v>
      </c>
      <c r="E29" s="282"/>
      <c r="F29" s="244" t="s">
        <v>179</v>
      </c>
      <c r="G29" s="280" t="s">
        <v>743</v>
      </c>
      <c r="H29" s="281"/>
      <c r="I29" s="281">
        <v>0.03</v>
      </c>
      <c r="J29" s="281" t="s">
        <v>2</v>
      </c>
      <c r="K29" s="324" t="s">
        <v>283</v>
      </c>
      <c r="M29" s="280" t="s">
        <v>743</v>
      </c>
      <c r="N29" s="281"/>
      <c r="O29" s="281">
        <v>0.03</v>
      </c>
      <c r="P29" s="281" t="s">
        <v>2</v>
      </c>
      <c r="Q29" s="324" t="s">
        <v>1237</v>
      </c>
      <c r="S29" s="280" t="s">
        <v>1264</v>
      </c>
      <c r="T29" s="281"/>
      <c r="U29" s="281">
        <v>0.03</v>
      </c>
      <c r="V29" s="281" t="s">
        <v>2</v>
      </c>
      <c r="W29" s="282"/>
      <c r="Y29" s="280" t="s">
        <v>1245</v>
      </c>
      <c r="Z29" s="281"/>
      <c r="AA29" s="281">
        <v>0.03</v>
      </c>
      <c r="AB29" s="281" t="s">
        <v>2</v>
      </c>
      <c r="AC29" s="282"/>
      <c r="AJ29" s="244"/>
      <c r="AK29" s="244"/>
    </row>
    <row r="30" spans="1:37" x14ac:dyDescent="0.2">
      <c r="A30" s="280" t="s">
        <v>744</v>
      </c>
      <c r="B30" s="281"/>
      <c r="C30" s="281">
        <v>0</v>
      </c>
      <c r="D30" s="281" t="s">
        <v>2</v>
      </c>
      <c r="E30" s="282" t="s">
        <v>271</v>
      </c>
      <c r="F30" s="244" t="s">
        <v>179</v>
      </c>
      <c r="G30" s="280" t="s">
        <v>744</v>
      </c>
      <c r="H30" s="281"/>
      <c r="I30" s="281">
        <v>0</v>
      </c>
      <c r="J30" s="281" t="s">
        <v>2</v>
      </c>
      <c r="K30" s="324" t="s">
        <v>283</v>
      </c>
      <c r="M30" s="280" t="s">
        <v>744</v>
      </c>
      <c r="N30" s="281"/>
      <c r="O30" s="281">
        <v>0</v>
      </c>
      <c r="P30" s="281" t="s">
        <v>2</v>
      </c>
      <c r="Q30" s="324" t="s">
        <v>1237</v>
      </c>
      <c r="S30" s="280" t="s">
        <v>1265</v>
      </c>
      <c r="T30" s="281"/>
      <c r="U30" s="281">
        <v>0</v>
      </c>
      <c r="V30" s="281" t="s">
        <v>2</v>
      </c>
      <c r="W30" s="282"/>
      <c r="Y30" s="280" t="s">
        <v>1246</v>
      </c>
      <c r="Z30" s="281"/>
      <c r="AA30" s="281">
        <v>0</v>
      </c>
      <c r="AB30" s="281" t="s">
        <v>2</v>
      </c>
      <c r="AC30" s="282"/>
      <c r="AJ30" s="244"/>
      <c r="AK30" s="244"/>
    </row>
    <row r="31" spans="1:37" x14ac:dyDescent="0.2">
      <c r="A31" s="280" t="s">
        <v>745</v>
      </c>
      <c r="B31" s="281"/>
      <c r="C31" s="281">
        <v>0.03</v>
      </c>
      <c r="D31" s="281" t="s">
        <v>2</v>
      </c>
      <c r="E31" s="282"/>
      <c r="F31" s="244" t="s">
        <v>179</v>
      </c>
      <c r="G31" s="280" t="s">
        <v>745</v>
      </c>
      <c r="H31" s="281"/>
      <c r="I31" s="281">
        <v>0.03</v>
      </c>
      <c r="J31" s="281" t="s">
        <v>2</v>
      </c>
      <c r="K31" s="324" t="s">
        <v>283</v>
      </c>
      <c r="M31" s="280" t="s">
        <v>745</v>
      </c>
      <c r="N31" s="281"/>
      <c r="O31" s="281">
        <v>0.03</v>
      </c>
      <c r="P31" s="281" t="s">
        <v>2</v>
      </c>
      <c r="Q31" s="324" t="s">
        <v>1237</v>
      </c>
      <c r="S31" s="280" t="s">
        <v>1266</v>
      </c>
      <c r="T31" s="281"/>
      <c r="U31" s="281">
        <v>0.03</v>
      </c>
      <c r="V31" s="281" t="s">
        <v>2</v>
      </c>
      <c r="W31" s="282"/>
      <c r="Y31" s="280" t="s">
        <v>1247</v>
      </c>
      <c r="Z31" s="281"/>
      <c r="AA31" s="281">
        <v>0.03</v>
      </c>
      <c r="AB31" s="281" t="s">
        <v>2</v>
      </c>
      <c r="AC31" s="282"/>
      <c r="AJ31" s="244"/>
      <c r="AK31" s="244"/>
    </row>
    <row r="32" spans="1:37" x14ac:dyDescent="0.2">
      <c r="A32" s="280" t="s">
        <v>794</v>
      </c>
      <c r="B32" s="281"/>
      <c r="C32" s="281">
        <v>5.9999999999999995E-4</v>
      </c>
      <c r="D32" s="281" t="s">
        <v>2</v>
      </c>
      <c r="E32" s="282" t="s">
        <v>792</v>
      </c>
      <c r="F32" s="244" t="s">
        <v>179</v>
      </c>
      <c r="G32" s="280" t="s">
        <v>794</v>
      </c>
      <c r="H32" s="281"/>
      <c r="I32" s="281">
        <v>5.9999999999999995E-4</v>
      </c>
      <c r="J32" s="281" t="s">
        <v>2</v>
      </c>
      <c r="K32" s="324" t="s">
        <v>283</v>
      </c>
      <c r="M32" s="280" t="s">
        <v>794</v>
      </c>
      <c r="N32" s="281"/>
      <c r="O32" s="281">
        <v>5.9999999999999995E-4</v>
      </c>
      <c r="P32" s="281" t="s">
        <v>2</v>
      </c>
      <c r="Q32" s="324" t="s">
        <v>1237</v>
      </c>
      <c r="S32" s="280" t="s">
        <v>1316</v>
      </c>
      <c r="T32" s="281"/>
      <c r="U32" s="281">
        <v>5.9999999999999995E-4</v>
      </c>
      <c r="V32" s="281" t="s">
        <v>2</v>
      </c>
      <c r="W32" s="282"/>
      <c r="Y32" s="280" t="s">
        <v>1322</v>
      </c>
      <c r="Z32" s="281"/>
      <c r="AA32" s="281">
        <v>5.9999999999999995E-4</v>
      </c>
      <c r="AB32" s="281" t="s">
        <v>2</v>
      </c>
      <c r="AC32" s="282"/>
      <c r="AJ32" s="244"/>
      <c r="AK32" s="244"/>
    </row>
    <row r="33" spans="1:37" x14ac:dyDescent="0.2">
      <c r="A33" s="280" t="s">
        <v>795</v>
      </c>
      <c r="B33" s="281"/>
      <c r="C33" s="281">
        <v>1.2999999999999999E-2</v>
      </c>
      <c r="D33" s="281" t="s">
        <v>2</v>
      </c>
      <c r="E33" s="282" t="s">
        <v>793</v>
      </c>
      <c r="F33" s="244" t="s">
        <v>179</v>
      </c>
      <c r="G33" s="280" t="s">
        <v>795</v>
      </c>
      <c r="H33" s="281"/>
      <c r="I33" s="281">
        <v>1.2999999999999999E-2</v>
      </c>
      <c r="J33" s="281" t="s">
        <v>2</v>
      </c>
      <c r="K33" s="324" t="s">
        <v>283</v>
      </c>
      <c r="M33" s="280" t="s">
        <v>795</v>
      </c>
      <c r="N33" s="281"/>
      <c r="O33" s="281">
        <v>1.2999999999999999E-2</v>
      </c>
      <c r="P33" s="281" t="s">
        <v>2</v>
      </c>
      <c r="Q33" s="324" t="s">
        <v>1237</v>
      </c>
      <c r="S33" s="280" t="s">
        <v>1317</v>
      </c>
      <c r="T33" s="281"/>
      <c r="U33" s="281">
        <v>1.2999999999999999E-2</v>
      </c>
      <c r="V33" s="281" t="s">
        <v>2</v>
      </c>
      <c r="W33" s="282"/>
      <c r="Y33" s="280" t="s">
        <v>1323</v>
      </c>
      <c r="Z33" s="281"/>
      <c r="AA33" s="281">
        <v>1.2999999999999999E-2</v>
      </c>
      <c r="AB33" s="281" t="s">
        <v>2</v>
      </c>
      <c r="AC33" s="282"/>
      <c r="AJ33" s="244"/>
      <c r="AK33" s="244"/>
    </row>
    <row r="34" spans="1:37" x14ac:dyDescent="0.2">
      <c r="A34" s="280" t="s">
        <v>703</v>
      </c>
      <c r="B34" s="281"/>
      <c r="C34" s="281">
        <v>5.0000000000000001E-3</v>
      </c>
      <c r="D34" s="281" t="s">
        <v>2</v>
      </c>
      <c r="E34" s="282"/>
      <c r="F34" s="244" t="s">
        <v>179</v>
      </c>
      <c r="G34" s="280" t="s">
        <v>703</v>
      </c>
      <c r="H34" s="281"/>
      <c r="I34" s="281">
        <v>5.0000000000000001E-3</v>
      </c>
      <c r="J34" s="281" t="s">
        <v>2</v>
      </c>
      <c r="K34" s="324" t="s">
        <v>283</v>
      </c>
      <c r="M34" s="280" t="s">
        <v>703</v>
      </c>
      <c r="N34" s="281"/>
      <c r="O34" s="281">
        <v>5.0000000000000001E-3</v>
      </c>
      <c r="P34" s="281" t="s">
        <v>2</v>
      </c>
      <c r="Q34" s="324" t="s">
        <v>1237</v>
      </c>
      <c r="S34" s="280" t="s">
        <v>1121</v>
      </c>
      <c r="T34" s="281"/>
      <c r="U34" s="281">
        <v>5.0000000000000001E-3</v>
      </c>
      <c r="V34" s="281" t="s">
        <v>2</v>
      </c>
      <c r="W34" s="282"/>
      <c r="Y34" s="280" t="s">
        <v>1148</v>
      </c>
      <c r="Z34" s="281"/>
      <c r="AA34" s="281">
        <v>5.0000000000000001E-3</v>
      </c>
      <c r="AB34" s="281" t="s">
        <v>2</v>
      </c>
      <c r="AC34" s="282"/>
      <c r="AJ34" s="244"/>
      <c r="AK34" s="244"/>
    </row>
    <row r="35" spans="1:37" x14ac:dyDescent="0.2">
      <c r="A35" s="280" t="s">
        <v>719</v>
      </c>
      <c r="B35" s="281"/>
      <c r="C35" s="281">
        <v>5.0000000000000001E-3</v>
      </c>
      <c r="D35" s="281" t="s">
        <v>2</v>
      </c>
      <c r="E35" s="282" t="s">
        <v>179</v>
      </c>
      <c r="F35" s="244" t="s">
        <v>179</v>
      </c>
      <c r="G35" s="280" t="s">
        <v>719</v>
      </c>
      <c r="H35" s="281"/>
      <c r="I35" s="281">
        <v>5.0000000000000001E-3</v>
      </c>
      <c r="J35" s="281" t="s">
        <v>2</v>
      </c>
      <c r="K35" s="324" t="s">
        <v>283</v>
      </c>
      <c r="M35" s="280" t="s">
        <v>719</v>
      </c>
      <c r="N35" s="281"/>
      <c r="O35" s="281">
        <v>5.0000000000000001E-3</v>
      </c>
      <c r="P35" s="281" t="s">
        <v>2</v>
      </c>
      <c r="Q35" s="324" t="s">
        <v>1237</v>
      </c>
      <c r="S35" s="280" t="s">
        <v>1195</v>
      </c>
      <c r="T35" s="281"/>
      <c r="U35" s="281">
        <v>5.0000000000000001E-3</v>
      </c>
      <c r="V35" s="281" t="s">
        <v>2</v>
      </c>
      <c r="W35" s="282"/>
      <c r="Y35" s="280" t="s">
        <v>1221</v>
      </c>
      <c r="Z35" s="281"/>
      <c r="AA35" s="281">
        <v>5.0000000000000001E-3</v>
      </c>
      <c r="AB35" s="281" t="s">
        <v>2</v>
      </c>
      <c r="AC35" s="282"/>
      <c r="AJ35" s="244"/>
      <c r="AK35" s="244"/>
    </row>
    <row r="36" spans="1:37" x14ac:dyDescent="0.2">
      <c r="A36" s="280" t="s">
        <v>747</v>
      </c>
      <c r="B36" s="281"/>
      <c r="C36" s="281">
        <v>0</v>
      </c>
      <c r="D36" s="281" t="s">
        <v>2</v>
      </c>
      <c r="E36" s="282" t="s">
        <v>271</v>
      </c>
      <c r="F36" s="244" t="s">
        <v>179</v>
      </c>
      <c r="G36" s="280" t="s">
        <v>747</v>
      </c>
      <c r="H36" s="281"/>
      <c r="I36" s="281">
        <v>0</v>
      </c>
      <c r="J36" s="281" t="s">
        <v>2</v>
      </c>
      <c r="K36" s="324" t="s">
        <v>283</v>
      </c>
      <c r="M36" s="280" t="s">
        <v>747</v>
      </c>
      <c r="N36" s="281"/>
      <c r="O36" s="281">
        <v>0</v>
      </c>
      <c r="P36" s="281" t="s">
        <v>2</v>
      </c>
      <c r="Q36" s="324" t="s">
        <v>1237</v>
      </c>
      <c r="S36" s="280" t="s">
        <v>1268</v>
      </c>
      <c r="T36" s="281"/>
      <c r="U36" s="281">
        <v>0</v>
      </c>
      <c r="V36" s="281" t="s">
        <v>2</v>
      </c>
      <c r="W36" s="282"/>
      <c r="Y36" s="280" t="s">
        <v>1249</v>
      </c>
      <c r="Z36" s="281"/>
      <c r="AA36" s="281">
        <v>0</v>
      </c>
      <c r="AB36" s="281" t="s">
        <v>2</v>
      </c>
      <c r="AC36" s="282"/>
      <c r="AJ36" s="244"/>
      <c r="AK36" s="244"/>
    </row>
    <row r="37" spans="1:37" x14ac:dyDescent="0.2">
      <c r="A37" s="280" t="s">
        <v>191</v>
      </c>
      <c r="B37" s="281"/>
      <c r="C37" s="281">
        <v>0.02</v>
      </c>
      <c r="D37" s="281" t="s">
        <v>2</v>
      </c>
      <c r="E37" s="282" t="s">
        <v>179</v>
      </c>
      <c r="F37" s="244" t="s">
        <v>179</v>
      </c>
      <c r="G37" s="280" t="s">
        <v>191</v>
      </c>
      <c r="H37" s="281"/>
      <c r="I37" s="281">
        <v>0.02</v>
      </c>
      <c r="J37" s="281" t="s">
        <v>2</v>
      </c>
      <c r="K37" s="324" t="s">
        <v>283</v>
      </c>
      <c r="M37" s="280" t="s">
        <v>191</v>
      </c>
      <c r="N37" s="281"/>
      <c r="O37" s="281">
        <v>0.02</v>
      </c>
      <c r="P37" s="281" t="s">
        <v>2</v>
      </c>
      <c r="Q37" s="324" t="s">
        <v>1237</v>
      </c>
      <c r="S37" s="280" t="s">
        <v>285</v>
      </c>
      <c r="T37" s="281"/>
      <c r="U37" s="281">
        <v>0.02</v>
      </c>
      <c r="V37" s="281" t="s">
        <v>2</v>
      </c>
      <c r="W37" s="282"/>
      <c r="Y37" s="280" t="s">
        <v>1145</v>
      </c>
      <c r="Z37" s="281"/>
      <c r="AA37" s="281">
        <v>0.02</v>
      </c>
      <c r="AB37" s="281" t="s">
        <v>2</v>
      </c>
      <c r="AC37" s="282"/>
      <c r="AJ37" s="244"/>
      <c r="AK37" s="244"/>
    </row>
    <row r="38" spans="1:37" x14ac:dyDescent="0.2">
      <c r="A38" s="280" t="s">
        <v>705</v>
      </c>
      <c r="B38" s="281"/>
      <c r="C38" s="281">
        <v>0.2</v>
      </c>
      <c r="D38" s="281" t="s">
        <v>2</v>
      </c>
      <c r="E38" s="282"/>
      <c r="F38" s="244" t="s">
        <v>179</v>
      </c>
      <c r="G38" s="280" t="s">
        <v>705</v>
      </c>
      <c r="H38" s="281"/>
      <c r="I38" s="281">
        <v>0.2</v>
      </c>
      <c r="J38" s="281" t="s">
        <v>2</v>
      </c>
      <c r="K38" s="324" t="s">
        <v>283</v>
      </c>
      <c r="M38" s="280" t="s">
        <v>705</v>
      </c>
      <c r="N38" s="281"/>
      <c r="O38" s="281">
        <v>0.2</v>
      </c>
      <c r="P38" s="281" t="s">
        <v>2</v>
      </c>
      <c r="Q38" s="324" t="s">
        <v>1237</v>
      </c>
      <c r="S38" s="280" t="s">
        <v>1125</v>
      </c>
      <c r="T38" s="281"/>
      <c r="U38" s="281">
        <v>0.2</v>
      </c>
      <c r="V38" s="281" t="s">
        <v>2</v>
      </c>
      <c r="W38" s="282"/>
      <c r="Y38" s="280" t="s">
        <v>1152</v>
      </c>
      <c r="Z38" s="281"/>
      <c r="AA38" s="281">
        <v>0.2</v>
      </c>
      <c r="AB38" s="281" t="s">
        <v>2</v>
      </c>
      <c r="AC38" s="282"/>
      <c r="AJ38" s="244"/>
      <c r="AK38" s="244"/>
    </row>
    <row r="39" spans="1:37" x14ac:dyDescent="0.2">
      <c r="A39" s="280" t="s">
        <v>706</v>
      </c>
      <c r="B39" s="281"/>
      <c r="C39" s="281">
        <v>0.15000000000000002</v>
      </c>
      <c r="D39" s="281" t="s">
        <v>2</v>
      </c>
      <c r="E39" s="282" t="s">
        <v>179</v>
      </c>
      <c r="F39" s="244" t="s">
        <v>179</v>
      </c>
      <c r="G39" s="280" t="s">
        <v>706</v>
      </c>
      <c r="H39" s="281"/>
      <c r="I39" s="281">
        <v>0.15000000000000002</v>
      </c>
      <c r="J39" s="281" t="s">
        <v>2</v>
      </c>
      <c r="K39" s="324" t="s">
        <v>283</v>
      </c>
      <c r="M39" s="280" t="s">
        <v>706</v>
      </c>
      <c r="N39" s="281"/>
      <c r="O39" s="281">
        <v>0.15000000000000002</v>
      </c>
      <c r="P39" s="281" t="s">
        <v>2</v>
      </c>
      <c r="Q39" s="324" t="s">
        <v>1237</v>
      </c>
      <c r="S39" s="280" t="s">
        <v>753</v>
      </c>
      <c r="T39" s="281"/>
      <c r="U39" s="281">
        <v>0.15000000000000002</v>
      </c>
      <c r="V39" s="281" t="s">
        <v>2</v>
      </c>
      <c r="W39" s="282"/>
      <c r="Y39" s="280" t="s">
        <v>1180</v>
      </c>
      <c r="Z39" s="281"/>
      <c r="AA39" s="281">
        <v>0.15000000000000002</v>
      </c>
      <c r="AB39" s="281" t="s">
        <v>2</v>
      </c>
      <c r="AC39" s="282"/>
      <c r="AJ39" s="244"/>
      <c r="AK39" s="244"/>
    </row>
    <row r="40" spans="1:37" x14ac:dyDescent="0.2">
      <c r="A40" s="280" t="s">
        <v>232</v>
      </c>
      <c r="B40" s="281"/>
      <c r="C40" s="281">
        <v>0.04</v>
      </c>
      <c r="D40" s="281" t="s">
        <v>2</v>
      </c>
      <c r="E40" s="282" t="s">
        <v>179</v>
      </c>
      <c r="F40" s="244" t="s">
        <v>179</v>
      </c>
      <c r="G40" s="280" t="s">
        <v>232</v>
      </c>
      <c r="H40" s="281"/>
      <c r="I40" s="281">
        <v>0.04</v>
      </c>
      <c r="J40" s="281" t="s">
        <v>2</v>
      </c>
      <c r="K40" s="324" t="s">
        <v>283</v>
      </c>
      <c r="M40" s="280" t="s">
        <v>232</v>
      </c>
      <c r="N40" s="281"/>
      <c r="O40" s="281">
        <v>0.04</v>
      </c>
      <c r="P40" s="281" t="s">
        <v>2</v>
      </c>
      <c r="Q40" s="324" t="s">
        <v>1237</v>
      </c>
      <c r="S40" s="280" t="s">
        <v>1171</v>
      </c>
      <c r="T40" s="281"/>
      <c r="U40" s="281">
        <v>0.04</v>
      </c>
      <c r="V40" s="281" t="s">
        <v>2</v>
      </c>
      <c r="W40" s="282"/>
      <c r="Y40" s="280" t="s">
        <v>1179</v>
      </c>
      <c r="Z40" s="281"/>
      <c r="AA40" s="281">
        <v>0.04</v>
      </c>
      <c r="AB40" s="281" t="s">
        <v>2</v>
      </c>
      <c r="AC40" s="282"/>
      <c r="AJ40" s="244"/>
      <c r="AK40" s="244"/>
    </row>
    <row r="41" spans="1:37" x14ac:dyDescent="0.2">
      <c r="A41" s="280" t="s">
        <v>233</v>
      </c>
      <c r="B41" s="281"/>
      <c r="C41" s="281">
        <v>2.9999999999999996E-3</v>
      </c>
      <c r="D41" s="281" t="s">
        <v>2</v>
      </c>
      <c r="E41" s="282" t="s">
        <v>179</v>
      </c>
      <c r="F41" s="244" t="s">
        <v>179</v>
      </c>
      <c r="G41" s="280" t="s">
        <v>233</v>
      </c>
      <c r="H41" s="281"/>
      <c r="I41" s="281">
        <v>2.9999999999999996E-3</v>
      </c>
      <c r="J41" s="281" t="s">
        <v>2</v>
      </c>
      <c r="K41" s="324" t="s">
        <v>283</v>
      </c>
      <c r="M41" s="280" t="s">
        <v>233</v>
      </c>
      <c r="N41" s="281"/>
      <c r="O41" s="281">
        <v>2.9999999999999996E-3</v>
      </c>
      <c r="P41" s="281" t="s">
        <v>2</v>
      </c>
      <c r="Q41" s="324" t="s">
        <v>1237</v>
      </c>
      <c r="S41" s="280" t="s">
        <v>1202</v>
      </c>
      <c r="T41" s="281"/>
      <c r="U41" s="281">
        <v>2.9999999999999996E-3</v>
      </c>
      <c r="V41" s="281" t="s">
        <v>2</v>
      </c>
      <c r="W41" s="282"/>
      <c r="Y41" s="280" t="s">
        <v>1228</v>
      </c>
      <c r="Z41" s="281"/>
      <c r="AA41" s="281">
        <v>2.9999999999999996E-3</v>
      </c>
      <c r="AB41" s="281" t="s">
        <v>2</v>
      </c>
      <c r="AC41" s="282"/>
      <c r="AJ41" s="244"/>
      <c r="AK41" s="244"/>
    </row>
    <row r="42" spans="1:37" x14ac:dyDescent="0.2">
      <c r="A42" s="280" t="s">
        <v>748</v>
      </c>
      <c r="B42" s="281"/>
      <c r="C42" s="281">
        <v>5.0000000000000001E-3</v>
      </c>
      <c r="D42" s="281" t="s">
        <v>2</v>
      </c>
      <c r="E42" s="282"/>
      <c r="F42" s="244" t="s">
        <v>179</v>
      </c>
      <c r="G42" s="280" t="s">
        <v>748</v>
      </c>
      <c r="H42" s="281"/>
      <c r="I42" s="281">
        <v>5.0000000000000001E-3</v>
      </c>
      <c r="J42" s="281" t="s">
        <v>2</v>
      </c>
      <c r="K42" s="324" t="s">
        <v>283</v>
      </c>
      <c r="M42" s="280" t="s">
        <v>748</v>
      </c>
      <c r="N42" s="281"/>
      <c r="O42" s="281">
        <v>5.0000000000000001E-3</v>
      </c>
      <c r="P42" s="281" t="s">
        <v>2</v>
      </c>
      <c r="Q42" s="324" t="s">
        <v>1237</v>
      </c>
      <c r="S42" s="280" t="s">
        <v>1269</v>
      </c>
      <c r="T42" s="281"/>
      <c r="U42" s="281">
        <v>5.0000000000000001E-3</v>
      </c>
      <c r="V42" s="281" t="s">
        <v>2</v>
      </c>
      <c r="W42" s="282"/>
      <c r="Y42" s="280" t="s">
        <v>1250</v>
      </c>
      <c r="Z42" s="281"/>
      <c r="AA42" s="281">
        <v>5.0000000000000001E-3</v>
      </c>
      <c r="AB42" s="281" t="s">
        <v>2</v>
      </c>
      <c r="AC42" s="282"/>
      <c r="AJ42" s="244"/>
      <c r="AK42" s="244"/>
    </row>
    <row r="43" spans="1:37" x14ac:dyDescent="0.2">
      <c r="A43" s="280" t="s">
        <v>198</v>
      </c>
      <c r="B43" s="281"/>
      <c r="C43" s="281">
        <v>0.03</v>
      </c>
      <c r="D43" s="281" t="s">
        <v>2</v>
      </c>
      <c r="E43" s="282"/>
      <c r="F43" s="244" t="s">
        <v>179</v>
      </c>
      <c r="G43" s="280" t="s">
        <v>198</v>
      </c>
      <c r="H43" s="281"/>
      <c r="I43" s="281">
        <v>0.03</v>
      </c>
      <c r="J43" s="281" t="s">
        <v>2</v>
      </c>
      <c r="K43" s="324" t="s">
        <v>283</v>
      </c>
      <c r="M43" s="280" t="s">
        <v>198</v>
      </c>
      <c r="N43" s="281"/>
      <c r="O43" s="281">
        <v>0.03</v>
      </c>
      <c r="P43" s="281" t="s">
        <v>2</v>
      </c>
      <c r="Q43" s="324" t="s">
        <v>1237</v>
      </c>
      <c r="S43" s="280" t="s">
        <v>1128</v>
      </c>
      <c r="T43" s="281"/>
      <c r="U43" s="281">
        <v>0.03</v>
      </c>
      <c r="V43" s="281" t="s">
        <v>2</v>
      </c>
      <c r="W43" s="282"/>
      <c r="Y43" s="280" t="s">
        <v>1155</v>
      </c>
      <c r="Z43" s="281"/>
      <c r="AA43" s="281">
        <v>0.03</v>
      </c>
      <c r="AB43" s="281" t="s">
        <v>2</v>
      </c>
      <c r="AC43" s="282"/>
      <c r="AJ43" s="244"/>
      <c r="AK43" s="244"/>
    </row>
    <row r="44" spans="1:37" x14ac:dyDescent="0.2">
      <c r="A44" s="280" t="s">
        <v>234</v>
      </c>
      <c r="B44" s="281"/>
      <c r="C44" s="281">
        <v>1.4999999999999999E-2</v>
      </c>
      <c r="D44" s="281" t="s">
        <v>2</v>
      </c>
      <c r="E44" s="282"/>
      <c r="F44" s="244" t="s">
        <v>179</v>
      </c>
      <c r="G44" s="280" t="s">
        <v>234</v>
      </c>
      <c r="H44" s="281"/>
      <c r="I44" s="281">
        <v>1.4999999999999999E-2</v>
      </c>
      <c r="J44" s="281" t="s">
        <v>2</v>
      </c>
      <c r="K44" s="324" t="s">
        <v>283</v>
      </c>
      <c r="M44" s="280" t="s">
        <v>234</v>
      </c>
      <c r="N44" s="281"/>
      <c r="O44" s="281">
        <v>1.4999999999999999E-2</v>
      </c>
      <c r="P44" s="281" t="s">
        <v>2</v>
      </c>
      <c r="Q44" s="324" t="s">
        <v>1237</v>
      </c>
      <c r="S44" s="280" t="s">
        <v>1172</v>
      </c>
      <c r="T44" s="281"/>
      <c r="U44" s="281">
        <v>1.4999999999999999E-2</v>
      </c>
      <c r="V44" s="281" t="s">
        <v>2</v>
      </c>
      <c r="W44" s="282"/>
      <c r="Y44" s="280" t="s">
        <v>1181</v>
      </c>
      <c r="Z44" s="281"/>
      <c r="AA44" s="281">
        <v>1.4999999999999999E-2</v>
      </c>
      <c r="AB44" s="281" t="s">
        <v>2</v>
      </c>
      <c r="AC44" s="282"/>
      <c r="AJ44" s="244"/>
      <c r="AK44" s="244"/>
    </row>
    <row r="45" spans="1:37" x14ac:dyDescent="0.2">
      <c r="A45" s="280" t="s">
        <v>749</v>
      </c>
      <c r="B45" s="281"/>
      <c r="C45" s="281">
        <v>0.03</v>
      </c>
      <c r="D45" s="281" t="s">
        <v>2</v>
      </c>
      <c r="E45" s="282"/>
      <c r="F45" s="244" t="s">
        <v>179</v>
      </c>
      <c r="G45" s="280" t="s">
        <v>749</v>
      </c>
      <c r="H45" s="281"/>
      <c r="I45" s="281">
        <v>0.03</v>
      </c>
      <c r="J45" s="281" t="s">
        <v>2</v>
      </c>
      <c r="K45" s="324" t="s">
        <v>283</v>
      </c>
      <c r="M45" s="280" t="s">
        <v>749</v>
      </c>
      <c r="N45" s="281"/>
      <c r="O45" s="281">
        <v>0.03</v>
      </c>
      <c r="P45" s="281" t="s">
        <v>2</v>
      </c>
      <c r="Q45" s="324" t="s">
        <v>1237</v>
      </c>
      <c r="S45" s="280" t="s">
        <v>1270</v>
      </c>
      <c r="T45" s="281"/>
      <c r="U45" s="281">
        <v>0.03</v>
      </c>
      <c r="V45" s="281" t="s">
        <v>2</v>
      </c>
      <c r="W45" s="282"/>
      <c r="Y45" s="280" t="s">
        <v>1251</v>
      </c>
      <c r="Z45" s="281"/>
      <c r="AA45" s="281">
        <v>0.03</v>
      </c>
      <c r="AB45" s="281" t="s">
        <v>2</v>
      </c>
      <c r="AC45" s="282"/>
      <c r="AJ45" s="244"/>
      <c r="AK45" s="244"/>
    </row>
    <row r="46" spans="1:37" x14ac:dyDescent="0.2">
      <c r="A46" s="280" t="s">
        <v>750</v>
      </c>
      <c r="B46" s="281"/>
      <c r="C46" s="281">
        <v>0.02</v>
      </c>
      <c r="D46" s="281" t="s">
        <v>2</v>
      </c>
      <c r="E46" s="282"/>
      <c r="F46" s="244" t="s">
        <v>179</v>
      </c>
      <c r="G46" s="280" t="s">
        <v>750</v>
      </c>
      <c r="H46" s="281"/>
      <c r="I46" s="281">
        <v>0.02</v>
      </c>
      <c r="J46" s="281" t="s">
        <v>2</v>
      </c>
      <c r="K46" s="324" t="s">
        <v>283</v>
      </c>
      <c r="M46" s="280" t="s">
        <v>750</v>
      </c>
      <c r="N46" s="281"/>
      <c r="O46" s="281">
        <v>0.02</v>
      </c>
      <c r="P46" s="281" t="s">
        <v>2</v>
      </c>
      <c r="Q46" s="324" t="s">
        <v>1237</v>
      </c>
      <c r="S46" s="280" t="s">
        <v>1271</v>
      </c>
      <c r="T46" s="281"/>
      <c r="U46" s="281">
        <v>0.02</v>
      </c>
      <c r="V46" s="281" t="s">
        <v>2</v>
      </c>
      <c r="W46" s="282"/>
      <c r="Y46" s="280" t="s">
        <v>1252</v>
      </c>
      <c r="Z46" s="281"/>
      <c r="AA46" s="281">
        <v>0.02</v>
      </c>
      <c r="AB46" s="281" t="s">
        <v>2</v>
      </c>
      <c r="AC46" s="282"/>
      <c r="AJ46" s="244"/>
      <c r="AK46" s="244"/>
    </row>
    <row r="47" spans="1:37" x14ac:dyDescent="0.2">
      <c r="A47" s="280" t="s">
        <v>751</v>
      </c>
      <c r="B47" s="281"/>
      <c r="C47" s="281">
        <v>0.03</v>
      </c>
      <c r="D47" s="281" t="s">
        <v>2</v>
      </c>
      <c r="E47" s="282"/>
      <c r="F47" s="244" t="s">
        <v>179</v>
      </c>
      <c r="G47" s="280" t="s">
        <v>751</v>
      </c>
      <c r="H47" s="281"/>
      <c r="I47" s="281">
        <v>0.03</v>
      </c>
      <c r="J47" s="281" t="s">
        <v>2</v>
      </c>
      <c r="K47" s="324" t="s">
        <v>283</v>
      </c>
      <c r="M47" s="280" t="s">
        <v>751</v>
      </c>
      <c r="N47" s="281"/>
      <c r="O47" s="281">
        <v>0.03</v>
      </c>
      <c r="P47" s="281" t="s">
        <v>2</v>
      </c>
      <c r="Q47" s="324" t="s">
        <v>1237</v>
      </c>
      <c r="S47" s="280" t="s">
        <v>1272</v>
      </c>
      <c r="T47" s="281"/>
      <c r="U47" s="281">
        <v>0.03</v>
      </c>
      <c r="V47" s="281" t="s">
        <v>2</v>
      </c>
      <c r="W47" s="282"/>
      <c r="Y47" s="280" t="s">
        <v>1253</v>
      </c>
      <c r="Z47" s="281"/>
      <c r="AA47" s="281">
        <v>0.03</v>
      </c>
      <c r="AB47" s="281" t="s">
        <v>2</v>
      </c>
      <c r="AC47" s="282"/>
      <c r="AJ47" s="244"/>
      <c r="AK47" s="244"/>
    </row>
    <row r="48" spans="1:37" x14ac:dyDescent="0.2">
      <c r="A48" s="280" t="s">
        <v>796</v>
      </c>
      <c r="B48" s="281"/>
      <c r="C48" s="281">
        <v>5.9999999999999995E-4</v>
      </c>
      <c r="D48" s="281" t="s">
        <v>2</v>
      </c>
      <c r="E48" s="282" t="s">
        <v>792</v>
      </c>
      <c r="F48" s="244" t="s">
        <v>179</v>
      </c>
      <c r="G48" s="280" t="s">
        <v>796</v>
      </c>
      <c r="H48" s="281"/>
      <c r="I48" s="281">
        <v>5.9999999999999995E-4</v>
      </c>
      <c r="J48" s="281" t="s">
        <v>2</v>
      </c>
      <c r="K48" s="324" t="s">
        <v>283</v>
      </c>
      <c r="M48" s="280" t="s">
        <v>796</v>
      </c>
      <c r="N48" s="281"/>
      <c r="O48" s="281">
        <v>5.9999999999999995E-4</v>
      </c>
      <c r="P48" s="281" t="s">
        <v>2</v>
      </c>
      <c r="Q48" s="324" t="s">
        <v>1237</v>
      </c>
      <c r="S48" s="280" t="s">
        <v>1318</v>
      </c>
      <c r="T48" s="281"/>
      <c r="U48" s="281">
        <v>5.9999999999999995E-4</v>
      </c>
      <c r="V48" s="281" t="s">
        <v>2</v>
      </c>
      <c r="W48" s="282"/>
      <c r="Y48" s="280" t="s">
        <v>1324</v>
      </c>
      <c r="Z48" s="281"/>
      <c r="AA48" s="281">
        <v>5.9999999999999995E-4</v>
      </c>
      <c r="AB48" s="281" t="s">
        <v>2</v>
      </c>
      <c r="AC48" s="282"/>
      <c r="AJ48" s="244"/>
      <c r="AK48" s="244"/>
    </row>
    <row r="49" spans="1:37" x14ac:dyDescent="0.2">
      <c r="A49" s="280" t="s">
        <v>797</v>
      </c>
      <c r="B49" s="281"/>
      <c r="C49" s="281">
        <v>1.2999999999999999E-2</v>
      </c>
      <c r="D49" s="281" t="s">
        <v>2</v>
      </c>
      <c r="E49" s="282" t="s">
        <v>793</v>
      </c>
      <c r="F49" s="244" t="s">
        <v>179</v>
      </c>
      <c r="G49" s="280" t="s">
        <v>797</v>
      </c>
      <c r="H49" s="281"/>
      <c r="I49" s="281">
        <v>1.2999999999999999E-2</v>
      </c>
      <c r="J49" s="281" t="s">
        <v>2</v>
      </c>
      <c r="K49" s="324" t="s">
        <v>283</v>
      </c>
      <c r="M49" s="280" t="s">
        <v>797</v>
      </c>
      <c r="N49" s="281"/>
      <c r="O49" s="281">
        <v>1.2999999999999999E-2</v>
      </c>
      <c r="P49" s="281" t="s">
        <v>2</v>
      </c>
      <c r="Q49" s="324" t="s">
        <v>1237</v>
      </c>
      <c r="S49" s="280" t="s">
        <v>1319</v>
      </c>
      <c r="T49" s="281"/>
      <c r="U49" s="281">
        <v>1.2999999999999999E-2</v>
      </c>
      <c r="V49" s="281" t="s">
        <v>2</v>
      </c>
      <c r="W49" s="282"/>
      <c r="Y49" s="280" t="s">
        <v>1325</v>
      </c>
      <c r="Z49" s="281"/>
      <c r="AA49" s="281">
        <v>1.2999999999999999E-2</v>
      </c>
      <c r="AB49" s="281" t="s">
        <v>2</v>
      </c>
      <c r="AC49" s="282"/>
      <c r="AJ49" s="244"/>
      <c r="AK49" s="244"/>
    </row>
    <row r="50" spans="1:37" x14ac:dyDescent="0.2">
      <c r="A50" s="280" t="s">
        <v>707</v>
      </c>
      <c r="B50" s="281"/>
      <c r="C50" s="281">
        <v>5.0000000000000001E-3</v>
      </c>
      <c r="D50" s="281" t="s">
        <v>2</v>
      </c>
      <c r="E50" s="282"/>
      <c r="F50" s="244" t="s">
        <v>179</v>
      </c>
      <c r="G50" s="280" t="s">
        <v>707</v>
      </c>
      <c r="H50" s="281"/>
      <c r="I50" s="281">
        <v>5.0000000000000001E-3</v>
      </c>
      <c r="J50" s="281" t="s">
        <v>2</v>
      </c>
      <c r="K50" s="324" t="s">
        <v>283</v>
      </c>
      <c r="M50" s="280" t="s">
        <v>707</v>
      </c>
      <c r="N50" s="281"/>
      <c r="O50" s="281">
        <v>5.0000000000000001E-3</v>
      </c>
      <c r="P50" s="281" t="s">
        <v>2</v>
      </c>
      <c r="Q50" s="324" t="s">
        <v>1237</v>
      </c>
      <c r="S50" s="280" t="s">
        <v>1173</v>
      </c>
      <c r="T50" s="281"/>
      <c r="U50" s="281">
        <v>5.0000000000000001E-3</v>
      </c>
      <c r="V50" s="281" t="s">
        <v>2</v>
      </c>
      <c r="W50" s="282"/>
      <c r="Y50" s="280" t="s">
        <v>1182</v>
      </c>
      <c r="Z50" s="281"/>
      <c r="AA50" s="281">
        <v>5.0000000000000001E-3</v>
      </c>
      <c r="AB50" s="281" t="s">
        <v>2</v>
      </c>
      <c r="AC50" s="282"/>
      <c r="AJ50" s="244"/>
      <c r="AK50" s="244"/>
    </row>
    <row r="51" spans="1:37" x14ac:dyDescent="0.2">
      <c r="A51" s="280" t="s">
        <v>727</v>
      </c>
      <c r="B51" s="281"/>
      <c r="C51" s="281">
        <v>5.0000000000000001E-3</v>
      </c>
      <c r="D51" s="281" t="s">
        <v>2</v>
      </c>
      <c r="E51" s="282" t="s">
        <v>179</v>
      </c>
      <c r="F51" s="244" t="s">
        <v>179</v>
      </c>
      <c r="G51" s="280" t="s">
        <v>727</v>
      </c>
      <c r="H51" s="281"/>
      <c r="I51" s="281">
        <v>5.0000000000000001E-3</v>
      </c>
      <c r="J51" s="281" t="s">
        <v>2</v>
      </c>
      <c r="K51" s="324" t="s">
        <v>283</v>
      </c>
      <c r="M51" s="280" t="s">
        <v>727</v>
      </c>
      <c r="N51" s="281"/>
      <c r="O51" s="281">
        <v>5.0000000000000001E-3</v>
      </c>
      <c r="P51" s="281" t="s">
        <v>2</v>
      </c>
      <c r="Q51" s="324" t="s">
        <v>1237</v>
      </c>
      <c r="S51" s="280" t="s">
        <v>1204</v>
      </c>
      <c r="T51" s="281"/>
      <c r="U51" s="281">
        <v>5.0000000000000001E-3</v>
      </c>
      <c r="V51" s="281" t="s">
        <v>2</v>
      </c>
      <c r="W51" s="282"/>
      <c r="Y51" s="280" t="s">
        <v>1230</v>
      </c>
      <c r="Z51" s="281"/>
      <c r="AA51" s="281">
        <v>5.0000000000000001E-3</v>
      </c>
      <c r="AB51" s="281" t="s">
        <v>2</v>
      </c>
      <c r="AC51" s="282"/>
      <c r="AJ51" s="244"/>
      <c r="AK51" s="244"/>
    </row>
    <row r="52" spans="1:37" x14ac:dyDescent="0.2">
      <c r="A52" s="280" t="s">
        <v>235</v>
      </c>
      <c r="B52" s="281"/>
      <c r="C52" s="281">
        <v>0.02</v>
      </c>
      <c r="D52" s="281" t="s">
        <v>2</v>
      </c>
      <c r="E52" s="282"/>
      <c r="F52" s="244" t="s">
        <v>179</v>
      </c>
      <c r="G52" s="280" t="s">
        <v>235</v>
      </c>
      <c r="H52" s="281"/>
      <c r="I52" s="281">
        <v>0.02</v>
      </c>
      <c r="J52" s="281" t="s">
        <v>2</v>
      </c>
      <c r="K52" s="324" t="s">
        <v>283</v>
      </c>
      <c r="M52" s="280" t="s">
        <v>235</v>
      </c>
      <c r="N52" s="281"/>
      <c r="O52" s="281">
        <v>0.02</v>
      </c>
      <c r="P52" s="281" t="s">
        <v>2</v>
      </c>
      <c r="Q52" s="324" t="s">
        <v>1237</v>
      </c>
      <c r="S52" s="280" t="s">
        <v>1274</v>
      </c>
      <c r="T52" s="281"/>
      <c r="U52" s="281">
        <v>0.02</v>
      </c>
      <c r="V52" s="281" t="s">
        <v>2</v>
      </c>
      <c r="W52" s="282"/>
      <c r="Y52" s="280" t="s">
        <v>1255</v>
      </c>
      <c r="Z52" s="281"/>
      <c r="AA52" s="281">
        <v>0.02</v>
      </c>
      <c r="AB52" s="281" t="s">
        <v>2</v>
      </c>
      <c r="AC52" s="282"/>
      <c r="AJ52" s="244"/>
      <c r="AK52" s="244"/>
    </row>
    <row r="53" spans="1:37" x14ac:dyDescent="0.2">
      <c r="A53" s="280" t="s">
        <v>706</v>
      </c>
      <c r="B53" s="281"/>
      <c r="C53" s="281">
        <v>0.02</v>
      </c>
      <c r="D53" s="281" t="s">
        <v>2</v>
      </c>
      <c r="E53" s="282" t="s">
        <v>179</v>
      </c>
      <c r="F53" s="244" t="s">
        <v>179</v>
      </c>
      <c r="G53" s="280" t="s">
        <v>706</v>
      </c>
      <c r="H53" s="281"/>
      <c r="I53" s="281">
        <v>0.02</v>
      </c>
      <c r="J53" s="281" t="s">
        <v>2</v>
      </c>
      <c r="K53" s="324" t="s">
        <v>283</v>
      </c>
      <c r="M53" s="280" t="s">
        <v>706</v>
      </c>
      <c r="N53" s="281"/>
      <c r="O53" s="281">
        <v>0.02</v>
      </c>
      <c r="P53" s="281" t="s">
        <v>2</v>
      </c>
      <c r="Q53" s="324" t="s">
        <v>1237</v>
      </c>
      <c r="S53" s="280" t="s">
        <v>753</v>
      </c>
      <c r="T53" s="281"/>
      <c r="U53" s="281">
        <v>0.02</v>
      </c>
      <c r="V53" s="281" t="s">
        <v>2</v>
      </c>
      <c r="W53" s="282" t="s">
        <v>179</v>
      </c>
      <c r="Y53" s="280" t="s">
        <v>1180</v>
      </c>
      <c r="Z53" s="281"/>
      <c r="AA53" s="281">
        <v>0.02</v>
      </c>
      <c r="AB53" s="281" t="s">
        <v>2</v>
      </c>
      <c r="AC53" s="282" t="s">
        <v>179</v>
      </c>
      <c r="AJ53" s="244"/>
      <c r="AK53" s="244"/>
    </row>
    <row r="54" spans="1:37" x14ac:dyDescent="0.2">
      <c r="A54" s="280" t="s">
        <v>204</v>
      </c>
      <c r="B54" s="281"/>
      <c r="C54" s="281">
        <v>0.2</v>
      </c>
      <c r="D54" s="281" t="s">
        <v>2</v>
      </c>
      <c r="E54" s="282"/>
      <c r="F54" s="244" t="s">
        <v>179</v>
      </c>
      <c r="G54" s="280" t="s">
        <v>204</v>
      </c>
      <c r="H54" s="281"/>
      <c r="I54" s="281">
        <v>0.2</v>
      </c>
      <c r="J54" s="281" t="s">
        <v>2</v>
      </c>
      <c r="K54" s="324" t="s">
        <v>283</v>
      </c>
      <c r="M54" s="280" t="s">
        <v>204</v>
      </c>
      <c r="N54" s="281"/>
      <c r="O54" s="281">
        <v>0.2</v>
      </c>
      <c r="P54" s="281" t="s">
        <v>2</v>
      </c>
      <c r="Q54" s="324" t="s">
        <v>1237</v>
      </c>
      <c r="S54" s="280" t="s">
        <v>1134</v>
      </c>
      <c r="T54" s="281"/>
      <c r="U54" s="281">
        <v>0.2</v>
      </c>
      <c r="V54" s="281" t="s">
        <v>2</v>
      </c>
      <c r="W54" s="282"/>
      <c r="Y54" s="280" t="s">
        <v>1161</v>
      </c>
      <c r="Z54" s="281"/>
      <c r="AA54" s="281">
        <v>0.2</v>
      </c>
      <c r="AB54" s="281" t="s">
        <v>2</v>
      </c>
      <c r="AC54" s="282"/>
      <c r="AJ54" s="244"/>
      <c r="AK54" s="244"/>
    </row>
    <row r="55" spans="1:37" s="1" customFormat="1" x14ac:dyDescent="0.2">
      <c r="A55" s="277" t="s">
        <v>205</v>
      </c>
      <c r="B55" s="278"/>
      <c r="C55" s="278"/>
      <c r="D55" s="278"/>
      <c r="E55" s="279"/>
      <c r="G55" s="277" t="s">
        <v>205</v>
      </c>
      <c r="H55" s="278"/>
      <c r="I55" s="278"/>
      <c r="J55" s="278"/>
      <c r="K55" s="279"/>
      <c r="M55" s="277" t="s">
        <v>205</v>
      </c>
      <c r="N55" s="278"/>
      <c r="O55" s="278"/>
      <c r="P55" s="278"/>
      <c r="Q55" s="279"/>
      <c r="S55" s="277" t="s">
        <v>205</v>
      </c>
      <c r="T55" s="278"/>
      <c r="U55" s="278"/>
      <c r="V55" s="278"/>
      <c r="W55" s="279"/>
      <c r="Y55" s="277" t="s">
        <v>205</v>
      </c>
      <c r="Z55" s="278"/>
      <c r="AA55" s="278"/>
      <c r="AB55" s="278"/>
      <c r="AC55" s="279"/>
      <c r="AD55" s="99"/>
      <c r="AE55" s="18"/>
      <c r="AF55" s="18"/>
      <c r="AG55" s="18"/>
      <c r="AH55" s="18"/>
      <c r="AI55" s="18"/>
      <c r="AJ55" s="18"/>
      <c r="AK55" s="18"/>
    </row>
    <row r="56" spans="1:37" x14ac:dyDescent="0.2">
      <c r="A56" s="280" t="s">
        <v>206</v>
      </c>
      <c r="B56" s="281"/>
      <c r="C56" s="288">
        <v>0.7</v>
      </c>
      <c r="D56" s="281" t="s">
        <v>207</v>
      </c>
      <c r="E56" s="373" t="s">
        <v>1076</v>
      </c>
      <c r="F56" s="244" t="s">
        <v>179</v>
      </c>
      <c r="G56" s="280" t="s">
        <v>206</v>
      </c>
      <c r="H56" s="281"/>
      <c r="I56" s="288">
        <f>0.0933*0.8</f>
        <v>7.4639999999999998E-2</v>
      </c>
      <c r="J56" s="281" t="s">
        <v>207</v>
      </c>
      <c r="K56" s="373" t="s">
        <v>1163</v>
      </c>
      <c r="M56" s="280" t="s">
        <v>206</v>
      </c>
      <c r="N56" s="281"/>
      <c r="O56" s="288">
        <v>5.63</v>
      </c>
      <c r="P56" s="281" t="s">
        <v>207</v>
      </c>
      <c r="Q56" s="373" t="s">
        <v>1086</v>
      </c>
      <c r="S56" s="280" t="s">
        <v>206</v>
      </c>
      <c r="T56" s="281"/>
      <c r="U56" s="288">
        <v>0.7</v>
      </c>
      <c r="V56" s="281" t="s">
        <v>207</v>
      </c>
      <c r="W56" s="373" t="s">
        <v>1076</v>
      </c>
      <c r="Y56" s="280" t="s">
        <v>206</v>
      </c>
      <c r="Z56" s="281"/>
      <c r="AA56" s="288">
        <v>0.7</v>
      </c>
      <c r="AB56" s="281" t="s">
        <v>207</v>
      </c>
      <c r="AC56" s="373" t="s">
        <v>1076</v>
      </c>
      <c r="AD56" s="40"/>
    </row>
    <row r="57" spans="1:37" x14ac:dyDescent="0.2">
      <c r="A57" s="280" t="s">
        <v>208</v>
      </c>
      <c r="B57" s="281"/>
      <c r="C57" s="288">
        <f>30/3.6</f>
        <v>8.3333333333333339</v>
      </c>
      <c r="D57" s="281" t="s">
        <v>207</v>
      </c>
      <c r="E57" s="373"/>
      <c r="F57" s="244" t="s">
        <v>179</v>
      </c>
      <c r="G57" s="280" t="s">
        <v>208</v>
      </c>
      <c r="H57" s="281"/>
      <c r="I57" s="288">
        <f>123/350</f>
        <v>0.35142857142857142</v>
      </c>
      <c r="J57" s="281" t="s">
        <v>207</v>
      </c>
      <c r="K57" s="373"/>
      <c r="M57" s="280" t="s">
        <v>208</v>
      </c>
      <c r="N57" s="281"/>
      <c r="O57" s="288">
        <v>0</v>
      </c>
      <c r="P57" s="281" t="s">
        <v>207</v>
      </c>
      <c r="Q57" s="373"/>
      <c r="S57" s="280" t="s">
        <v>208</v>
      </c>
      <c r="T57" s="281"/>
      <c r="U57" s="288">
        <f>30/3.6</f>
        <v>8.3333333333333339</v>
      </c>
      <c r="V57" s="281" t="s">
        <v>207</v>
      </c>
      <c r="W57" s="373"/>
      <c r="Y57" s="280" t="s">
        <v>208</v>
      </c>
      <c r="Z57" s="281"/>
      <c r="AA57" s="288">
        <f>30/3.6</f>
        <v>8.3333333333333339</v>
      </c>
      <c r="AB57" s="281" t="s">
        <v>207</v>
      </c>
      <c r="AC57" s="373"/>
      <c r="AD57" s="40"/>
    </row>
    <row r="58" spans="1:37" s="1" customFormat="1" x14ac:dyDescent="0.2">
      <c r="A58" s="277" t="s">
        <v>209</v>
      </c>
      <c r="B58" s="278"/>
      <c r="C58" s="278"/>
      <c r="D58" s="278"/>
      <c r="E58" s="279"/>
      <c r="G58" s="277" t="s">
        <v>209</v>
      </c>
      <c r="H58" s="278"/>
      <c r="I58" s="278"/>
      <c r="J58" s="278"/>
      <c r="K58" s="279"/>
      <c r="M58" s="277" t="s">
        <v>209</v>
      </c>
      <c r="N58" s="278"/>
      <c r="O58" s="278"/>
      <c r="P58" s="278"/>
      <c r="Q58" s="279"/>
      <c r="S58" s="277" t="s">
        <v>209</v>
      </c>
      <c r="T58" s="278"/>
      <c r="U58" s="278"/>
      <c r="V58" s="278"/>
      <c r="W58" s="279"/>
      <c r="Y58" s="277" t="s">
        <v>209</v>
      </c>
      <c r="Z58" s="278"/>
      <c r="AA58" s="278"/>
      <c r="AB58" s="278"/>
      <c r="AC58" s="279"/>
      <c r="AD58" s="99"/>
      <c r="AE58" s="18"/>
      <c r="AF58" s="18"/>
      <c r="AG58" s="18"/>
      <c r="AH58" s="18"/>
      <c r="AI58" s="18"/>
      <c r="AJ58" s="18"/>
      <c r="AK58" s="18"/>
    </row>
    <row r="59" spans="1:37" x14ac:dyDescent="0.2">
      <c r="A59" s="280" t="s">
        <v>210</v>
      </c>
      <c r="B59" s="281"/>
      <c r="C59" s="281">
        <v>2.0000000000000001E-4</v>
      </c>
      <c r="D59" s="281" t="s">
        <v>2</v>
      </c>
      <c r="E59" s="282" t="s">
        <v>211</v>
      </c>
      <c r="F59" s="244" t="s">
        <v>179</v>
      </c>
      <c r="G59" s="280" t="s">
        <v>210</v>
      </c>
      <c r="H59" s="281"/>
      <c r="I59" s="281">
        <v>2.0000000000000002E-5</v>
      </c>
      <c r="J59" s="281" t="s">
        <v>2</v>
      </c>
      <c r="K59" s="324" t="s">
        <v>283</v>
      </c>
      <c r="L59" t="s">
        <v>87</v>
      </c>
      <c r="M59" s="280" t="s">
        <v>210</v>
      </c>
      <c r="N59" s="281"/>
      <c r="O59" s="281">
        <v>2E-3</v>
      </c>
      <c r="P59" s="281" t="s">
        <v>2</v>
      </c>
      <c r="Q59" s="373" t="s">
        <v>1164</v>
      </c>
      <c r="R59" t="s">
        <v>87</v>
      </c>
      <c r="S59" s="280" t="s">
        <v>210</v>
      </c>
      <c r="T59" s="281"/>
      <c r="U59" s="281">
        <v>2.0000000000000001E-4</v>
      </c>
      <c r="V59" s="281" t="s">
        <v>2</v>
      </c>
      <c r="W59" s="282" t="s">
        <v>211</v>
      </c>
      <c r="X59" t="s">
        <v>87</v>
      </c>
      <c r="Y59" s="280" t="s">
        <v>210</v>
      </c>
      <c r="Z59" s="281"/>
      <c r="AA59" s="281">
        <v>2.0000000000000001E-4</v>
      </c>
      <c r="AB59" s="281" t="s">
        <v>2</v>
      </c>
      <c r="AC59" s="282" t="s">
        <v>211</v>
      </c>
      <c r="AD59" s="40" t="s">
        <v>87</v>
      </c>
    </row>
    <row r="60" spans="1:37" s="1" customFormat="1" x14ac:dyDescent="0.2">
      <c r="A60" s="277" t="s">
        <v>212</v>
      </c>
      <c r="B60" s="278"/>
      <c r="C60" s="278"/>
      <c r="D60" s="278"/>
      <c r="E60" s="279"/>
      <c r="G60" s="277" t="s">
        <v>212</v>
      </c>
      <c r="H60" s="278"/>
      <c r="I60" s="278"/>
      <c r="J60" s="278"/>
      <c r="K60" s="279"/>
      <c r="M60" s="277" t="s">
        <v>212</v>
      </c>
      <c r="N60" s="278"/>
      <c r="O60" s="278"/>
      <c r="P60" s="278"/>
      <c r="Q60" s="279"/>
      <c r="S60" s="277" t="s">
        <v>212</v>
      </c>
      <c r="T60" s="278"/>
      <c r="U60" s="278"/>
      <c r="V60" s="278"/>
      <c r="W60" s="279"/>
      <c r="Y60" s="277" t="s">
        <v>212</v>
      </c>
      <c r="Z60" s="278"/>
      <c r="AA60" s="278"/>
      <c r="AB60" s="278"/>
      <c r="AC60" s="279"/>
      <c r="AD60" s="18"/>
      <c r="AE60" s="18"/>
      <c r="AF60" s="18"/>
      <c r="AG60" s="18"/>
      <c r="AH60" s="18"/>
      <c r="AI60" s="18"/>
      <c r="AJ60" s="18"/>
      <c r="AK60" s="18"/>
    </row>
    <row r="61" spans="1:37" ht="13.5" thickBot="1" x14ac:dyDescent="0.25">
      <c r="A61" s="289" t="s">
        <v>213</v>
      </c>
      <c r="B61" s="290"/>
      <c r="C61" s="291">
        <v>0.5</v>
      </c>
      <c r="D61" s="290" t="s">
        <v>2</v>
      </c>
      <c r="E61" s="292" t="s">
        <v>214</v>
      </c>
      <c r="F61" s="244" t="s">
        <v>179</v>
      </c>
      <c r="G61" s="289" t="s">
        <v>213</v>
      </c>
      <c r="H61" s="290"/>
      <c r="I61" s="291">
        <v>0.5</v>
      </c>
      <c r="J61" s="290" t="s">
        <v>2</v>
      </c>
      <c r="K61" s="292" t="s">
        <v>214</v>
      </c>
      <c r="M61" s="289" t="s">
        <v>213</v>
      </c>
      <c r="N61" s="290"/>
      <c r="O61" s="291">
        <v>0.5</v>
      </c>
      <c r="P61" s="290" t="s">
        <v>2</v>
      </c>
      <c r="Q61" s="292" t="s">
        <v>214</v>
      </c>
      <c r="S61" s="289" t="s">
        <v>213</v>
      </c>
      <c r="T61" s="290"/>
      <c r="U61" s="291">
        <v>0.5</v>
      </c>
      <c r="V61" s="290" t="s">
        <v>2</v>
      </c>
      <c r="W61" s="292" t="s">
        <v>214</v>
      </c>
      <c r="Y61" s="289" t="s">
        <v>213</v>
      </c>
      <c r="Z61" s="290"/>
      <c r="AA61" s="291">
        <v>0.5</v>
      </c>
      <c r="AB61" s="290" t="s">
        <v>2</v>
      </c>
      <c r="AC61" s="292" t="s">
        <v>214</v>
      </c>
    </row>
    <row r="65" spans="1:41" x14ac:dyDescent="0.2">
      <c r="Y65" s="244"/>
      <c r="Z65" s="244"/>
    </row>
    <row r="66" spans="1:41" x14ac:dyDescent="0.2">
      <c r="Y66" s="244"/>
      <c r="Z66" s="244"/>
    </row>
    <row r="67" spans="1:41" x14ac:dyDescent="0.2">
      <c r="Y67" s="244"/>
      <c r="Z67" s="244"/>
    </row>
    <row r="68" spans="1:41" s="293" customFormat="1" x14ac:dyDescent="0.2">
      <c r="A68" s="17"/>
      <c r="B68" s="17"/>
    </row>
    <row r="69" spans="1:41" s="293" customFormat="1" x14ac:dyDescent="0.2">
      <c r="A69" s="17" t="s">
        <v>708</v>
      </c>
      <c r="U69" s="197" t="s">
        <v>550</v>
      </c>
      <c r="V69" s="198" t="s">
        <v>551</v>
      </c>
      <c r="W69" s="198" t="s">
        <v>550</v>
      </c>
      <c r="X69" s="198" t="s">
        <v>551</v>
      </c>
      <c r="Y69" s="199" t="s">
        <v>552</v>
      </c>
      <c r="Z69" s="294"/>
      <c r="AA69" s="295"/>
      <c r="AB69" s="17" t="s">
        <v>105</v>
      </c>
      <c r="AC69" s="17"/>
      <c r="AD69" s="148" t="s">
        <v>549</v>
      </c>
      <c r="AE69" s="149"/>
      <c r="AF69" s="149"/>
      <c r="AG69" s="149" t="s">
        <v>548</v>
      </c>
      <c r="AH69" s="149"/>
      <c r="AI69" s="149"/>
      <c r="AJ69" s="149" t="s">
        <v>547</v>
      </c>
      <c r="AK69" s="149"/>
      <c r="AL69" s="149"/>
      <c r="AM69" s="296" t="s">
        <v>553</v>
      </c>
      <c r="AN69" s="294"/>
      <c r="AO69" s="295"/>
    </row>
    <row r="70" spans="1:41" s="139" customFormat="1" ht="15" customHeight="1" x14ac:dyDescent="0.2">
      <c r="A70" s="57" t="s">
        <v>58</v>
      </c>
      <c r="B70" s="55" t="s">
        <v>289</v>
      </c>
      <c r="C70" s="56" t="s">
        <v>100</v>
      </c>
      <c r="D70" s="56" t="s">
        <v>11</v>
      </c>
      <c r="E70" s="63" t="s">
        <v>291</v>
      </c>
      <c r="F70" s="63"/>
      <c r="G70" s="66" t="s">
        <v>292</v>
      </c>
      <c r="H70" s="66" t="s">
        <v>8</v>
      </c>
      <c r="I70" s="66" t="s">
        <v>217</v>
      </c>
      <c r="J70" s="66" t="s">
        <v>11</v>
      </c>
      <c r="K70" s="66" t="s">
        <v>291</v>
      </c>
      <c r="L70" s="63"/>
      <c r="M70" s="67" t="s">
        <v>293</v>
      </c>
      <c r="N70" s="67" t="s">
        <v>8</v>
      </c>
      <c r="O70" s="67" t="s">
        <v>217</v>
      </c>
      <c r="P70" s="67" t="s">
        <v>11</v>
      </c>
      <c r="Q70" s="67" t="s">
        <v>291</v>
      </c>
      <c r="R70" s="67"/>
      <c r="S70" s="63"/>
      <c r="T70" s="297" t="s">
        <v>275</v>
      </c>
      <c r="U70" s="126" t="s">
        <v>530</v>
      </c>
      <c r="V70" s="114" t="s">
        <v>531</v>
      </c>
      <c r="W70" s="114" t="s">
        <v>532</v>
      </c>
      <c r="X70" s="114" t="s">
        <v>533</v>
      </c>
      <c r="Y70" s="114" t="s">
        <v>534</v>
      </c>
      <c r="Z70" s="114" t="s">
        <v>535</v>
      </c>
      <c r="AA70" s="131" t="s">
        <v>536</v>
      </c>
      <c r="AB70" s="22" t="s">
        <v>545</v>
      </c>
      <c r="AC70" s="23" t="s">
        <v>546</v>
      </c>
      <c r="AD70" s="148" t="s">
        <v>31</v>
      </c>
      <c r="AE70" s="149" t="s">
        <v>32</v>
      </c>
      <c r="AF70" s="150" t="s">
        <v>33</v>
      </c>
      <c r="AG70" s="148" t="s">
        <v>31</v>
      </c>
      <c r="AH70" s="149" t="s">
        <v>32</v>
      </c>
      <c r="AI70" s="150" t="s">
        <v>33</v>
      </c>
      <c r="AJ70" s="148" t="s">
        <v>31</v>
      </c>
      <c r="AK70" s="149" t="s">
        <v>32</v>
      </c>
      <c r="AL70" s="149" t="s">
        <v>33</v>
      </c>
      <c r="AM70" s="298"/>
      <c r="AN70" s="136"/>
      <c r="AO70" s="299"/>
    </row>
    <row r="71" spans="1:41" s="51" customFormat="1" ht="15" customHeight="1" x14ac:dyDescent="0.2">
      <c r="A71" s="68" t="str">
        <f>'36. Generic chemical products'!A5</f>
        <v>Detergent, average (Ultravon EL)</v>
      </c>
      <c r="B71" s="68" t="str">
        <f>'36. Generic chemical products'!B5</f>
        <v>Polyacrylic acid, sodium salt</v>
      </c>
      <c r="C71" s="68">
        <f>'36. Generic chemical products'!C5</f>
        <v>0.1</v>
      </c>
      <c r="D71" s="68" t="str">
        <f>'36. Generic chemical products'!D5</f>
        <v>kg</v>
      </c>
      <c r="E71" s="68" t="str">
        <f>'36. Generic chemical products'!E5</f>
        <v>MSDS</v>
      </c>
      <c r="F71" s="68">
        <f>'36. Generic chemical products'!F5</f>
        <v>0</v>
      </c>
      <c r="G71" s="68" t="str">
        <f>'36. Generic chemical products'!G5</f>
        <v>-</v>
      </c>
      <c r="H71" s="68">
        <f>'36. Generic chemical products'!H5</f>
        <v>0</v>
      </c>
      <c r="I71" s="68">
        <f>'36. Generic chemical products'!I5</f>
        <v>0</v>
      </c>
      <c r="J71" s="68">
        <f>'36. Generic chemical products'!J5</f>
        <v>0</v>
      </c>
      <c r="K71" s="68">
        <f>'36. Generic chemical products'!K5</f>
        <v>0</v>
      </c>
      <c r="L71" s="68">
        <f>'36. Generic chemical products'!L5</f>
        <v>0</v>
      </c>
      <c r="M71" s="68" t="str">
        <f>'36. Generic chemical products'!M5</f>
        <v>Polyacrylic acid, sodium salt</v>
      </c>
      <c r="N71" s="68" t="str">
        <f>'36. Generic chemical products'!N5</f>
        <v>river</v>
      </c>
      <c r="O71" s="68">
        <f>'36. Generic chemical products'!O5</f>
        <v>9.9000000000000008E-3</v>
      </c>
      <c r="P71" s="68" t="str">
        <f>'36. Generic chemical products'!P5</f>
        <v>kg</v>
      </c>
      <c r="Q71" s="68" t="str">
        <f>'36. Generic chemical products'!Q5</f>
        <v>1% of polymer content remains as monomers from the production process.</v>
      </c>
      <c r="R71" s="68">
        <f>'36. Generic chemical products'!R5</f>
        <v>0</v>
      </c>
      <c r="S71" s="68">
        <f>'36. Generic chemical products'!S5</f>
        <v>0</v>
      </c>
      <c r="T71" s="68" t="str">
        <f>'36. Generic chemical products'!T5</f>
        <v>9003-04-7</v>
      </c>
      <c r="U71" s="68">
        <f>'36. Generic chemical products'!U5</f>
        <v>0</v>
      </c>
      <c r="V71" s="68">
        <f>'36. Generic chemical products'!V5</f>
        <v>0</v>
      </c>
      <c r="W71" s="68">
        <f>'36. Generic chemical products'!W5</f>
        <v>0</v>
      </c>
      <c r="X71" s="68">
        <f>'36. Generic chemical products'!X5</f>
        <v>0</v>
      </c>
      <c r="Y71" s="68">
        <f>'36. Generic chemical products'!Y5</f>
        <v>7.06</v>
      </c>
      <c r="Z71" s="68">
        <f>'36. Generic chemical products'!Z5</f>
        <v>78.599999999999994</v>
      </c>
      <c r="AA71" s="68" t="str">
        <f>'36. Generic chemical products'!AA5</f>
        <v>COSMEDE</v>
      </c>
      <c r="AB71" s="300">
        <f t="shared" ref="AB71:AB76" si="0">$C$23*I71</f>
        <v>0</v>
      </c>
      <c r="AC71" s="301">
        <f t="shared" ref="AC71:AC76" si="1">$C$39*O71</f>
        <v>1.4850000000000004E-3</v>
      </c>
      <c r="AD71" s="302">
        <f t="shared" ref="AD71:AD108" si="2">AB71*U71+AC71*W71</f>
        <v>0</v>
      </c>
      <c r="AE71" s="302">
        <f t="shared" ref="AE71:AE108" si="3">AB71*V71+AC71*X71</f>
        <v>0</v>
      </c>
      <c r="AF71" s="303">
        <f t="shared" ref="AF71:AF108" si="4">AB71*Y71+AC71*Z71</f>
        <v>0.11672100000000002</v>
      </c>
      <c r="AG71" s="303">
        <f t="shared" ref="AG71:AG108" si="5">AB71*U71</f>
        <v>0</v>
      </c>
      <c r="AH71" s="303">
        <f t="shared" ref="AH71:AH108" si="6">AB71*V71</f>
        <v>0</v>
      </c>
      <c r="AI71" s="303">
        <f t="shared" ref="AI71:AI108" si="7">AB71*Y71</f>
        <v>0</v>
      </c>
      <c r="AJ71" s="303">
        <f t="shared" ref="AJ71:AJ108" si="8">AC71*W71</f>
        <v>0</v>
      </c>
      <c r="AK71" s="303">
        <f t="shared" ref="AK71:AK108" si="9">AC71*X71</f>
        <v>0</v>
      </c>
      <c r="AL71" s="303">
        <f t="shared" ref="AL71:AL108" si="10">AC71*Z71</f>
        <v>0.11672100000000002</v>
      </c>
      <c r="AM71" s="304">
        <f t="shared" ref="AM71:AO108" si="11">AG71+AJ71</f>
        <v>0</v>
      </c>
      <c r="AN71" s="305">
        <f t="shared" si="11"/>
        <v>0</v>
      </c>
      <c r="AO71" s="306">
        <f t="shared" si="11"/>
        <v>0.11672100000000002</v>
      </c>
    </row>
    <row r="72" spans="1:41" s="51" customFormat="1" ht="15" customHeight="1" x14ac:dyDescent="0.2">
      <c r="A72" s="68" t="str">
        <f>'36. Generic chemical products'!A6</f>
        <v>Detergent, average (Ultravon EL)</v>
      </c>
      <c r="B72" s="68" t="str">
        <f>'36. Generic chemical products'!B6</f>
        <v>Oxirane, methyl-, polymer with oxirane, decyl ether</v>
      </c>
      <c r="C72" s="68">
        <f>'36. Generic chemical products'!C6</f>
        <v>0.25</v>
      </c>
      <c r="D72" s="68" t="str">
        <f>'36. Generic chemical products'!D6</f>
        <v>kg</v>
      </c>
      <c r="E72" s="68" t="str">
        <f>'36. Generic chemical products'!E6</f>
        <v>MSDS</v>
      </c>
      <c r="F72" s="68">
        <f>'36. Generic chemical products'!F6</f>
        <v>0</v>
      </c>
      <c r="G72" s="68" t="str">
        <f>'36. Generic chemical products'!G6</f>
        <v>-</v>
      </c>
      <c r="H72" s="68">
        <f>'36. Generic chemical products'!H6</f>
        <v>0</v>
      </c>
      <c r="I72" s="68">
        <f>'36. Generic chemical products'!I6</f>
        <v>0</v>
      </c>
      <c r="J72" s="68">
        <f>'36. Generic chemical products'!J6</f>
        <v>0</v>
      </c>
      <c r="K72" s="68">
        <f>'36. Generic chemical products'!K6</f>
        <v>0</v>
      </c>
      <c r="L72" s="68">
        <f>'36. Generic chemical products'!L6</f>
        <v>0</v>
      </c>
      <c r="M72" s="68" t="str">
        <f>'36. Generic chemical products'!M6</f>
        <v>Oxirane, methyl-, polymer with oxirane, decyl ether</v>
      </c>
      <c r="N72" s="68" t="str">
        <f>'36. Generic chemical products'!N6</f>
        <v>river</v>
      </c>
      <c r="O72" s="68">
        <f>'36. Generic chemical products'!O6</f>
        <v>2.5000000000000001E-2</v>
      </c>
      <c r="P72" s="68" t="str">
        <f>'36. Generic chemical products'!P6</f>
        <v>kg</v>
      </c>
      <c r="Q72" s="68">
        <f>'36. Generic chemical products'!Q6</f>
        <v>0</v>
      </c>
      <c r="R72" s="68">
        <f>'36. Generic chemical products'!R6</f>
        <v>0</v>
      </c>
      <c r="S72" s="68">
        <f>'36. Generic chemical products'!S6</f>
        <v>0</v>
      </c>
      <c r="T72" s="68" t="str">
        <f>'36. Generic chemical products'!T6</f>
        <v>37251-67-5</v>
      </c>
      <c r="U72" s="68">
        <f>'36. Generic chemical products'!U6</f>
        <v>0</v>
      </c>
      <c r="V72" s="68">
        <f>'36. Generic chemical products'!V6</f>
        <v>1.2009414857886904E-7</v>
      </c>
      <c r="W72" s="68">
        <f>'36. Generic chemical products'!W6</f>
        <v>0</v>
      </c>
      <c r="X72" s="68">
        <f>'36. Generic chemical products'!X6</f>
        <v>3.2843909509658706E-7</v>
      </c>
      <c r="Y72" s="68">
        <f>'36. Generic chemical products'!Y6</f>
        <v>14.526941022240393</v>
      </c>
      <c r="Z72" s="68">
        <f>'36. Generic chemical products'!Z6</f>
        <v>111.251141519207</v>
      </c>
      <c r="AA72" s="68" t="str">
        <f>'36. Generic chemical products'!AA6</f>
        <v>Roos 2017</v>
      </c>
      <c r="AB72" s="300">
        <f t="shared" si="0"/>
        <v>0</v>
      </c>
      <c r="AC72" s="301">
        <f t="shared" si="1"/>
        <v>3.7500000000000007E-3</v>
      </c>
      <c r="AD72" s="302">
        <f t="shared" si="2"/>
        <v>0</v>
      </c>
      <c r="AE72" s="302">
        <f t="shared" si="3"/>
        <v>1.2316466066122017E-9</v>
      </c>
      <c r="AF72" s="303">
        <f t="shared" si="4"/>
        <v>0.41719178069702634</v>
      </c>
      <c r="AG72" s="303">
        <f t="shared" si="5"/>
        <v>0</v>
      </c>
      <c r="AH72" s="303">
        <f t="shared" si="6"/>
        <v>0</v>
      </c>
      <c r="AI72" s="303">
        <f t="shared" si="7"/>
        <v>0</v>
      </c>
      <c r="AJ72" s="303">
        <f t="shared" si="8"/>
        <v>0</v>
      </c>
      <c r="AK72" s="303">
        <f t="shared" si="9"/>
        <v>1.2316466066122017E-9</v>
      </c>
      <c r="AL72" s="303">
        <f t="shared" si="10"/>
        <v>0.41719178069702634</v>
      </c>
      <c r="AM72" s="304">
        <f t="shared" si="11"/>
        <v>0</v>
      </c>
      <c r="AN72" s="305">
        <f t="shared" si="11"/>
        <v>1.2316466066122017E-9</v>
      </c>
      <c r="AO72" s="306">
        <f t="shared" si="11"/>
        <v>0.41719178069702634</v>
      </c>
    </row>
    <row r="73" spans="1:41" s="51" customFormat="1" ht="15" customHeight="1" x14ac:dyDescent="0.2">
      <c r="A73" s="68" t="str">
        <f>'36. Generic chemical products'!A7</f>
        <v>Detergent, average (Ultravon EL)</v>
      </c>
      <c r="B73" s="68" t="str">
        <f>'36. Generic chemical products'!B7</f>
        <v>Ethoxylated fatty alcohol (&gt;6 EO)</v>
      </c>
      <c r="C73" s="68">
        <f>'36. Generic chemical products'!C7</f>
        <v>0.1</v>
      </c>
      <c r="D73" s="68" t="str">
        <f>'36. Generic chemical products'!D7</f>
        <v>kg</v>
      </c>
      <c r="E73" s="68" t="str">
        <f>'36. Generic chemical products'!E7</f>
        <v>MSDS</v>
      </c>
      <c r="F73" s="68">
        <f>'36. Generic chemical products'!F7</f>
        <v>0</v>
      </c>
      <c r="G73" s="68" t="str">
        <f>'36. Generic chemical products'!G7</f>
        <v>-</v>
      </c>
      <c r="H73" s="68">
        <f>'36. Generic chemical products'!H7</f>
        <v>0</v>
      </c>
      <c r="I73" s="68">
        <f>'36. Generic chemical products'!I7</f>
        <v>0</v>
      </c>
      <c r="J73" s="68">
        <f>'36. Generic chemical products'!J7</f>
        <v>0</v>
      </c>
      <c r="K73" s="68">
        <f>'36. Generic chemical products'!K7</f>
        <v>0</v>
      </c>
      <c r="L73" s="68">
        <f>'36. Generic chemical products'!L7</f>
        <v>0</v>
      </c>
      <c r="M73" s="68" t="str">
        <f>'36. Generic chemical products'!M7</f>
        <v>Alcohols, c12-14, ethoxylated</v>
      </c>
      <c r="N73" s="68" t="str">
        <f>'36. Generic chemical products'!N7</f>
        <v>river</v>
      </c>
      <c r="O73" s="68">
        <f>'36. Generic chemical products'!O7</f>
        <v>1.0000000000000002E-2</v>
      </c>
      <c r="P73" s="68" t="str">
        <f>'36. Generic chemical products'!P7</f>
        <v>kg</v>
      </c>
      <c r="Q73" s="68">
        <f>'36. Generic chemical products'!Q7</f>
        <v>0</v>
      </c>
      <c r="R73" s="68">
        <f>'36. Generic chemical products'!R7</f>
        <v>0</v>
      </c>
      <c r="S73" s="68">
        <f>'36. Generic chemical products'!S7</f>
        <v>0</v>
      </c>
      <c r="T73" s="68" t="str">
        <f>'36. Generic chemical products'!T7</f>
        <v>69011-36-5</v>
      </c>
      <c r="U73" s="68">
        <f>'36. Generic chemical products'!U7</f>
        <v>0</v>
      </c>
      <c r="V73" s="68">
        <f>'36. Generic chemical products'!V7</f>
        <v>0</v>
      </c>
      <c r="W73" s="68">
        <f>'36. Generic chemical products'!W7</f>
        <v>0</v>
      </c>
      <c r="X73" s="68">
        <f>'36. Generic chemical products'!X7</f>
        <v>0</v>
      </c>
      <c r="Y73" s="68">
        <f>'36. Generic chemical products'!Y7</f>
        <v>47</v>
      </c>
      <c r="Z73" s="68">
        <f>'36. Generic chemical products'!Z7</f>
        <v>913</v>
      </c>
      <c r="AA73" s="68" t="str">
        <f>'36. Generic chemical products'!AA7</f>
        <v>COSMEDE</v>
      </c>
      <c r="AB73" s="300">
        <f t="shared" si="0"/>
        <v>0</v>
      </c>
      <c r="AC73" s="301">
        <f t="shared" si="1"/>
        <v>1.5000000000000005E-3</v>
      </c>
      <c r="AD73" s="302">
        <f t="shared" si="2"/>
        <v>0</v>
      </c>
      <c r="AE73" s="302">
        <f t="shared" si="3"/>
        <v>0</v>
      </c>
      <c r="AF73" s="303">
        <f t="shared" si="4"/>
        <v>1.3695000000000004</v>
      </c>
      <c r="AG73" s="303">
        <f t="shared" si="5"/>
        <v>0</v>
      </c>
      <c r="AH73" s="303">
        <f t="shared" si="6"/>
        <v>0</v>
      </c>
      <c r="AI73" s="303">
        <f t="shared" si="7"/>
        <v>0</v>
      </c>
      <c r="AJ73" s="303">
        <f t="shared" si="8"/>
        <v>0</v>
      </c>
      <c r="AK73" s="303">
        <f t="shared" si="9"/>
        <v>0</v>
      </c>
      <c r="AL73" s="303">
        <f t="shared" si="10"/>
        <v>1.3695000000000004</v>
      </c>
      <c r="AM73" s="304">
        <f t="shared" si="11"/>
        <v>0</v>
      </c>
      <c r="AN73" s="305">
        <f t="shared" si="11"/>
        <v>0</v>
      </c>
      <c r="AO73" s="306">
        <f t="shared" si="11"/>
        <v>1.3695000000000004</v>
      </c>
    </row>
    <row r="74" spans="1:41" s="51" customFormat="1" ht="15" customHeight="1" x14ac:dyDescent="0.2">
      <c r="A74" s="68" t="str">
        <f>'36. Generic chemical products'!A8</f>
        <v>Detergent, average (Ultravon EL)</v>
      </c>
      <c r="B74" s="68" t="str">
        <f>'36. Generic chemical products'!B8</f>
        <v>Sodium mono(2-ethylhexyl)estersulfate</v>
      </c>
      <c r="C74" s="68">
        <f>'36. Generic chemical products'!C8</f>
        <v>0.05</v>
      </c>
      <c r="D74" s="68" t="str">
        <f>'36. Generic chemical products'!D8</f>
        <v>kg</v>
      </c>
      <c r="E74" s="68" t="str">
        <f>'36. Generic chemical products'!E8</f>
        <v>MSDS</v>
      </c>
      <c r="F74" s="68">
        <f>'36. Generic chemical products'!F8</f>
        <v>0</v>
      </c>
      <c r="G74" s="68" t="str">
        <f>'36. Generic chemical products'!G8</f>
        <v>-</v>
      </c>
      <c r="H74" s="68">
        <f>'36. Generic chemical products'!H8</f>
        <v>0</v>
      </c>
      <c r="I74" s="68">
        <f>'36. Generic chemical products'!I8</f>
        <v>0</v>
      </c>
      <c r="J74" s="68">
        <f>'36. Generic chemical products'!J8</f>
        <v>0</v>
      </c>
      <c r="K74" s="68">
        <f>'36. Generic chemical products'!K8</f>
        <v>0</v>
      </c>
      <c r="L74" s="68">
        <f>'36. Generic chemical products'!L8</f>
        <v>0</v>
      </c>
      <c r="M74" s="68" t="str">
        <f>'36. Generic chemical products'!M8</f>
        <v>Sodium mono(2-ethylhexyl)estersulfate</v>
      </c>
      <c r="N74" s="68" t="str">
        <f>'36. Generic chemical products'!N8</f>
        <v>river</v>
      </c>
      <c r="O74" s="68">
        <f>'36. Generic chemical products'!O8</f>
        <v>5.000000000000001E-3</v>
      </c>
      <c r="P74" s="68" t="str">
        <f>'36. Generic chemical products'!P8</f>
        <v>kg</v>
      </c>
      <c r="Q74" s="68">
        <f>'36. Generic chemical products'!Q8</f>
        <v>0</v>
      </c>
      <c r="R74" s="68">
        <f>'36. Generic chemical products'!R8</f>
        <v>0</v>
      </c>
      <c r="S74" s="68">
        <f>'36. Generic chemical products'!S8</f>
        <v>0</v>
      </c>
      <c r="T74" s="68" t="str">
        <f>'36. Generic chemical products'!T8</f>
        <v>126-92-1</v>
      </c>
      <c r="U74" s="68">
        <f>'36. Generic chemical products'!U8</f>
        <v>0</v>
      </c>
      <c r="V74" s="68">
        <f>'36. Generic chemical products'!V8</f>
        <v>0</v>
      </c>
      <c r="W74" s="68">
        <f>'36. Generic chemical products'!W8</f>
        <v>0</v>
      </c>
      <c r="X74" s="68">
        <f>'36. Generic chemical products'!X8</f>
        <v>0</v>
      </c>
      <c r="Y74" s="68">
        <f>'36. Generic chemical products'!Y8</f>
        <v>109.72</v>
      </c>
      <c r="Z74" s="68">
        <f>'36. Generic chemical products'!Z8</f>
        <v>110</v>
      </c>
      <c r="AA74" s="68" t="str">
        <f>'36. Generic chemical products'!AA8</f>
        <v>COSMEDE</v>
      </c>
      <c r="AB74" s="300">
        <f t="shared" si="0"/>
        <v>0</v>
      </c>
      <c r="AC74" s="301">
        <f t="shared" si="1"/>
        <v>7.5000000000000023E-4</v>
      </c>
      <c r="AD74" s="302">
        <f t="shared" si="2"/>
        <v>0</v>
      </c>
      <c r="AE74" s="302">
        <f t="shared" si="3"/>
        <v>0</v>
      </c>
      <c r="AF74" s="303">
        <f t="shared" si="4"/>
        <v>8.2500000000000032E-2</v>
      </c>
      <c r="AG74" s="303">
        <f t="shared" si="5"/>
        <v>0</v>
      </c>
      <c r="AH74" s="303">
        <f t="shared" si="6"/>
        <v>0</v>
      </c>
      <c r="AI74" s="303">
        <f t="shared" si="7"/>
        <v>0</v>
      </c>
      <c r="AJ74" s="303">
        <f t="shared" si="8"/>
        <v>0</v>
      </c>
      <c r="AK74" s="303">
        <f t="shared" si="9"/>
        <v>0</v>
      </c>
      <c r="AL74" s="303">
        <f t="shared" si="10"/>
        <v>8.2500000000000032E-2</v>
      </c>
      <c r="AM74" s="304">
        <f t="shared" si="11"/>
        <v>0</v>
      </c>
      <c r="AN74" s="305">
        <f t="shared" si="11"/>
        <v>0</v>
      </c>
      <c r="AO74" s="306">
        <f t="shared" si="11"/>
        <v>8.2500000000000032E-2</v>
      </c>
    </row>
    <row r="75" spans="1:41" s="51" customFormat="1" ht="15" customHeight="1" x14ac:dyDescent="0.2">
      <c r="A75" s="68" t="str">
        <f>'36. Generic chemical products'!A9</f>
        <v>Detergent, average (Ultravon EL)</v>
      </c>
      <c r="B75" s="68" t="str">
        <f>'36. Generic chemical products'!B9</f>
        <v>Ethylene oxide</v>
      </c>
      <c r="C75" s="68">
        <f>'36. Generic chemical products'!C9</f>
        <v>0</v>
      </c>
      <c r="D75" s="68">
        <f>'36. Generic chemical products'!D9</f>
        <v>0</v>
      </c>
      <c r="E75" s="68" t="str">
        <f>'36. Generic chemical products'!E9</f>
        <v>&lt;= 0.1% in alcohol ethoxylates</v>
      </c>
      <c r="F75" s="68">
        <f>'36. Generic chemical products'!F9</f>
        <v>0</v>
      </c>
      <c r="G75" s="68" t="str">
        <f>'36. Generic chemical products'!G9</f>
        <v>Ethylene oxide</v>
      </c>
      <c r="H75" s="68" t="str">
        <f>'36. Generic chemical products'!H9</f>
        <v>high. pop.</v>
      </c>
      <c r="I75" s="68">
        <f>'36. Generic chemical products'!I9</f>
        <v>1.0000000000000001E-7</v>
      </c>
      <c r="J75" s="68" t="str">
        <f>'36. Generic chemical products'!J9</f>
        <v>kg</v>
      </c>
      <c r="K75" s="68">
        <f>'36. Generic chemical products'!K9</f>
        <v>0</v>
      </c>
      <c r="L75" s="68">
        <f>'36. Generic chemical products'!L9</f>
        <v>0</v>
      </c>
      <c r="M75" s="68" t="str">
        <f>'36. Generic chemical products'!M9</f>
        <v>Ethylene oxide</v>
      </c>
      <c r="N75" s="68" t="str">
        <f>'36. Generic chemical products'!N9</f>
        <v>river</v>
      </c>
      <c r="O75" s="68">
        <f>'36. Generic chemical products'!O9</f>
        <v>1.0000000000000001E-5</v>
      </c>
      <c r="P75" s="68" t="str">
        <f>'36. Generic chemical products'!P9</f>
        <v>kg</v>
      </c>
      <c r="Q75" s="68" t="str">
        <f>'36. Generic chemical products'!Q9</f>
        <v>&lt;= 0.001 in alcohol ethoxylates</v>
      </c>
      <c r="R75" s="68">
        <f>'36. Generic chemical products'!R9</f>
        <v>0</v>
      </c>
      <c r="S75" s="68">
        <f>'36. Generic chemical products'!S9</f>
        <v>0</v>
      </c>
      <c r="T75" s="68" t="str">
        <f>'36. Generic chemical products'!T9</f>
        <v>75-21-8</v>
      </c>
      <c r="U75" s="68">
        <f>'36. Generic chemical products'!U9</f>
        <v>1.0252176328593382E-6</v>
      </c>
      <c r="V75" s="68">
        <f>'36. Generic chemical products'!V9</f>
        <v>0</v>
      </c>
      <c r="W75" s="68">
        <f>'36. Generic chemical products'!W9</f>
        <v>8.6533271568247147E-7</v>
      </c>
      <c r="X75" s="68">
        <f>'36. Generic chemical products'!X9</f>
        <v>0</v>
      </c>
      <c r="Y75" s="68">
        <f>'36. Generic chemical products'!Y9</f>
        <v>0.65406517859613422</v>
      </c>
      <c r="Z75" s="68">
        <f>'36. Generic chemical products'!Z9</f>
        <v>11.248588270889815</v>
      </c>
      <c r="AA75" s="68" t="str">
        <f>'36. Generic chemical products'!AA9</f>
        <v>USEtox</v>
      </c>
      <c r="AB75" s="300">
        <f t="shared" si="0"/>
        <v>1.5000000000000002E-8</v>
      </c>
      <c r="AC75" s="301">
        <f t="shared" si="1"/>
        <v>1.5000000000000002E-6</v>
      </c>
      <c r="AD75" s="302">
        <f t="shared" si="2"/>
        <v>1.3133773380165974E-12</v>
      </c>
      <c r="AE75" s="302">
        <f t="shared" si="3"/>
        <v>0</v>
      </c>
      <c r="AF75" s="303">
        <f t="shared" si="4"/>
        <v>1.6882693384013667E-5</v>
      </c>
      <c r="AG75" s="303">
        <f t="shared" si="5"/>
        <v>1.5378264492890075E-14</v>
      </c>
      <c r="AH75" s="303">
        <f t="shared" si="6"/>
        <v>0</v>
      </c>
      <c r="AI75" s="303">
        <f t="shared" si="7"/>
        <v>9.8109776789420153E-9</v>
      </c>
      <c r="AJ75" s="303">
        <f t="shared" si="8"/>
        <v>1.2979990735237074E-12</v>
      </c>
      <c r="AK75" s="303">
        <f t="shared" si="9"/>
        <v>0</v>
      </c>
      <c r="AL75" s="303">
        <f t="shared" si="10"/>
        <v>1.6872882406334725E-5</v>
      </c>
      <c r="AM75" s="304">
        <f t="shared" si="11"/>
        <v>1.3133773380165974E-12</v>
      </c>
      <c r="AN75" s="305">
        <f t="shared" si="11"/>
        <v>0</v>
      </c>
      <c r="AO75" s="306">
        <f t="shared" si="11"/>
        <v>1.6882693384013667E-5</v>
      </c>
    </row>
    <row r="76" spans="1:41" s="139" customFormat="1" ht="15" customHeight="1" x14ac:dyDescent="0.2">
      <c r="A76" s="193" t="str">
        <f>'36. Generic chemical products'!A10</f>
        <v>Detergent, average (Ultravon EL)</v>
      </c>
      <c r="B76" s="193" t="str">
        <f>'36. Generic chemical products'!B10</f>
        <v xml:space="preserve"> </v>
      </c>
      <c r="C76" s="193">
        <f>'36. Generic chemical products'!C10</f>
        <v>0</v>
      </c>
      <c r="D76" s="193">
        <f>'36. Generic chemical products'!D10</f>
        <v>0</v>
      </c>
      <c r="E76" s="193" t="str">
        <f>'36. Generic chemical products'!E10</f>
        <v>Common breakdown product of of acrylics, 0.001 % assumed</v>
      </c>
      <c r="F76" s="193">
        <f>'36. Generic chemical products'!F10</f>
        <v>0</v>
      </c>
      <c r="G76" s="193" t="str">
        <f>'36. Generic chemical products'!G10</f>
        <v>Formaldehyde</v>
      </c>
      <c r="H76" s="193" t="str">
        <f>'36. Generic chemical products'!H10</f>
        <v>high. pop.</v>
      </c>
      <c r="I76" s="193">
        <f>'36. Generic chemical products'!I10</f>
        <v>1.0000000000000001E-7</v>
      </c>
      <c r="J76" s="193" t="str">
        <f>'36. Generic chemical products'!J10</f>
        <v>kg</v>
      </c>
      <c r="K76" s="193">
        <f>'36. Generic chemical products'!K10</f>
        <v>0</v>
      </c>
      <c r="L76" s="193">
        <f>'36. Generic chemical products'!L10</f>
        <v>0</v>
      </c>
      <c r="M76" s="193" t="str">
        <f>'36. Generic chemical products'!M10</f>
        <v>Formaldehyde</v>
      </c>
      <c r="N76" s="193" t="str">
        <f>'36. Generic chemical products'!N10</f>
        <v>river</v>
      </c>
      <c r="O76" s="193">
        <f>'36. Generic chemical products'!O10</f>
        <v>1.0000000000000002E-6</v>
      </c>
      <c r="P76" s="193" t="str">
        <f>'36. Generic chemical products'!P10</f>
        <v>kg</v>
      </c>
      <c r="Q76" s="193" t="str">
        <f>'36. Generic chemical products'!Q10</f>
        <v xml:space="preserve">0.1 % of the content is degraded to common breakdown products. 90% of reactive chemicals are degraded during operations. </v>
      </c>
      <c r="R76" s="193">
        <f>'36. Generic chemical products'!R10</f>
        <v>0</v>
      </c>
      <c r="S76" s="193">
        <f>'36. Generic chemical products'!S10</f>
        <v>0</v>
      </c>
      <c r="T76" s="193" t="str">
        <f>'36. Generic chemical products'!T10</f>
        <v>50-00-0</v>
      </c>
      <c r="U76" s="193">
        <f>'36. Generic chemical products'!U10</f>
        <v>2.5208446330720887E-5</v>
      </c>
      <c r="V76" s="193">
        <f>'36. Generic chemical products'!V10</f>
        <v>2.6504960021309262E-7</v>
      </c>
      <c r="W76" s="193">
        <f>'36. Generic chemical products'!W10</f>
        <v>1.4222228897488039E-7</v>
      </c>
      <c r="X76" s="193">
        <f>'36. Generic chemical products'!X10</f>
        <v>3.170874313501273E-7</v>
      </c>
      <c r="Y76" s="193">
        <f>'36. Generic chemical products'!Y10</f>
        <v>17.989178582912412</v>
      </c>
      <c r="Z76" s="193">
        <f>'36. Generic chemical products'!Z10</f>
        <v>290.05086067463066</v>
      </c>
      <c r="AA76" s="193" t="str">
        <f>'36. Generic chemical products'!AA10</f>
        <v>USEtox</v>
      </c>
      <c r="AB76" s="307">
        <f t="shared" si="0"/>
        <v>1.5000000000000002E-8</v>
      </c>
      <c r="AC76" s="308">
        <f t="shared" si="1"/>
        <v>1.5000000000000005E-7</v>
      </c>
      <c r="AD76" s="309">
        <f t="shared" si="2"/>
        <v>3.9946003830704547E-13</v>
      </c>
      <c r="AE76" s="309">
        <f t="shared" si="3"/>
        <v>5.15388587057155E-14</v>
      </c>
      <c r="AF76" s="310">
        <f t="shared" si="4"/>
        <v>4.3777466779938294E-5</v>
      </c>
      <c r="AG76" s="310">
        <f t="shared" si="5"/>
        <v>3.7812669496081337E-13</v>
      </c>
      <c r="AH76" s="310">
        <f t="shared" si="6"/>
        <v>3.9757440031963897E-15</v>
      </c>
      <c r="AI76" s="310">
        <f t="shared" si="7"/>
        <v>2.6983767874368623E-7</v>
      </c>
      <c r="AJ76" s="310">
        <f t="shared" si="8"/>
        <v>2.1333343346232067E-14</v>
      </c>
      <c r="AK76" s="310">
        <f t="shared" si="9"/>
        <v>4.756311470251911E-14</v>
      </c>
      <c r="AL76" s="310">
        <f t="shared" si="10"/>
        <v>4.3507629101194609E-5</v>
      </c>
      <c r="AM76" s="311">
        <f t="shared" si="11"/>
        <v>3.9946003830704547E-13</v>
      </c>
      <c r="AN76" s="312">
        <f t="shared" si="11"/>
        <v>5.15388587057155E-14</v>
      </c>
      <c r="AO76" s="313">
        <f t="shared" si="11"/>
        <v>4.3777466779938294E-5</v>
      </c>
    </row>
    <row r="77" spans="1:41" s="195" customFormat="1" ht="15" customHeight="1" x14ac:dyDescent="0.2">
      <c r="A77" s="400" t="str">
        <f>'36. Generic chemical products'!A22</f>
        <v>Sequestering agent/complex binder, average (Invatex)</v>
      </c>
      <c r="B77" s="400" t="str">
        <f>'36. Generic chemical products'!B22</f>
        <v>Phosphonic acid, disodium salt</v>
      </c>
      <c r="C77" s="400">
        <f>'36. Generic chemical products'!C22</f>
        <v>0.3</v>
      </c>
      <c r="D77" s="400" t="str">
        <f>'36. Generic chemical products'!D22</f>
        <v>kg</v>
      </c>
      <c r="E77" s="400" t="str">
        <f>'36. Generic chemical products'!E22</f>
        <v>MSDS</v>
      </c>
      <c r="F77" s="400">
        <f>'36. Generic chemical products'!F22</f>
        <v>0</v>
      </c>
      <c r="G77" s="400" t="str">
        <f>'36. Generic chemical products'!G22</f>
        <v>Phosphonic acid</v>
      </c>
      <c r="H77" s="400" t="str">
        <f>'36. Generic chemical products'!H22</f>
        <v>high. pop.</v>
      </c>
      <c r="I77" s="400">
        <f>'36. Generic chemical products'!I22</f>
        <v>2.9999999999999997E-4</v>
      </c>
      <c r="J77" s="400">
        <f>'36. Generic chemical products'!J22</f>
        <v>0</v>
      </c>
      <c r="K77" s="400">
        <f>'36. Generic chemical products'!K22</f>
        <v>0</v>
      </c>
      <c r="L77" s="400">
        <f>'36. Generic chemical products'!L22</f>
        <v>0</v>
      </c>
      <c r="M77" s="400" t="str">
        <f>'36. Generic chemical products'!M22</f>
        <v>Phosphonic acid</v>
      </c>
      <c r="N77" s="400" t="str">
        <f>'36. Generic chemical products'!N22</f>
        <v>river</v>
      </c>
      <c r="O77" s="400">
        <f>'36. Generic chemical products'!O22</f>
        <v>0.03</v>
      </c>
      <c r="P77" s="400" t="str">
        <f>'36. Generic chemical products'!P22</f>
        <v>kg</v>
      </c>
      <c r="Q77" s="400">
        <f>'36. Generic chemical products'!Q22</f>
        <v>0</v>
      </c>
      <c r="R77" s="400">
        <f>'36. Generic chemical products'!R22</f>
        <v>0</v>
      </c>
      <c r="S77" s="400">
        <f>'36. Generic chemical products'!S22</f>
        <v>0</v>
      </c>
      <c r="T77" s="400" t="str">
        <f>'36. Generic chemical products'!T22</f>
        <v>13708-85-5</v>
      </c>
      <c r="U77" s="400">
        <f>'36. Generic chemical products'!U22</f>
        <v>0</v>
      </c>
      <c r="V77" s="400">
        <f>'36. Generic chemical products'!V22</f>
        <v>2.5624272316803493E-8</v>
      </c>
      <c r="W77" s="400">
        <f>'36. Generic chemical products'!W22</f>
        <v>0</v>
      </c>
      <c r="X77" s="400">
        <f>'36. Generic chemical products'!X22</f>
        <v>6.1179997974786175E-9</v>
      </c>
      <c r="Y77" s="400">
        <f>'36. Generic chemical products'!Y22</f>
        <v>95.727827940780713</v>
      </c>
      <c r="Z77" s="400">
        <f>'36. Generic chemical products'!Z22</f>
        <v>451.93033608164546</v>
      </c>
      <c r="AA77" s="400" t="str">
        <f>'36. Generic chemical products'!AA22</f>
        <v>Roos 2017</v>
      </c>
      <c r="AB77" s="327">
        <f>$C$24*I77</f>
        <v>1.1999999999999999E-5</v>
      </c>
      <c r="AC77" s="328">
        <f>$C$40*O77</f>
        <v>1.1999999999999999E-3</v>
      </c>
      <c r="AD77" s="329">
        <f t="shared" si="2"/>
        <v>0</v>
      </c>
      <c r="AE77" s="329">
        <f t="shared" si="3"/>
        <v>7.649091024775983E-12</v>
      </c>
      <c r="AF77" s="330">
        <f t="shared" si="4"/>
        <v>0.54346513723326384</v>
      </c>
      <c r="AG77" s="330">
        <f t="shared" si="5"/>
        <v>0</v>
      </c>
      <c r="AH77" s="330">
        <f t="shared" si="6"/>
        <v>3.0749126780164188E-13</v>
      </c>
      <c r="AI77" s="330">
        <f t="shared" si="7"/>
        <v>1.1487339352893684E-3</v>
      </c>
      <c r="AJ77" s="330">
        <f t="shared" si="8"/>
        <v>0</v>
      </c>
      <c r="AK77" s="330">
        <f t="shared" si="9"/>
        <v>7.341599756974341E-12</v>
      </c>
      <c r="AL77" s="330">
        <f t="shared" si="10"/>
        <v>0.54231640329797448</v>
      </c>
      <c r="AM77" s="331">
        <f t="shared" si="11"/>
        <v>0</v>
      </c>
      <c r="AN77" s="332">
        <f t="shared" si="11"/>
        <v>7.649091024775983E-12</v>
      </c>
      <c r="AO77" s="333">
        <f t="shared" si="11"/>
        <v>0.54346513723326384</v>
      </c>
    </row>
    <row r="78" spans="1:41" s="51" customFormat="1" ht="15" customHeight="1" x14ac:dyDescent="0.2">
      <c r="A78" s="68" t="str">
        <f>'36. Generic chemical products'!A27</f>
        <v>Antifoaming agent, average (3M Defoamer)</v>
      </c>
      <c r="B78" s="68" t="str">
        <f>'36. Generic chemical products'!B27</f>
        <v>Dimethyl siloxane, reaction product with silica</v>
      </c>
      <c r="C78" s="68">
        <f>'36. Generic chemical products'!C27</f>
        <v>0.05</v>
      </c>
      <c r="D78" s="68" t="str">
        <f>'36. Generic chemical products'!D27</f>
        <v>kg</v>
      </c>
      <c r="E78" s="68" t="str">
        <f>'36. Generic chemical products'!E27</f>
        <v>MSDS</v>
      </c>
      <c r="F78" s="68">
        <f>'36. Generic chemical products'!F27</f>
        <v>0</v>
      </c>
      <c r="G78" s="68" t="str">
        <f>'36. Generic chemical products'!G27</f>
        <v>-</v>
      </c>
      <c r="H78" s="68">
        <f>'36. Generic chemical products'!H27</f>
        <v>0</v>
      </c>
      <c r="I78" s="68">
        <f>'36. Generic chemical products'!I27</f>
        <v>0</v>
      </c>
      <c r="J78" s="68">
        <f>'36. Generic chemical products'!J27</f>
        <v>0</v>
      </c>
      <c r="K78" s="68">
        <f>'36. Generic chemical products'!K27</f>
        <v>0</v>
      </c>
      <c r="L78" s="68">
        <f>'36. Generic chemical products'!L27</f>
        <v>0</v>
      </c>
      <c r="M78" s="68" t="str">
        <f>'36. Generic chemical products'!M27</f>
        <v>Dimethyl siloxane, reaction product with silica</v>
      </c>
      <c r="N78" s="68" t="str">
        <f>'36. Generic chemical products'!N27</f>
        <v>river</v>
      </c>
      <c r="O78" s="68">
        <f>'36. Generic chemical products'!O27</f>
        <v>5.000000000000001E-3</v>
      </c>
      <c r="P78" s="68" t="str">
        <f>'36. Generic chemical products'!P27</f>
        <v>kg</v>
      </c>
      <c r="Q78" s="68">
        <f>'36. Generic chemical products'!Q27</f>
        <v>0</v>
      </c>
      <c r="R78" s="68">
        <f>'36. Generic chemical products'!R27</f>
        <v>0</v>
      </c>
      <c r="S78" s="68">
        <f>'36. Generic chemical products'!S27</f>
        <v>0</v>
      </c>
      <c r="T78" s="68" t="str">
        <f>'36. Generic chemical products'!T27</f>
        <v>67762-90-7</v>
      </c>
      <c r="U78" s="68">
        <f>'36. Generic chemical products'!U27</f>
        <v>0</v>
      </c>
      <c r="V78" s="68">
        <f>'36. Generic chemical products'!V27</f>
        <v>3.4962401965755862E-5</v>
      </c>
      <c r="W78" s="68">
        <f>'36. Generic chemical products'!W27</f>
        <v>0</v>
      </c>
      <c r="X78" s="68">
        <f>'36. Generic chemical products'!X27</f>
        <v>1.4442852689626513E-7</v>
      </c>
      <c r="Y78" s="68">
        <f>'36. Generic chemical products'!Y27</f>
        <v>1.7253896630384493</v>
      </c>
      <c r="Z78" s="68">
        <f>'36. Generic chemical products'!Z27</f>
        <v>5.4794308572283885</v>
      </c>
      <c r="AA78" s="68" t="str">
        <f>'36. Generic chemical products'!AA27</f>
        <v>Roos 2017</v>
      </c>
      <c r="AB78" s="300">
        <f>$C$25*I78</f>
        <v>0</v>
      </c>
      <c r="AC78" s="301">
        <f>$C$41*O78</f>
        <v>1.5E-5</v>
      </c>
      <c r="AD78" s="302">
        <f t="shared" si="2"/>
        <v>0</v>
      </c>
      <c r="AE78" s="302">
        <f t="shared" si="3"/>
        <v>2.1664279034439771E-12</v>
      </c>
      <c r="AF78" s="303">
        <f t="shared" si="4"/>
        <v>8.2191462858425835E-5</v>
      </c>
      <c r="AG78" s="303">
        <f t="shared" si="5"/>
        <v>0</v>
      </c>
      <c r="AH78" s="303">
        <f t="shared" si="6"/>
        <v>0</v>
      </c>
      <c r="AI78" s="303">
        <f t="shared" si="7"/>
        <v>0</v>
      </c>
      <c r="AJ78" s="303">
        <f t="shared" si="8"/>
        <v>0</v>
      </c>
      <c r="AK78" s="303">
        <f t="shared" si="9"/>
        <v>2.1664279034439771E-12</v>
      </c>
      <c r="AL78" s="303">
        <f t="shared" si="10"/>
        <v>8.2191462858425835E-5</v>
      </c>
      <c r="AM78" s="304">
        <f t="shared" si="11"/>
        <v>0</v>
      </c>
      <c r="AN78" s="305">
        <f t="shared" si="11"/>
        <v>2.1664279034439771E-12</v>
      </c>
      <c r="AO78" s="306">
        <f t="shared" si="11"/>
        <v>8.2191462858425835E-5</v>
      </c>
    </row>
    <row r="79" spans="1:41" s="51" customFormat="1" ht="15" customHeight="1" x14ac:dyDescent="0.2">
      <c r="A79" s="68" t="str">
        <f>'36. Generic chemical products'!A28</f>
        <v>Antifoaming agent, average (3M Defoamer)</v>
      </c>
      <c r="B79" s="68" t="str">
        <f>'36. Generic chemical products'!B28</f>
        <v>Sodium hydroxide</v>
      </c>
      <c r="C79" s="68">
        <f>'36. Generic chemical products'!C28</f>
        <v>0.02</v>
      </c>
      <c r="D79" s="68" t="str">
        <f>'36. Generic chemical products'!D28</f>
        <v>kg</v>
      </c>
      <c r="E79" s="68" t="str">
        <f>'36. Generic chemical products'!E28</f>
        <v>MSDS</v>
      </c>
      <c r="F79" s="68">
        <f>'36. Generic chemical products'!F28</f>
        <v>0</v>
      </c>
      <c r="G79" s="68" t="str">
        <f>'36. Generic chemical products'!G28</f>
        <v>-</v>
      </c>
      <c r="H79" s="68">
        <f>'36. Generic chemical products'!H28</f>
        <v>0</v>
      </c>
      <c r="I79" s="68">
        <f>'36. Generic chemical products'!I28</f>
        <v>0</v>
      </c>
      <c r="J79" s="68">
        <f>'36. Generic chemical products'!J28</f>
        <v>0</v>
      </c>
      <c r="K79" s="68">
        <f>'36. Generic chemical products'!K28</f>
        <v>0</v>
      </c>
      <c r="L79" s="68">
        <f>'36. Generic chemical products'!L28</f>
        <v>0</v>
      </c>
      <c r="M79" s="68" t="str">
        <f>'36. Generic chemical products'!M28</f>
        <v>Sodium hydroxide</v>
      </c>
      <c r="N79" s="68" t="str">
        <f>'36. Generic chemical products'!N28</f>
        <v>river</v>
      </c>
      <c r="O79" s="68">
        <f>'36. Generic chemical products'!O28</f>
        <v>2E-3</v>
      </c>
      <c r="P79" s="68" t="str">
        <f>'36. Generic chemical products'!P28</f>
        <v>kg</v>
      </c>
      <c r="Q79" s="68">
        <f>'36. Generic chemical products'!Q28</f>
        <v>0</v>
      </c>
      <c r="R79" s="68">
        <f>'36. Generic chemical products'!R28</f>
        <v>0</v>
      </c>
      <c r="S79" s="68">
        <f>'36. Generic chemical products'!S28</f>
        <v>0</v>
      </c>
      <c r="T79" s="68" t="str">
        <f>'36. Generic chemical products'!T28</f>
        <v>1310-73-2</v>
      </c>
      <c r="U79" s="68">
        <f>'36. Generic chemical products'!U28</f>
        <v>0</v>
      </c>
      <c r="V79" s="68">
        <f>'36. Generic chemical products'!V28</f>
        <v>0</v>
      </c>
      <c r="W79" s="68">
        <f>'36. Generic chemical products'!W28</f>
        <v>0</v>
      </c>
      <c r="X79" s="68">
        <f>'36. Generic chemical products'!X28</f>
        <v>0</v>
      </c>
      <c r="Y79" s="68">
        <f>'36. Generic chemical products'!Y28</f>
        <v>164.24</v>
      </c>
      <c r="Z79" s="68">
        <f>'36. Generic chemical products'!Z28</f>
        <v>400.09</v>
      </c>
      <c r="AA79" s="68" t="str">
        <f>'36. Generic chemical products'!AA28</f>
        <v>COSMEDE</v>
      </c>
      <c r="AB79" s="300">
        <f>$C$25*I79</f>
        <v>0</v>
      </c>
      <c r="AC79" s="301">
        <f>$C$41*O79</f>
        <v>5.9999999999999993E-6</v>
      </c>
      <c r="AD79" s="302">
        <f t="shared" si="2"/>
        <v>0</v>
      </c>
      <c r="AE79" s="302">
        <f t="shared" si="3"/>
        <v>0</v>
      </c>
      <c r="AF79" s="303">
        <f t="shared" si="4"/>
        <v>2.4005399999999996E-3</v>
      </c>
      <c r="AG79" s="303">
        <f t="shared" si="5"/>
        <v>0</v>
      </c>
      <c r="AH79" s="303">
        <f t="shared" si="6"/>
        <v>0</v>
      </c>
      <c r="AI79" s="303">
        <f t="shared" si="7"/>
        <v>0</v>
      </c>
      <c r="AJ79" s="303">
        <f t="shared" si="8"/>
        <v>0</v>
      </c>
      <c r="AK79" s="303">
        <f t="shared" si="9"/>
        <v>0</v>
      </c>
      <c r="AL79" s="303">
        <f t="shared" si="10"/>
        <v>2.4005399999999996E-3</v>
      </c>
      <c r="AM79" s="304">
        <f t="shared" si="11"/>
        <v>0</v>
      </c>
      <c r="AN79" s="305">
        <f t="shared" si="11"/>
        <v>0</v>
      </c>
      <c r="AO79" s="306">
        <f t="shared" si="11"/>
        <v>2.4005399999999996E-3</v>
      </c>
    </row>
    <row r="80" spans="1:41" s="51" customFormat="1" ht="15" customHeight="1" x14ac:dyDescent="0.2">
      <c r="A80" s="68" t="str">
        <f>'36. Generic chemical products'!A29</f>
        <v>Antifoaming agent, average (3M Defoamer)</v>
      </c>
      <c r="B80" s="68" t="str">
        <f>'36. Generic chemical products'!B29</f>
        <v>Sodium lauryl sulphate</v>
      </c>
      <c r="C80" s="68">
        <f>'36. Generic chemical products'!C29</f>
        <v>1E-3</v>
      </c>
      <c r="D80" s="68" t="str">
        <f>'36. Generic chemical products'!D29</f>
        <v>kg</v>
      </c>
      <c r="E80" s="68" t="str">
        <f>'36. Generic chemical products'!E29</f>
        <v>MSDS</v>
      </c>
      <c r="F80" s="68">
        <f>'36. Generic chemical products'!F29</f>
        <v>0</v>
      </c>
      <c r="G80" s="68" t="str">
        <f>'36. Generic chemical products'!G29</f>
        <v>-</v>
      </c>
      <c r="H80" s="68">
        <f>'36. Generic chemical products'!H29</f>
        <v>0</v>
      </c>
      <c r="I80" s="68">
        <f>'36. Generic chemical products'!I29</f>
        <v>0</v>
      </c>
      <c r="J80" s="68">
        <f>'36. Generic chemical products'!J29</f>
        <v>0</v>
      </c>
      <c r="K80" s="68">
        <f>'36. Generic chemical products'!K29</f>
        <v>0</v>
      </c>
      <c r="L80" s="68">
        <f>'36. Generic chemical products'!L29</f>
        <v>0</v>
      </c>
      <c r="M80" s="68" t="str">
        <f>'36. Generic chemical products'!M29</f>
        <v>Sodium lauryl sulfate</v>
      </c>
      <c r="N80" s="68" t="str">
        <f>'36. Generic chemical products'!N29</f>
        <v>river</v>
      </c>
      <c r="O80" s="68">
        <f>'36. Generic chemical products'!O29</f>
        <v>1E-4</v>
      </c>
      <c r="P80" s="68" t="str">
        <f>'36. Generic chemical products'!P29</f>
        <v>kg</v>
      </c>
      <c r="Q80" s="68">
        <f>'36. Generic chemical products'!Q29</f>
        <v>0</v>
      </c>
      <c r="R80" s="68">
        <f>'36. Generic chemical products'!R29</f>
        <v>0</v>
      </c>
      <c r="S80" s="68">
        <f>'36. Generic chemical products'!S29</f>
        <v>0</v>
      </c>
      <c r="T80" s="68" t="str">
        <f>'36. Generic chemical products'!T29</f>
        <v>151-21-3</v>
      </c>
      <c r="U80" s="68">
        <f>'36. Generic chemical products'!U29</f>
        <v>0</v>
      </c>
      <c r="V80" s="68">
        <f>'36. Generic chemical products'!V29</f>
        <v>0</v>
      </c>
      <c r="W80" s="68">
        <f>'36. Generic chemical products'!W29</f>
        <v>0</v>
      </c>
      <c r="X80" s="68">
        <f>'36. Generic chemical products'!X29</f>
        <v>0</v>
      </c>
      <c r="Y80" s="68">
        <f>'36. Generic chemical products'!Y29</f>
        <v>306.24811854656059</v>
      </c>
      <c r="Z80" s="68">
        <f>'36. Generic chemical products'!Z29</f>
        <v>2239.9292193792821</v>
      </c>
      <c r="AA80" s="68" t="str">
        <f>'36. Generic chemical products'!AA29</f>
        <v>USEtox</v>
      </c>
      <c r="AB80" s="300">
        <f>$C$25*I80</f>
        <v>0</v>
      </c>
      <c r="AC80" s="301">
        <f>$C$41*O80</f>
        <v>2.9999999999999999E-7</v>
      </c>
      <c r="AD80" s="302">
        <f t="shared" si="2"/>
        <v>0</v>
      </c>
      <c r="AE80" s="302">
        <f t="shared" si="3"/>
        <v>0</v>
      </c>
      <c r="AF80" s="303">
        <f t="shared" si="4"/>
        <v>6.7197876581378462E-4</v>
      </c>
      <c r="AG80" s="303">
        <f t="shared" si="5"/>
        <v>0</v>
      </c>
      <c r="AH80" s="303">
        <f t="shared" si="6"/>
        <v>0</v>
      </c>
      <c r="AI80" s="303">
        <f t="shared" si="7"/>
        <v>0</v>
      </c>
      <c r="AJ80" s="303">
        <f t="shared" si="8"/>
        <v>0</v>
      </c>
      <c r="AK80" s="303">
        <f t="shared" si="9"/>
        <v>0</v>
      </c>
      <c r="AL80" s="303">
        <f t="shared" si="10"/>
        <v>6.7197876581378462E-4</v>
      </c>
      <c r="AM80" s="304">
        <f t="shared" si="11"/>
        <v>0</v>
      </c>
      <c r="AN80" s="305">
        <f t="shared" si="11"/>
        <v>0</v>
      </c>
      <c r="AO80" s="306">
        <f t="shared" si="11"/>
        <v>6.7197876581378462E-4</v>
      </c>
    </row>
    <row r="81" spans="1:41" s="51" customFormat="1" ht="15" customHeight="1" x14ac:dyDescent="0.2">
      <c r="A81" s="68" t="str">
        <f>'36. Generic chemical products'!A30</f>
        <v>Antifoaming agent, average (3M Defoamer)</v>
      </c>
      <c r="B81" s="68" t="str">
        <f>'36. Generic chemical products'!B30</f>
        <v>5-chloro-2-methyl-4-isothiazoline-3-one</v>
      </c>
      <c r="C81" s="68">
        <f>'36. Generic chemical products'!C30</f>
        <v>1E-3</v>
      </c>
      <c r="D81" s="68" t="str">
        <f>'36. Generic chemical products'!D30</f>
        <v>kg</v>
      </c>
      <c r="E81" s="68" t="str">
        <f>'36. Generic chemical products'!E30</f>
        <v>MSDS</v>
      </c>
      <c r="F81" s="68">
        <f>'36. Generic chemical products'!F30</f>
        <v>0</v>
      </c>
      <c r="G81" s="68" t="str">
        <f>'36. Generic chemical products'!G30</f>
        <v>-</v>
      </c>
      <c r="H81" s="68">
        <f>'36. Generic chemical products'!H30</f>
        <v>0</v>
      </c>
      <c r="I81" s="68">
        <f>'36. Generic chemical products'!I30</f>
        <v>0</v>
      </c>
      <c r="J81" s="68">
        <f>'36. Generic chemical products'!J30</f>
        <v>0</v>
      </c>
      <c r="K81" s="68">
        <f>'36. Generic chemical products'!K30</f>
        <v>0</v>
      </c>
      <c r="L81" s="68">
        <f>'36. Generic chemical products'!L30</f>
        <v>0</v>
      </c>
      <c r="M81" s="68" t="str">
        <f>'36. Generic chemical products'!M30</f>
        <v>5-chloro-2-methyl-4-isothiazolin-3-one</v>
      </c>
      <c r="N81" s="68" t="str">
        <f>'36. Generic chemical products'!N30</f>
        <v>river</v>
      </c>
      <c r="O81" s="68">
        <f>'36. Generic chemical products'!O30</f>
        <v>1E-4</v>
      </c>
      <c r="P81" s="68" t="str">
        <f>'36. Generic chemical products'!P30</f>
        <v>kg</v>
      </c>
      <c r="Q81" s="68">
        <f>'36. Generic chemical products'!Q30</f>
        <v>0</v>
      </c>
      <c r="R81" s="68">
        <f>'36. Generic chemical products'!R30</f>
        <v>0</v>
      </c>
      <c r="S81" s="68">
        <f>'36. Generic chemical products'!S30</f>
        <v>0</v>
      </c>
      <c r="T81" s="68" t="str">
        <f>'36. Generic chemical products'!T30</f>
        <v>26172-55-4</v>
      </c>
      <c r="U81" s="68">
        <f>'36. Generic chemical products'!U30</f>
        <v>0</v>
      </c>
      <c r="V81" s="68">
        <f>'36. Generic chemical products'!V30</f>
        <v>0</v>
      </c>
      <c r="W81" s="68">
        <f>'36. Generic chemical products'!W30</f>
        <v>0</v>
      </c>
      <c r="X81" s="68">
        <f>'36. Generic chemical products'!X30</f>
        <v>0</v>
      </c>
      <c r="Y81" s="68">
        <f>'36. Generic chemical products'!Y30</f>
        <v>6089.5109426939807</v>
      </c>
      <c r="Z81" s="68">
        <f>'36. Generic chemical products'!Z30</f>
        <v>54476.932420915044</v>
      </c>
      <c r="AA81" s="68" t="str">
        <f>'36. Generic chemical products'!AA30</f>
        <v>USEtox</v>
      </c>
      <c r="AB81" s="300">
        <f>$C$25*I81</f>
        <v>0</v>
      </c>
      <c r="AC81" s="301">
        <f>$C$41*O81</f>
        <v>2.9999999999999999E-7</v>
      </c>
      <c r="AD81" s="302">
        <f t="shared" si="2"/>
        <v>0</v>
      </c>
      <c r="AE81" s="302">
        <f t="shared" si="3"/>
        <v>0</v>
      </c>
      <c r="AF81" s="303">
        <f t="shared" si="4"/>
        <v>1.6343079726274513E-2</v>
      </c>
      <c r="AG81" s="303">
        <f t="shared" si="5"/>
        <v>0</v>
      </c>
      <c r="AH81" s="303">
        <f t="shared" si="6"/>
        <v>0</v>
      </c>
      <c r="AI81" s="303">
        <f t="shared" si="7"/>
        <v>0</v>
      </c>
      <c r="AJ81" s="303">
        <f t="shared" si="8"/>
        <v>0</v>
      </c>
      <c r="AK81" s="303">
        <f t="shared" si="9"/>
        <v>0</v>
      </c>
      <c r="AL81" s="303">
        <f t="shared" si="10"/>
        <v>1.6343079726274513E-2</v>
      </c>
      <c r="AM81" s="304">
        <f t="shared" si="11"/>
        <v>0</v>
      </c>
      <c r="AN81" s="305">
        <f t="shared" si="11"/>
        <v>0</v>
      </c>
      <c r="AO81" s="306">
        <f t="shared" si="11"/>
        <v>1.6343079726274513E-2</v>
      </c>
    </row>
    <row r="82" spans="1:41" s="139" customFormat="1" ht="15" customHeight="1" x14ac:dyDescent="0.2">
      <c r="A82" s="193" t="str">
        <f>'36. Generic chemical products'!A31</f>
        <v>Antifoaming agent, average (3M Defoamer)</v>
      </c>
      <c r="B82" s="193" t="str">
        <f>'36. Generic chemical products'!B31</f>
        <v>2-methyl-4-isothiazolin-3-one</v>
      </c>
      <c r="C82" s="193">
        <f>'36. Generic chemical products'!C31</f>
        <v>1E-3</v>
      </c>
      <c r="D82" s="193" t="str">
        <f>'36. Generic chemical products'!D31</f>
        <v>kg</v>
      </c>
      <c r="E82" s="193" t="str">
        <f>'36. Generic chemical products'!E31</f>
        <v>MSDS</v>
      </c>
      <c r="F82" s="193">
        <f>'36. Generic chemical products'!F31</f>
        <v>0</v>
      </c>
      <c r="G82" s="193" t="str">
        <f>'36. Generic chemical products'!G31</f>
        <v>-</v>
      </c>
      <c r="H82" s="193">
        <f>'36. Generic chemical products'!H31</f>
        <v>0</v>
      </c>
      <c r="I82" s="193">
        <f>'36. Generic chemical products'!I31</f>
        <v>0</v>
      </c>
      <c r="J82" s="193">
        <f>'36. Generic chemical products'!J31</f>
        <v>0</v>
      </c>
      <c r="K82" s="193">
        <f>'36. Generic chemical products'!K31</f>
        <v>0</v>
      </c>
      <c r="L82" s="193">
        <f>'36. Generic chemical products'!L31</f>
        <v>0</v>
      </c>
      <c r="M82" s="193" t="str">
        <f>'36. Generic chemical products'!M31</f>
        <v>2-methyl-4-isothiazolin-3-one</v>
      </c>
      <c r="N82" s="193" t="str">
        <f>'36. Generic chemical products'!N31</f>
        <v>river</v>
      </c>
      <c r="O82" s="193">
        <f>'36. Generic chemical products'!O31</f>
        <v>1E-4</v>
      </c>
      <c r="P82" s="193" t="str">
        <f>'36. Generic chemical products'!P31</f>
        <v>kg</v>
      </c>
      <c r="Q82" s="193">
        <f>'36. Generic chemical products'!Q31</f>
        <v>0</v>
      </c>
      <c r="R82" s="193">
        <f>'36. Generic chemical products'!R31</f>
        <v>0</v>
      </c>
      <c r="S82" s="193">
        <f>'36. Generic chemical products'!S31</f>
        <v>0</v>
      </c>
      <c r="T82" s="193" t="str">
        <f>'36. Generic chemical products'!T31</f>
        <v>2682-20-4</v>
      </c>
      <c r="U82" s="193">
        <f>'36. Generic chemical products'!U31</f>
        <v>0</v>
      </c>
      <c r="V82" s="193">
        <f>'36. Generic chemical products'!V31</f>
        <v>0</v>
      </c>
      <c r="W82" s="193">
        <f>'36. Generic chemical products'!W31</f>
        <v>0</v>
      </c>
      <c r="X82" s="193">
        <f>'36. Generic chemical products'!X31</f>
        <v>0</v>
      </c>
      <c r="Y82" s="193">
        <f>'36. Generic chemical products'!Y31</f>
        <v>15653.997644153058</v>
      </c>
      <c r="Z82" s="193">
        <f>'36. Generic chemical products'!Z31</f>
        <v>184815.26625319294</v>
      </c>
      <c r="AA82" s="193" t="str">
        <f>'36. Generic chemical products'!AA31</f>
        <v>USEtox</v>
      </c>
      <c r="AB82" s="307">
        <f>$C$25*I82</f>
        <v>0</v>
      </c>
      <c r="AC82" s="308">
        <f>$C$41*O82</f>
        <v>2.9999999999999999E-7</v>
      </c>
      <c r="AD82" s="309">
        <f t="shared" si="2"/>
        <v>0</v>
      </c>
      <c r="AE82" s="309">
        <f t="shared" si="3"/>
        <v>0</v>
      </c>
      <c r="AF82" s="310">
        <f t="shared" si="4"/>
        <v>5.5444579875957876E-2</v>
      </c>
      <c r="AG82" s="310">
        <f t="shared" si="5"/>
        <v>0</v>
      </c>
      <c r="AH82" s="310">
        <f t="shared" si="6"/>
        <v>0</v>
      </c>
      <c r="AI82" s="310">
        <f t="shared" si="7"/>
        <v>0</v>
      </c>
      <c r="AJ82" s="310">
        <f t="shared" si="8"/>
        <v>0</v>
      </c>
      <c r="AK82" s="310">
        <f t="shared" si="9"/>
        <v>0</v>
      </c>
      <c r="AL82" s="310">
        <f t="shared" si="10"/>
        <v>5.5444579875957876E-2</v>
      </c>
      <c r="AM82" s="311">
        <f t="shared" si="11"/>
        <v>0</v>
      </c>
      <c r="AN82" s="312">
        <f t="shared" si="11"/>
        <v>0</v>
      </c>
      <c r="AO82" s="313">
        <f t="shared" si="11"/>
        <v>5.5444579875957876E-2</v>
      </c>
    </row>
    <row r="83" spans="1:41" s="195" customFormat="1" ht="15" customHeight="1" x14ac:dyDescent="0.2">
      <c r="A83" s="194" t="str">
        <f>'36. Generic chemical products'!A32</f>
        <v>Base/Soda ash (Na2CO3), average</v>
      </c>
      <c r="B83" s="194" t="str">
        <f>'36. Generic chemical products'!B32</f>
        <v>Sodium carbonate (Na2CO3)</v>
      </c>
      <c r="C83" s="194">
        <f>'36. Generic chemical products'!C32</f>
        <v>1</v>
      </c>
      <c r="D83" s="194" t="str">
        <f>'36. Generic chemical products'!D32</f>
        <v>kg</v>
      </c>
      <c r="E83" s="194">
        <f>'36. Generic chemical products'!E32</f>
        <v>1</v>
      </c>
      <c r="F83" s="194">
        <f>'36. Generic chemical products'!F32</f>
        <v>0</v>
      </c>
      <c r="G83" s="194" t="str">
        <f>'36. Generic chemical products'!G32</f>
        <v>-</v>
      </c>
      <c r="H83" s="194">
        <f>'36. Generic chemical products'!H32</f>
        <v>0</v>
      </c>
      <c r="I83" s="194">
        <f>'36. Generic chemical products'!I32</f>
        <v>0</v>
      </c>
      <c r="J83" s="194">
        <f>'36. Generic chemical products'!J32</f>
        <v>0</v>
      </c>
      <c r="K83" s="194" t="str">
        <f>'36. Generic chemical products'!K32</f>
        <v>Worst case - mist carries substance</v>
      </c>
      <c r="L83" s="194">
        <f>'36. Generic chemical products'!L32</f>
        <v>0</v>
      </c>
      <c r="M83" s="194" t="str">
        <f>'36. Generic chemical products'!M32</f>
        <v>Sodium carbonate (Na2CO3)</v>
      </c>
      <c r="N83" s="194" t="str">
        <f>'36. Generic chemical products'!N32</f>
        <v>river</v>
      </c>
      <c r="O83" s="194">
        <f>'36. Generic chemical products'!O32</f>
        <v>0.1</v>
      </c>
      <c r="P83" s="194" t="str">
        <f>'36. Generic chemical products'!P32</f>
        <v>kg</v>
      </c>
      <c r="Q83" s="194">
        <f>'36. Generic chemical products'!Q32</f>
        <v>0</v>
      </c>
      <c r="R83" s="194">
        <f>'36. Generic chemical products'!R32</f>
        <v>0</v>
      </c>
      <c r="S83" s="194">
        <f>'36. Generic chemical products'!S32</f>
        <v>0</v>
      </c>
      <c r="T83" s="194" t="str">
        <f>'36. Generic chemical products'!T32</f>
        <v>497-19-8</v>
      </c>
      <c r="U83" s="194">
        <f>'36. Generic chemical products'!U32</f>
        <v>0</v>
      </c>
      <c r="V83" s="194">
        <f>'36. Generic chemical products'!V32</f>
        <v>0</v>
      </c>
      <c r="W83" s="194">
        <f>'36. Generic chemical products'!W32</f>
        <v>0</v>
      </c>
      <c r="X83" s="194">
        <f>'36. Generic chemical products'!X32</f>
        <v>0</v>
      </c>
      <c r="Y83" s="194">
        <f>'36. Generic chemical products'!Y32</f>
        <v>31</v>
      </c>
      <c r="Z83" s="194">
        <f>'36. Generic chemical products'!Z32</f>
        <v>73.7</v>
      </c>
      <c r="AA83" s="194" t="str">
        <f>'36. Generic chemical products'!AA32</f>
        <v>COSMEDE</v>
      </c>
      <c r="AB83" s="327">
        <f>$C$26*I83</f>
        <v>0</v>
      </c>
      <c r="AC83" s="328">
        <f>$C$42*O83</f>
        <v>5.0000000000000001E-4</v>
      </c>
      <c r="AD83" s="329">
        <f t="shared" si="2"/>
        <v>0</v>
      </c>
      <c r="AE83" s="329">
        <f t="shared" si="3"/>
        <v>0</v>
      </c>
      <c r="AF83" s="330">
        <f t="shared" si="4"/>
        <v>3.6850000000000001E-2</v>
      </c>
      <c r="AG83" s="330">
        <f t="shared" si="5"/>
        <v>0</v>
      </c>
      <c r="AH83" s="330">
        <f t="shared" si="6"/>
        <v>0</v>
      </c>
      <c r="AI83" s="330">
        <f t="shared" si="7"/>
        <v>0</v>
      </c>
      <c r="AJ83" s="330">
        <f t="shared" si="8"/>
        <v>0</v>
      </c>
      <c r="AK83" s="330">
        <f t="shared" si="9"/>
        <v>0</v>
      </c>
      <c r="AL83" s="330">
        <f t="shared" si="10"/>
        <v>3.6850000000000001E-2</v>
      </c>
      <c r="AM83" s="331">
        <f t="shared" si="11"/>
        <v>0</v>
      </c>
      <c r="AN83" s="332">
        <f t="shared" si="11"/>
        <v>0</v>
      </c>
      <c r="AO83" s="333">
        <f t="shared" si="11"/>
        <v>3.6850000000000001E-2</v>
      </c>
    </row>
    <row r="84" spans="1:41" s="195" customFormat="1" ht="15" customHeight="1" x14ac:dyDescent="0.2">
      <c r="A84" s="196" t="str">
        <f>'36. Generic chemical products'!A11</f>
        <v>Acid, formic acid, average</v>
      </c>
      <c r="B84" s="196" t="str">
        <f>'36. Generic chemical products'!B11</f>
        <v>Formic acid</v>
      </c>
      <c r="C84" s="196">
        <f>'36. Generic chemical products'!C11</f>
        <v>1</v>
      </c>
      <c r="D84" s="196" t="str">
        <f>'36. Generic chemical products'!D11</f>
        <v>kg</v>
      </c>
      <c r="E84" s="196">
        <f>'36. Generic chemical products'!E11</f>
        <v>1</v>
      </c>
      <c r="F84" s="196">
        <f>'36. Generic chemical products'!F11</f>
        <v>0</v>
      </c>
      <c r="G84" s="196" t="str">
        <f>'36. Generic chemical products'!G11</f>
        <v>Formic acid</v>
      </c>
      <c r="H84" s="196" t="str">
        <f>'36. Generic chemical products'!H11</f>
        <v>high. pop.</v>
      </c>
      <c r="I84" s="196">
        <f>'36. Generic chemical products'!I11</f>
        <v>1E-3</v>
      </c>
      <c r="J84" s="196" t="str">
        <f>'36. Generic chemical products'!J11</f>
        <v>kg</v>
      </c>
      <c r="K84" s="196">
        <f>'36. Generic chemical products'!K11</f>
        <v>0</v>
      </c>
      <c r="L84" s="196">
        <f>'36. Generic chemical products'!L11</f>
        <v>0</v>
      </c>
      <c r="M84" s="196" t="str">
        <f>'36. Generic chemical products'!M11</f>
        <v>Formic acid</v>
      </c>
      <c r="N84" s="196" t="str">
        <f>'36. Generic chemical products'!N11</f>
        <v>river</v>
      </c>
      <c r="O84" s="196">
        <f>'36. Generic chemical products'!O11</f>
        <v>0.1</v>
      </c>
      <c r="P84" s="196" t="str">
        <f>'36. Generic chemical products'!P11</f>
        <v>kg</v>
      </c>
      <c r="Q84" s="196">
        <f>'36. Generic chemical products'!Q11</f>
        <v>0</v>
      </c>
      <c r="R84" s="196">
        <f>'36. Generic chemical products'!R11</f>
        <v>0</v>
      </c>
      <c r="S84" s="196">
        <f>'36. Generic chemical products'!S11</f>
        <v>0</v>
      </c>
      <c r="T84" s="196" t="str">
        <f>'36. Generic chemical products'!T11</f>
        <v>64-18-6</v>
      </c>
      <c r="U84" s="196">
        <f>'36. Generic chemical products'!U11</f>
        <v>0</v>
      </c>
      <c r="V84" s="196">
        <f>'36. Generic chemical products'!V11</f>
        <v>0</v>
      </c>
      <c r="W84" s="196">
        <f>'36. Generic chemical products'!W11</f>
        <v>0</v>
      </c>
      <c r="X84" s="196">
        <f>'36. Generic chemical products'!X11</f>
        <v>0</v>
      </c>
      <c r="Y84" s="196">
        <f>'36. Generic chemical products'!Y11</f>
        <v>2.8072892978694037</v>
      </c>
      <c r="Z84" s="196">
        <f>'36. Generic chemical products'!Z11</f>
        <v>44.680467206809801</v>
      </c>
      <c r="AA84" s="196" t="str">
        <f>'36. Generic chemical products'!AA11</f>
        <v>USEtox</v>
      </c>
      <c r="AB84" s="327">
        <f>$C$27*I84</f>
        <v>3.0000000000000001E-5</v>
      </c>
      <c r="AC84" s="328">
        <f>$C$43*O84</f>
        <v>3.0000000000000001E-3</v>
      </c>
      <c r="AD84" s="329">
        <f t="shared" si="2"/>
        <v>0</v>
      </c>
      <c r="AE84" s="329">
        <f t="shared" si="3"/>
        <v>0</v>
      </c>
      <c r="AF84" s="330">
        <f t="shared" si="4"/>
        <v>0.13412562029936548</v>
      </c>
      <c r="AG84" s="330">
        <f t="shared" si="5"/>
        <v>0</v>
      </c>
      <c r="AH84" s="330">
        <f t="shared" si="6"/>
        <v>0</v>
      </c>
      <c r="AI84" s="330">
        <f t="shared" si="7"/>
        <v>8.4218678936082118E-5</v>
      </c>
      <c r="AJ84" s="330">
        <f t="shared" si="8"/>
        <v>0</v>
      </c>
      <c r="AK84" s="330">
        <f t="shared" si="9"/>
        <v>0</v>
      </c>
      <c r="AL84" s="330">
        <f t="shared" si="10"/>
        <v>0.13404140162042941</v>
      </c>
      <c r="AM84" s="331">
        <f t="shared" si="11"/>
        <v>0</v>
      </c>
      <c r="AN84" s="332">
        <f t="shared" si="11"/>
        <v>0</v>
      </c>
      <c r="AO84" s="333">
        <f t="shared" si="11"/>
        <v>0.13412562029936548</v>
      </c>
    </row>
    <row r="85" spans="1:41" s="51" customFormat="1" ht="15" customHeight="1" x14ac:dyDescent="0.2">
      <c r="A85" s="54" t="str">
        <f>'36. Generic chemical products'!A23</f>
        <v>Wetting agent/Penetration agent, worst case (Cottoclarin ok 88 ECO)</v>
      </c>
      <c r="B85" s="54" t="str">
        <f>'36. Generic chemical products'!B23</f>
        <v>Fatty methylester sulfonates (R16) sodium salt</v>
      </c>
      <c r="C85" s="54">
        <f>'36. Generic chemical products'!C23</f>
        <v>0.6</v>
      </c>
      <c r="D85" s="54" t="str">
        <f>'36. Generic chemical products'!D23</f>
        <v>kg</v>
      </c>
      <c r="E85" s="54" t="str">
        <f>'36. Generic chemical products'!E23</f>
        <v>MSDS</v>
      </c>
      <c r="F85" s="54">
        <f>'36. Generic chemical products'!F23</f>
        <v>0</v>
      </c>
      <c r="G85" s="54" t="str">
        <f>'36. Generic chemical products'!G23</f>
        <v>-</v>
      </c>
      <c r="H85" s="54">
        <f>'36. Generic chemical products'!H23</f>
        <v>0</v>
      </c>
      <c r="I85" s="54">
        <f>'36. Generic chemical products'!I23</f>
        <v>0</v>
      </c>
      <c r="J85" s="54">
        <f>'36. Generic chemical products'!J23</f>
        <v>0</v>
      </c>
      <c r="K85" s="54">
        <f>'36. Generic chemical products'!K23</f>
        <v>0</v>
      </c>
      <c r="L85" s="54">
        <f>'36. Generic chemical products'!L23</f>
        <v>0</v>
      </c>
      <c r="M85" s="54" t="str">
        <f>'36. Generic chemical products'!M23</f>
        <v>Fatty methylester sulfonates</v>
      </c>
      <c r="N85" s="54" t="str">
        <f>'36. Generic chemical products'!N23</f>
        <v>river</v>
      </c>
      <c r="O85" s="54">
        <f>'36. Generic chemical products'!O23</f>
        <v>0.06</v>
      </c>
      <c r="P85" s="54" t="str">
        <f>'36. Generic chemical products'!P23</f>
        <v>kg</v>
      </c>
      <c r="Q85" s="54">
        <f>'36. Generic chemical products'!Q23</f>
        <v>0</v>
      </c>
      <c r="R85" s="54">
        <f>'36. Generic chemical products'!R23</f>
        <v>0</v>
      </c>
      <c r="S85" s="54">
        <f>'36. Generic chemical products'!S23</f>
        <v>0</v>
      </c>
      <c r="T85" s="54" t="str">
        <f>'36. Generic chemical products'!T23</f>
        <v>93348-22-2</v>
      </c>
      <c r="U85" s="54">
        <f>'36. Generic chemical products'!U23</f>
        <v>0</v>
      </c>
      <c r="V85" s="54">
        <f>'36. Generic chemical products'!V23</f>
        <v>1.6437731647150863E-6</v>
      </c>
      <c r="W85" s="54">
        <f>'36. Generic chemical products'!W23</f>
        <v>0</v>
      </c>
      <c r="X85" s="54">
        <f>'36. Generic chemical products'!X23</f>
        <v>9.8891167609639291E-6</v>
      </c>
      <c r="Y85" s="54">
        <f>'36. Generic chemical products'!Y23</f>
        <v>25539.178143122717</v>
      </c>
      <c r="Z85" s="54">
        <f>'36. Generic chemical products'!Z23</f>
        <v>766743.80504211958</v>
      </c>
      <c r="AA85" s="54" t="str">
        <f>'36. Generic chemical products'!AA23</f>
        <v>Roos 2017</v>
      </c>
      <c r="AB85" s="300">
        <f>$C$28*I85</f>
        <v>0</v>
      </c>
      <c r="AC85" s="301">
        <f>$C$44*O85</f>
        <v>8.9999999999999998E-4</v>
      </c>
      <c r="AD85" s="302">
        <f t="shared" si="2"/>
        <v>0</v>
      </c>
      <c r="AE85" s="302">
        <f t="shared" si="3"/>
        <v>8.9002050848675359E-9</v>
      </c>
      <c r="AF85" s="303">
        <f t="shared" si="4"/>
        <v>690.06942453790759</v>
      </c>
      <c r="AG85" s="303">
        <f t="shared" si="5"/>
        <v>0</v>
      </c>
      <c r="AH85" s="303">
        <f t="shared" si="6"/>
        <v>0</v>
      </c>
      <c r="AI85" s="303">
        <f t="shared" si="7"/>
        <v>0</v>
      </c>
      <c r="AJ85" s="303">
        <f t="shared" si="8"/>
        <v>0</v>
      </c>
      <c r="AK85" s="303">
        <f t="shared" si="9"/>
        <v>8.9002050848675359E-9</v>
      </c>
      <c r="AL85" s="303">
        <f t="shared" si="10"/>
        <v>690.06942453790759</v>
      </c>
      <c r="AM85" s="304">
        <f t="shared" si="11"/>
        <v>0</v>
      </c>
      <c r="AN85" s="305">
        <f t="shared" si="11"/>
        <v>8.9002050848675359E-9</v>
      </c>
      <c r="AO85" s="306">
        <f t="shared" si="11"/>
        <v>690.06942453790759</v>
      </c>
    </row>
    <row r="86" spans="1:41" s="51" customFormat="1" ht="15" customHeight="1" x14ac:dyDescent="0.2">
      <c r="A86" s="54" t="str">
        <f>'36. Generic chemical products'!A24</f>
        <v>Wetting agent/Penetration agent, worst case (Cottoclarin ok 88 ECO)</v>
      </c>
      <c r="B86" s="54" t="str">
        <f>'36. Generic chemical products'!B24</f>
        <v>Iso-octyl alcohol</v>
      </c>
      <c r="C86" s="54">
        <f>'36. Generic chemical products'!C24</f>
        <v>0.2</v>
      </c>
      <c r="D86" s="54" t="str">
        <f>'36. Generic chemical products'!D24</f>
        <v>kg</v>
      </c>
      <c r="E86" s="54" t="str">
        <f>'36. Generic chemical products'!E24</f>
        <v>MSDS</v>
      </c>
      <c r="F86" s="54">
        <f>'36. Generic chemical products'!F24</f>
        <v>0</v>
      </c>
      <c r="G86" s="54" t="str">
        <f>'36. Generic chemical products'!G24</f>
        <v>Iso-octyl alcohol</v>
      </c>
      <c r="H86" s="54" t="str">
        <f>'36. Generic chemical products'!H24</f>
        <v>high. pop.</v>
      </c>
      <c r="I86" s="54">
        <f>'36. Generic chemical products'!I24</f>
        <v>2.0000000000000001E-4</v>
      </c>
      <c r="J86" s="54" t="str">
        <f>'36. Generic chemical products'!J24</f>
        <v>kg</v>
      </c>
      <c r="K86" s="54">
        <f>'36. Generic chemical products'!K24</f>
        <v>0</v>
      </c>
      <c r="L86" s="54">
        <f>'36. Generic chemical products'!L24</f>
        <v>0</v>
      </c>
      <c r="M86" s="54" t="str">
        <f>'36. Generic chemical products'!M24</f>
        <v>Isooctyl alcohol</v>
      </c>
      <c r="N86" s="54" t="str">
        <f>'36. Generic chemical products'!N24</f>
        <v>river</v>
      </c>
      <c r="O86" s="54">
        <f>'36. Generic chemical products'!O24</f>
        <v>2.0000000000000004E-2</v>
      </c>
      <c r="P86" s="54" t="str">
        <f>'36. Generic chemical products'!P24</f>
        <v>kg</v>
      </c>
      <c r="Q86" s="54">
        <f>'36. Generic chemical products'!Q24</f>
        <v>0</v>
      </c>
      <c r="R86" s="54">
        <f>'36. Generic chemical products'!R24</f>
        <v>0</v>
      </c>
      <c r="S86" s="54">
        <f>'36. Generic chemical products'!S24</f>
        <v>0</v>
      </c>
      <c r="T86" s="54" t="str">
        <f>'36. Generic chemical products'!T24</f>
        <v>104-76-7</v>
      </c>
      <c r="U86" s="54">
        <f>'36. Generic chemical products'!U24</f>
        <v>3.1027213023718394E-8</v>
      </c>
      <c r="V86" s="54">
        <f>'36. Generic chemical products'!V24</f>
        <v>0</v>
      </c>
      <c r="W86" s="54">
        <f>'36. Generic chemical products'!W24</f>
        <v>1.7206281348183625E-8</v>
      </c>
      <c r="X86" s="54">
        <f>'36. Generic chemical products'!X24</f>
        <v>0</v>
      </c>
      <c r="Y86" s="54">
        <f>'36. Generic chemical products'!Y24</f>
        <v>2.6323079574736696</v>
      </c>
      <c r="Z86" s="54">
        <f>'36. Generic chemical products'!Z24</f>
        <v>191.63613931032927</v>
      </c>
      <c r="AA86" s="54" t="str">
        <f>'36. Generic chemical products'!AA24</f>
        <v>USEtox</v>
      </c>
      <c r="AB86" s="300">
        <f>$C$28*I86</f>
        <v>3.0000000000000001E-6</v>
      </c>
      <c r="AC86" s="301">
        <f>$C$44*O86</f>
        <v>3.0000000000000003E-4</v>
      </c>
      <c r="AD86" s="302">
        <f t="shared" si="2"/>
        <v>5.2549660435262433E-12</v>
      </c>
      <c r="AE86" s="302">
        <f t="shared" si="3"/>
        <v>0</v>
      </c>
      <c r="AF86" s="303">
        <f t="shared" si="4"/>
        <v>5.7498738716971212E-2</v>
      </c>
      <c r="AG86" s="303">
        <f t="shared" si="5"/>
        <v>9.3081639071155185E-14</v>
      </c>
      <c r="AH86" s="303">
        <f t="shared" si="6"/>
        <v>0</v>
      </c>
      <c r="AI86" s="303">
        <f t="shared" si="7"/>
        <v>7.8969238724210083E-6</v>
      </c>
      <c r="AJ86" s="303">
        <f t="shared" si="8"/>
        <v>5.1618844044550885E-12</v>
      </c>
      <c r="AK86" s="303">
        <f t="shared" si="9"/>
        <v>0</v>
      </c>
      <c r="AL86" s="303">
        <f t="shared" si="10"/>
        <v>5.7490841793098789E-2</v>
      </c>
      <c r="AM86" s="304">
        <f t="shared" si="11"/>
        <v>5.2549660435262433E-12</v>
      </c>
      <c r="AN86" s="305">
        <f t="shared" si="11"/>
        <v>0</v>
      </c>
      <c r="AO86" s="306">
        <f t="shared" si="11"/>
        <v>5.7498738716971212E-2</v>
      </c>
    </row>
    <row r="87" spans="1:41" s="51" customFormat="1" ht="15" customHeight="1" x14ac:dyDescent="0.2">
      <c r="A87" s="54" t="str">
        <f>'36. Generic chemical products'!A25</f>
        <v>Wetting agent/Penetration agent, worst case (Cottoclarin ok 88 ECO)</v>
      </c>
      <c r="B87" s="54" t="str">
        <f>'36. Generic chemical products'!B25</f>
        <v>Ethoxylated alcohol (NPEO)</v>
      </c>
      <c r="C87" s="54">
        <f>'36. Generic chemical products'!C25</f>
        <v>0.1</v>
      </c>
      <c r="D87" s="54" t="str">
        <f>'36. Generic chemical products'!D25</f>
        <v>kg</v>
      </c>
      <c r="E87" s="54" t="str">
        <f>'36. Generic chemical products'!E25</f>
        <v>MSDS</v>
      </c>
      <c r="F87" s="54">
        <f>'36. Generic chemical products'!F25</f>
        <v>0</v>
      </c>
      <c r="G87" s="54" t="str">
        <f>'36. Generic chemical products'!G25</f>
        <v>Nonylphenol ethoxylate (NPEO)</v>
      </c>
      <c r="H87" s="54" t="str">
        <f>'36. Generic chemical products'!H25</f>
        <v>high. pop.</v>
      </c>
      <c r="I87" s="54">
        <f>'36. Generic chemical products'!I25</f>
        <v>1E-4</v>
      </c>
      <c r="J87" s="54" t="str">
        <f>'36. Generic chemical products'!J25</f>
        <v>kg</v>
      </c>
      <c r="K87" s="54">
        <f>'36. Generic chemical products'!K25</f>
        <v>0</v>
      </c>
      <c r="L87" s="54">
        <f>'36. Generic chemical products'!L25</f>
        <v>0</v>
      </c>
      <c r="M87" s="54" t="str">
        <f>'36. Generic chemical products'!M25</f>
        <v>Nonylphenol ethoxylate (NPEO)</v>
      </c>
      <c r="N87" s="54" t="str">
        <f>'36. Generic chemical products'!N25</f>
        <v>river</v>
      </c>
      <c r="O87" s="54">
        <f>'36. Generic chemical products'!O25</f>
        <v>1.0000000000000002E-2</v>
      </c>
      <c r="P87" s="54" t="str">
        <f>'36. Generic chemical products'!P25</f>
        <v>kg</v>
      </c>
      <c r="Q87" s="54">
        <f>'36. Generic chemical products'!Q25</f>
        <v>0</v>
      </c>
      <c r="R87" s="54">
        <f>'36. Generic chemical products'!R25</f>
        <v>0</v>
      </c>
      <c r="S87" s="54">
        <f>'36. Generic chemical products'!S25</f>
        <v>0</v>
      </c>
      <c r="T87" s="54" t="str">
        <f>'36. Generic chemical products'!T25</f>
        <v>9016-45-9</v>
      </c>
      <c r="U87" s="54">
        <f>'36. Generic chemical products'!U25</f>
        <v>0</v>
      </c>
      <c r="V87" s="54">
        <f>'36. Generic chemical products'!V25</f>
        <v>0</v>
      </c>
      <c r="W87" s="54">
        <f>'36. Generic chemical products'!W25</f>
        <v>0</v>
      </c>
      <c r="X87" s="54">
        <f>'36. Generic chemical products'!X25</f>
        <v>0</v>
      </c>
      <c r="Y87" s="54">
        <f>'36. Generic chemical products'!Y25</f>
        <v>63</v>
      </c>
      <c r="Z87" s="54">
        <f>'36. Generic chemical products'!Z25</f>
        <v>2910</v>
      </c>
      <c r="AA87" s="54" t="str">
        <f>'36. Generic chemical products'!AA25</f>
        <v>COSMEDE</v>
      </c>
      <c r="AB87" s="300">
        <f>$C$28*I87</f>
        <v>1.5E-6</v>
      </c>
      <c r="AC87" s="301">
        <f>$C$44*O87</f>
        <v>1.5000000000000001E-4</v>
      </c>
      <c r="AD87" s="302">
        <f t="shared" si="2"/>
        <v>0</v>
      </c>
      <c r="AE87" s="302">
        <f t="shared" si="3"/>
        <v>0</v>
      </c>
      <c r="AF87" s="303">
        <f t="shared" si="4"/>
        <v>0.43659450000000005</v>
      </c>
      <c r="AG87" s="303">
        <f t="shared" si="5"/>
        <v>0</v>
      </c>
      <c r="AH87" s="303">
        <f t="shared" si="6"/>
        <v>0</v>
      </c>
      <c r="AI87" s="303">
        <f t="shared" si="7"/>
        <v>9.4500000000000007E-5</v>
      </c>
      <c r="AJ87" s="303">
        <f t="shared" si="8"/>
        <v>0</v>
      </c>
      <c r="AK87" s="303">
        <f t="shared" si="9"/>
        <v>0</v>
      </c>
      <c r="AL87" s="303">
        <f t="shared" si="10"/>
        <v>0.43650000000000005</v>
      </c>
      <c r="AM87" s="304">
        <f t="shared" si="11"/>
        <v>0</v>
      </c>
      <c r="AN87" s="305">
        <f t="shared" si="11"/>
        <v>0</v>
      </c>
      <c r="AO87" s="306">
        <f t="shared" si="11"/>
        <v>0.43659450000000005</v>
      </c>
    </row>
    <row r="88" spans="1:41" s="139" customFormat="1" ht="15" customHeight="1" x14ac:dyDescent="0.2">
      <c r="A88" s="141" t="str">
        <f>'36. Generic chemical products'!A26</f>
        <v>Wetting agent/Penetration agent, worst case (Cottoclarin ok 88 ECO)</v>
      </c>
      <c r="B88" s="141" t="str">
        <f>'36. Generic chemical products'!B26</f>
        <v>Nonylphenol</v>
      </c>
      <c r="C88" s="141">
        <f>'36. Generic chemical products'!C26</f>
        <v>0</v>
      </c>
      <c r="D88" s="141">
        <f>'36. Generic chemical products'!D26</f>
        <v>0</v>
      </c>
      <c r="E88" s="141" t="str">
        <f>'36. Generic chemical products'!E26</f>
        <v>Breakdown product</v>
      </c>
      <c r="F88" s="141">
        <f>'36. Generic chemical products'!F26</f>
        <v>0</v>
      </c>
      <c r="G88" s="141" t="str">
        <f>'36. Generic chemical products'!G26</f>
        <v>-</v>
      </c>
      <c r="H88" s="141">
        <f>'36. Generic chemical products'!H26</f>
        <v>0</v>
      </c>
      <c r="I88" s="141">
        <f>'36. Generic chemical products'!I26</f>
        <v>0</v>
      </c>
      <c r="J88" s="141">
        <f>'36. Generic chemical products'!J26</f>
        <v>0</v>
      </c>
      <c r="K88" s="141">
        <f>'36. Generic chemical products'!K26</f>
        <v>0</v>
      </c>
      <c r="L88" s="141">
        <f>'36. Generic chemical products'!L26</f>
        <v>0</v>
      </c>
      <c r="M88" s="141" t="str">
        <f>'36. Generic chemical products'!M26</f>
        <v>Nonylphenol</v>
      </c>
      <c r="N88" s="141" t="str">
        <f>'36. Generic chemical products'!N26</f>
        <v>river</v>
      </c>
      <c r="O88" s="141">
        <f>'36. Generic chemical products'!O26</f>
        <v>1.0000000000000001E-5</v>
      </c>
      <c r="P88" s="141" t="str">
        <f>'36. Generic chemical products'!P26</f>
        <v>kg</v>
      </c>
      <c r="Q88" s="141" t="str">
        <f>'36. Generic chemical products'!Q26</f>
        <v>0.1 % of the content is degraded to common breakdown products.</v>
      </c>
      <c r="R88" s="141">
        <f>'36. Generic chemical products'!R26</f>
        <v>0</v>
      </c>
      <c r="S88" s="141">
        <f>'36. Generic chemical products'!S26</f>
        <v>0</v>
      </c>
      <c r="T88" s="141" t="str">
        <f>'36. Generic chemical products'!T26</f>
        <v>25154-52-3</v>
      </c>
      <c r="U88" s="141">
        <f>'36. Generic chemical products'!U26</f>
        <v>0</v>
      </c>
      <c r="V88" s="141">
        <f>'36. Generic chemical products'!V26</f>
        <v>0</v>
      </c>
      <c r="W88" s="141">
        <f>'36. Generic chemical products'!W26</f>
        <v>0</v>
      </c>
      <c r="X88" s="141">
        <f>'36. Generic chemical products'!X26</f>
        <v>0</v>
      </c>
      <c r="Y88" s="141">
        <f>'36. Generic chemical products'!Y26</f>
        <v>63.500038841149426</v>
      </c>
      <c r="Z88" s="141">
        <f>'36. Generic chemical products'!Z26</f>
        <v>10848.472578502809</v>
      </c>
      <c r="AA88" s="141" t="str">
        <f>'36. Generic chemical products'!AA26</f>
        <v>USEtox</v>
      </c>
      <c r="AB88" s="307">
        <f>$C$28*I88</f>
        <v>0</v>
      </c>
      <c r="AC88" s="308">
        <f>$C$44*O88</f>
        <v>1.5000000000000002E-7</v>
      </c>
      <c r="AD88" s="309">
        <f t="shared" si="2"/>
        <v>0</v>
      </c>
      <c r="AE88" s="309">
        <f t="shared" si="3"/>
        <v>0</v>
      </c>
      <c r="AF88" s="310">
        <f t="shared" si="4"/>
        <v>1.6272708867754216E-3</v>
      </c>
      <c r="AG88" s="310">
        <f t="shared" si="5"/>
        <v>0</v>
      </c>
      <c r="AH88" s="310">
        <f t="shared" si="6"/>
        <v>0</v>
      </c>
      <c r="AI88" s="310">
        <f t="shared" si="7"/>
        <v>0</v>
      </c>
      <c r="AJ88" s="310">
        <f t="shared" si="8"/>
        <v>0</v>
      </c>
      <c r="AK88" s="310">
        <f t="shared" si="9"/>
        <v>0</v>
      </c>
      <c r="AL88" s="310">
        <f t="shared" si="10"/>
        <v>1.6272708867754216E-3</v>
      </c>
      <c r="AM88" s="311">
        <f t="shared" si="11"/>
        <v>0</v>
      </c>
      <c r="AN88" s="312">
        <f t="shared" si="11"/>
        <v>0</v>
      </c>
      <c r="AO88" s="313">
        <f t="shared" si="11"/>
        <v>1.6272708867754216E-3</v>
      </c>
    </row>
    <row r="89" spans="1:41" s="51" customFormat="1" ht="15" customHeight="1" x14ac:dyDescent="0.2">
      <c r="A89" s="68" t="str">
        <f>'36. Generic chemical products'!A33</f>
        <v>Dispergent, average (ALBAFLOW UNI-01)</v>
      </c>
      <c r="B89" s="68" t="str">
        <f>'36. Generic chemical products'!B33</f>
        <v>Isotridecanol ethoxylated</v>
      </c>
      <c r="C89" s="68">
        <f>'36. Generic chemical products'!C33</f>
        <v>0.1</v>
      </c>
      <c r="D89" s="68" t="str">
        <f>'36. Generic chemical products'!D33</f>
        <v>kg</v>
      </c>
      <c r="E89" s="68" t="str">
        <f>'36. Generic chemical products'!E33</f>
        <v>MSDS</v>
      </c>
      <c r="F89" s="68">
        <f>'36. Generic chemical products'!F33</f>
        <v>0</v>
      </c>
      <c r="G89" s="68" t="str">
        <f>'36. Generic chemical products'!G33</f>
        <v>Isotridecanol ethoxylated</v>
      </c>
      <c r="H89" s="68" t="str">
        <f>'36. Generic chemical products'!H33</f>
        <v>high. pop.</v>
      </c>
      <c r="I89" s="68">
        <f>'36. Generic chemical products'!I33</f>
        <v>1E-4</v>
      </c>
      <c r="J89" s="68" t="str">
        <f>'36. Generic chemical products'!J33</f>
        <v>kg</v>
      </c>
      <c r="K89" s="68">
        <f>'36. Generic chemical products'!K33</f>
        <v>0</v>
      </c>
      <c r="L89" s="68">
        <f>'36. Generic chemical products'!L33</f>
        <v>0</v>
      </c>
      <c r="M89" s="68" t="str">
        <f>'36. Generic chemical products'!M33</f>
        <v>Isotridecanol ethoxylated</v>
      </c>
      <c r="N89" s="68" t="str">
        <f>'36. Generic chemical products'!N33</f>
        <v>river</v>
      </c>
      <c r="O89" s="68">
        <f>'36. Generic chemical products'!O33</f>
        <v>1.0000000000000002E-2</v>
      </c>
      <c r="P89" s="68" t="str">
        <f>'36. Generic chemical products'!P33</f>
        <v>kg</v>
      </c>
      <c r="Q89" s="68">
        <f>'36. Generic chemical products'!Q33</f>
        <v>0</v>
      </c>
      <c r="R89" s="68">
        <f>'36. Generic chemical products'!R33</f>
        <v>0</v>
      </c>
      <c r="S89" s="68">
        <f>'36. Generic chemical products'!S33</f>
        <v>0</v>
      </c>
      <c r="T89" s="68" t="str">
        <f>'36. Generic chemical products'!T33</f>
        <v>69011-36-5</v>
      </c>
      <c r="U89" s="68">
        <f>'36. Generic chemical products'!U33</f>
        <v>0</v>
      </c>
      <c r="V89" s="68">
        <f>'36. Generic chemical products'!V33</f>
        <v>0</v>
      </c>
      <c r="W89" s="68">
        <f>'36. Generic chemical products'!W33</f>
        <v>0</v>
      </c>
      <c r="X89" s="68">
        <f>'36. Generic chemical products'!X33</f>
        <v>0</v>
      </c>
      <c r="Y89" s="68">
        <f>'36. Generic chemical products'!Y33</f>
        <v>47</v>
      </c>
      <c r="Z89" s="68">
        <f>'36. Generic chemical products'!Z33</f>
        <v>913</v>
      </c>
      <c r="AA89" s="68" t="str">
        <f>'36. Generic chemical products'!AA33</f>
        <v>COSMEDE</v>
      </c>
      <c r="AB89" s="300">
        <f>$C$29*I89</f>
        <v>3.0000000000000001E-6</v>
      </c>
      <c r="AC89" s="301">
        <f>$C$45*O89</f>
        <v>3.0000000000000003E-4</v>
      </c>
      <c r="AD89" s="302">
        <f t="shared" si="2"/>
        <v>0</v>
      </c>
      <c r="AE89" s="302">
        <f t="shared" si="3"/>
        <v>0</v>
      </c>
      <c r="AF89" s="303">
        <f t="shared" si="4"/>
        <v>0.27404100000000003</v>
      </c>
      <c r="AG89" s="303">
        <f t="shared" si="5"/>
        <v>0</v>
      </c>
      <c r="AH89" s="303">
        <f t="shared" si="6"/>
        <v>0</v>
      </c>
      <c r="AI89" s="303">
        <f t="shared" si="7"/>
        <v>1.4100000000000001E-4</v>
      </c>
      <c r="AJ89" s="303">
        <f t="shared" si="8"/>
        <v>0</v>
      </c>
      <c r="AK89" s="303">
        <f t="shared" si="9"/>
        <v>0</v>
      </c>
      <c r="AL89" s="303">
        <f t="shared" si="10"/>
        <v>0.27390000000000003</v>
      </c>
      <c r="AM89" s="304">
        <f t="shared" si="11"/>
        <v>0</v>
      </c>
      <c r="AN89" s="305">
        <f t="shared" si="11"/>
        <v>0</v>
      </c>
      <c r="AO89" s="306">
        <f t="shared" si="11"/>
        <v>0.27404100000000003</v>
      </c>
    </row>
    <row r="90" spans="1:41" s="139" customFormat="1" ht="15" customHeight="1" x14ac:dyDescent="0.2">
      <c r="A90" s="193" t="str">
        <f>'36. Generic chemical products'!A34</f>
        <v>Dispergent, average (ALBAFLOW UNI-01)</v>
      </c>
      <c r="B90" s="193" t="str">
        <f>'36. Generic chemical products'!B34</f>
        <v>C9-11 Alkohol ethoxylate</v>
      </c>
      <c r="C90" s="193">
        <f>'36. Generic chemical products'!C34</f>
        <v>0.2</v>
      </c>
      <c r="D90" s="193" t="str">
        <f>'36. Generic chemical products'!D34</f>
        <v>kg</v>
      </c>
      <c r="E90" s="193" t="str">
        <f>'36. Generic chemical products'!E34</f>
        <v>MSDS</v>
      </c>
      <c r="F90" s="193">
        <f>'36. Generic chemical products'!F34</f>
        <v>0</v>
      </c>
      <c r="G90" s="193" t="str">
        <f>'36. Generic chemical products'!G34</f>
        <v>C9-11 Alkohol ethoxylate</v>
      </c>
      <c r="H90" s="193" t="str">
        <f>'36. Generic chemical products'!H34</f>
        <v>high. pop.</v>
      </c>
      <c r="I90" s="193">
        <f>'36. Generic chemical products'!I34</f>
        <v>2.0000000000000001E-4</v>
      </c>
      <c r="J90" s="193" t="str">
        <f>'36. Generic chemical products'!J34</f>
        <v>kg</v>
      </c>
      <c r="K90" s="193">
        <f>'36. Generic chemical products'!K34</f>
        <v>0</v>
      </c>
      <c r="L90" s="193">
        <f>'36. Generic chemical products'!L34</f>
        <v>0</v>
      </c>
      <c r="M90" s="193" t="str">
        <f>'36. Generic chemical products'!M34</f>
        <v>C9-11 Alkohol ethoxylate</v>
      </c>
      <c r="N90" s="193" t="str">
        <f>'36. Generic chemical products'!N34</f>
        <v>river</v>
      </c>
      <c r="O90" s="193">
        <f>'36. Generic chemical products'!O34</f>
        <v>2.0000000000000004E-2</v>
      </c>
      <c r="P90" s="193" t="str">
        <f>'36. Generic chemical products'!P34</f>
        <v>kg</v>
      </c>
      <c r="Q90" s="193">
        <f>'36. Generic chemical products'!Q34</f>
        <v>0</v>
      </c>
      <c r="R90" s="193">
        <f>'36. Generic chemical products'!R34</f>
        <v>0</v>
      </c>
      <c r="S90" s="193">
        <f>'36. Generic chemical products'!S34</f>
        <v>0</v>
      </c>
      <c r="T90" s="193" t="str">
        <f>'36. Generic chemical products'!T34</f>
        <v>68439-46-3</v>
      </c>
      <c r="U90" s="193">
        <f>'36. Generic chemical products'!U34</f>
        <v>0</v>
      </c>
      <c r="V90" s="193">
        <f>'36. Generic chemical products'!V34</f>
        <v>0</v>
      </c>
      <c r="W90" s="193">
        <f>'36. Generic chemical products'!W34</f>
        <v>0</v>
      </c>
      <c r="X90" s="193">
        <f>'36. Generic chemical products'!X34</f>
        <v>0</v>
      </c>
      <c r="Y90" s="193">
        <f>'36. Generic chemical products'!Y34</f>
        <v>53</v>
      </c>
      <c r="Z90" s="193">
        <f>'36. Generic chemical products'!Z34</f>
        <v>687</v>
      </c>
      <c r="AA90" s="193" t="str">
        <f>'36. Generic chemical products'!AA34</f>
        <v>COSMEDE</v>
      </c>
      <c r="AB90" s="307">
        <f>$C$29*I90</f>
        <v>6.0000000000000002E-6</v>
      </c>
      <c r="AC90" s="308">
        <f>$C$45*O90</f>
        <v>6.0000000000000006E-4</v>
      </c>
      <c r="AD90" s="309">
        <f t="shared" si="2"/>
        <v>0</v>
      </c>
      <c r="AE90" s="309">
        <f t="shared" si="3"/>
        <v>0</v>
      </c>
      <c r="AF90" s="310">
        <f t="shared" si="4"/>
        <v>0.412518</v>
      </c>
      <c r="AG90" s="310">
        <f t="shared" si="5"/>
        <v>0</v>
      </c>
      <c r="AH90" s="310">
        <f t="shared" si="6"/>
        <v>0</v>
      </c>
      <c r="AI90" s="310">
        <f t="shared" si="7"/>
        <v>3.1800000000000003E-4</v>
      </c>
      <c r="AJ90" s="310">
        <f t="shared" si="8"/>
        <v>0</v>
      </c>
      <c r="AK90" s="310">
        <f t="shared" si="9"/>
        <v>0</v>
      </c>
      <c r="AL90" s="310">
        <f t="shared" si="10"/>
        <v>0.41220000000000001</v>
      </c>
      <c r="AM90" s="311">
        <f t="shared" si="11"/>
        <v>0</v>
      </c>
      <c r="AN90" s="312">
        <f t="shared" si="11"/>
        <v>0</v>
      </c>
      <c r="AO90" s="313">
        <f t="shared" si="11"/>
        <v>0.412518</v>
      </c>
    </row>
    <row r="91" spans="1:41" s="195" customFormat="1" ht="15" customHeight="1" x14ac:dyDescent="0.2">
      <c r="A91" s="194" t="str">
        <f>'36. Generic chemical products'!A35</f>
        <v>Decalcifier ((NH4)2SO4), average</v>
      </c>
      <c r="B91" s="194" t="str">
        <f>'36. Generic chemical products'!B35</f>
        <v>Ammonium sulphate</v>
      </c>
      <c r="C91" s="194">
        <f>'36. Generic chemical products'!C35</f>
        <v>1</v>
      </c>
      <c r="D91" s="194" t="str">
        <f>'36. Generic chemical products'!D35</f>
        <v>kg</v>
      </c>
      <c r="E91" s="194">
        <f>'36. Generic chemical products'!E35</f>
        <v>1</v>
      </c>
      <c r="F91" s="194">
        <f>'36. Generic chemical products'!F35</f>
        <v>0</v>
      </c>
      <c r="G91" s="194" t="str">
        <f>'36. Generic chemical products'!G35</f>
        <v>-</v>
      </c>
      <c r="H91" s="194">
        <f>'36. Generic chemical products'!H35</f>
        <v>0</v>
      </c>
      <c r="I91" s="194">
        <f>'36. Generic chemical products'!I35</f>
        <v>0</v>
      </c>
      <c r="J91" s="194">
        <f>'36. Generic chemical products'!J35</f>
        <v>0</v>
      </c>
      <c r="K91" s="194">
        <f>'36. Generic chemical products'!K35</f>
        <v>0</v>
      </c>
      <c r="L91" s="194">
        <f>'36. Generic chemical products'!L35</f>
        <v>0</v>
      </c>
      <c r="M91" s="194" t="str">
        <f>'36. Generic chemical products'!M35</f>
        <v>Ammonium sulphate</v>
      </c>
      <c r="N91" s="194" t="str">
        <f>'36. Generic chemical products'!N35</f>
        <v>river</v>
      </c>
      <c r="O91" s="194">
        <f>'36. Generic chemical products'!O35</f>
        <v>0.1</v>
      </c>
      <c r="P91" s="194" t="str">
        <f>'36. Generic chemical products'!P35</f>
        <v>kg</v>
      </c>
      <c r="Q91" s="194">
        <f>'36. Generic chemical products'!Q35</f>
        <v>0</v>
      </c>
      <c r="R91" s="194">
        <f>'36. Generic chemical products'!R35</f>
        <v>0</v>
      </c>
      <c r="S91" s="194">
        <f>'36. Generic chemical products'!S35</f>
        <v>0</v>
      </c>
      <c r="T91" s="194" t="str">
        <f>'36. Generic chemical products'!T35</f>
        <v>7783-20-2</v>
      </c>
      <c r="U91" s="194">
        <f>'36. Generic chemical products'!U35</f>
        <v>0</v>
      </c>
      <c r="V91" s="194">
        <f>'36. Generic chemical products'!V35</f>
        <v>0</v>
      </c>
      <c r="W91" s="194">
        <f>'36. Generic chemical products'!W35</f>
        <v>0</v>
      </c>
      <c r="X91" s="194">
        <f>'36. Generic chemical products'!X35</f>
        <v>0</v>
      </c>
      <c r="Y91" s="194">
        <f>'36. Generic chemical products'!Y35</f>
        <v>4.9000000000000004</v>
      </c>
      <c r="Z91" s="194">
        <f>'36. Generic chemical products'!Z35</f>
        <v>100</v>
      </c>
      <c r="AA91" s="194" t="str">
        <f>'36. Generic chemical products'!AA35</f>
        <v>COSMEDE</v>
      </c>
      <c r="AB91" s="327">
        <f>$C$30*I91</f>
        <v>0</v>
      </c>
      <c r="AC91" s="328">
        <f>$C$46*O91</f>
        <v>2E-3</v>
      </c>
      <c r="AD91" s="329">
        <f t="shared" si="2"/>
        <v>0</v>
      </c>
      <c r="AE91" s="329">
        <f t="shared" si="3"/>
        <v>0</v>
      </c>
      <c r="AF91" s="330">
        <f t="shared" si="4"/>
        <v>0.2</v>
      </c>
      <c r="AG91" s="330">
        <f t="shared" si="5"/>
        <v>0</v>
      </c>
      <c r="AH91" s="330">
        <f t="shared" si="6"/>
        <v>0</v>
      </c>
      <c r="AI91" s="330">
        <f t="shared" si="7"/>
        <v>0</v>
      </c>
      <c r="AJ91" s="330">
        <f t="shared" si="8"/>
        <v>0</v>
      </c>
      <c r="AK91" s="330">
        <f t="shared" si="9"/>
        <v>0</v>
      </c>
      <c r="AL91" s="330">
        <f t="shared" si="10"/>
        <v>0.2</v>
      </c>
      <c r="AM91" s="331">
        <f t="shared" si="11"/>
        <v>0</v>
      </c>
      <c r="AN91" s="332">
        <f t="shared" si="11"/>
        <v>0</v>
      </c>
      <c r="AO91" s="333">
        <f t="shared" si="11"/>
        <v>0.2</v>
      </c>
    </row>
    <row r="92" spans="1:41" s="195" customFormat="1" ht="15" customHeight="1" x14ac:dyDescent="0.2">
      <c r="A92" s="196" t="str">
        <f>'36. Generic chemical products'!A36</f>
        <v>Antireduction agent (H2O2), average</v>
      </c>
      <c r="B92" s="196" t="str">
        <f>'36. Generic chemical products'!B36</f>
        <v>Hydrogen peroxide</v>
      </c>
      <c r="C92" s="196">
        <f>'36. Generic chemical products'!C36</f>
        <v>1</v>
      </c>
      <c r="D92" s="196" t="str">
        <f>'36. Generic chemical products'!D36</f>
        <v>kg</v>
      </c>
      <c r="E92" s="196">
        <f>'36. Generic chemical products'!E36</f>
        <v>1</v>
      </c>
      <c r="F92" s="196">
        <f>'36. Generic chemical products'!F36</f>
        <v>0</v>
      </c>
      <c r="G92" s="196" t="str">
        <f>'36. Generic chemical products'!G36</f>
        <v>Hydrogen peroxide</v>
      </c>
      <c r="H92" s="196" t="str">
        <f>'36. Generic chemical products'!H36</f>
        <v>high. pop.</v>
      </c>
      <c r="I92" s="196">
        <f>'36. Generic chemical products'!I36</f>
        <v>1E-3</v>
      </c>
      <c r="J92" s="196" t="str">
        <f>'36. Generic chemical products'!J36</f>
        <v>kg</v>
      </c>
      <c r="K92" s="196">
        <f>'36. Generic chemical products'!K36</f>
        <v>0</v>
      </c>
      <c r="L92" s="196">
        <f>'36. Generic chemical products'!L36</f>
        <v>0</v>
      </c>
      <c r="M92" s="196" t="str">
        <f>'36. Generic chemical products'!M36</f>
        <v>Hydrogen peroxide</v>
      </c>
      <c r="N92" s="196" t="str">
        <f>'36. Generic chemical products'!N36</f>
        <v>river</v>
      </c>
      <c r="O92" s="196">
        <f>'36. Generic chemical products'!O36</f>
        <v>1.0000000000000002E-2</v>
      </c>
      <c r="P92" s="196" t="str">
        <f>'36. Generic chemical products'!P36</f>
        <v>kg</v>
      </c>
      <c r="Q92" s="196" t="str">
        <f>'36. Generic chemical products'!Q36</f>
        <v>90% of reactive chemicals are degraded during operations.</v>
      </c>
      <c r="R92" s="196">
        <f>'36. Generic chemical products'!R36</f>
        <v>0</v>
      </c>
      <c r="S92" s="196">
        <f>'36. Generic chemical products'!S36</f>
        <v>0</v>
      </c>
      <c r="T92" s="196" t="str">
        <f>'36. Generic chemical products'!T36</f>
        <v>7722-84-1</v>
      </c>
      <c r="U92" s="196">
        <f>'36. Generic chemical products'!U36</f>
        <v>0</v>
      </c>
      <c r="V92" s="196">
        <f>'36. Generic chemical products'!V36</f>
        <v>0</v>
      </c>
      <c r="W92" s="196">
        <f>'36. Generic chemical products'!W36</f>
        <v>0</v>
      </c>
      <c r="X92" s="196">
        <f>'36. Generic chemical products'!X36</f>
        <v>0</v>
      </c>
      <c r="Y92" s="196">
        <f>'36. Generic chemical products'!Y36</f>
        <v>222</v>
      </c>
      <c r="Z92" s="196">
        <f>'36. Generic chemical products'!Z36</f>
        <v>53200</v>
      </c>
      <c r="AA92" s="196" t="str">
        <f>'36. Generic chemical products'!AA36</f>
        <v>COSMEDE</v>
      </c>
      <c r="AB92" s="327">
        <f>$C$31*I92</f>
        <v>3.0000000000000001E-5</v>
      </c>
      <c r="AC92" s="328">
        <f>$C$47*O92</f>
        <v>3.0000000000000003E-4</v>
      </c>
      <c r="AD92" s="329">
        <f t="shared" si="2"/>
        <v>0</v>
      </c>
      <c r="AE92" s="329">
        <f t="shared" si="3"/>
        <v>0</v>
      </c>
      <c r="AF92" s="330">
        <f t="shared" si="4"/>
        <v>15.966660000000001</v>
      </c>
      <c r="AG92" s="330">
        <f t="shared" si="5"/>
        <v>0</v>
      </c>
      <c r="AH92" s="330">
        <f t="shared" si="6"/>
        <v>0</v>
      </c>
      <c r="AI92" s="330">
        <f t="shared" si="7"/>
        <v>6.6600000000000001E-3</v>
      </c>
      <c r="AJ92" s="330">
        <f t="shared" si="8"/>
        <v>0</v>
      </c>
      <c r="AK92" s="330">
        <f t="shared" si="9"/>
        <v>0</v>
      </c>
      <c r="AL92" s="330">
        <f t="shared" si="10"/>
        <v>15.96</v>
      </c>
      <c r="AM92" s="331">
        <f t="shared" si="11"/>
        <v>0</v>
      </c>
      <c r="AN92" s="332">
        <f t="shared" si="11"/>
        <v>0</v>
      </c>
      <c r="AO92" s="333">
        <f t="shared" si="11"/>
        <v>15.966660000000001</v>
      </c>
    </row>
    <row r="93" spans="1:41" s="195" customFormat="1" ht="15" customHeight="1" x14ac:dyDescent="0.2">
      <c r="A93" s="194" t="str">
        <f>'36. Generic chemical products'!A81</f>
        <v>Yellow disperse dyestuff PES, average (Terasil Yellow W-6GS)</v>
      </c>
      <c r="B93" s="194" t="str">
        <f>'36. Generic chemical products'!B81</f>
        <v>1,2-dihydro-6-hydroxy-1,4-dimethyl-2-oxo-5-[[3-[(phenylsulphonyl)oxy]phenyl]azo]nicotinonitrile</v>
      </c>
      <c r="C93" s="194">
        <f>'36. Generic chemical products'!C81</f>
        <v>1</v>
      </c>
      <c r="D93" s="194" t="str">
        <f>'36. Generic chemical products'!D81</f>
        <v>kg</v>
      </c>
      <c r="E93" s="194" t="str">
        <f>'36. Generic chemical products'!E81</f>
        <v>Selected from Colour Index database. Assumption. This substance is pre-registered under REACH.</v>
      </c>
      <c r="F93" s="194">
        <f>'36. Generic chemical products'!F81</f>
        <v>0</v>
      </c>
      <c r="G93" s="194" t="str">
        <f>'36. Generic chemical products'!G81</f>
        <v>1,2-dihydro-6-hydroxy-1,4-dimethyl-2-oxo-5-[[3-[(phenylsulphonyl)oxy]phenyl]azo]nicotinonitrile</v>
      </c>
      <c r="H93" s="194" t="str">
        <f>'36. Generic chemical products'!H81</f>
        <v>high. pop.</v>
      </c>
      <c r="I93" s="194">
        <f>'36. Generic chemical products'!I81</f>
        <v>1E-3</v>
      </c>
      <c r="J93" s="194" t="str">
        <f>'36. Generic chemical products'!J81</f>
        <v>kg</v>
      </c>
      <c r="K93" s="194">
        <f>'36. Generic chemical products'!K81</f>
        <v>0</v>
      </c>
      <c r="L93" s="194">
        <f>'36. Generic chemical products'!L81</f>
        <v>0</v>
      </c>
      <c r="M93" s="194" t="str">
        <f>'36. Generic chemical products'!M81</f>
        <v>1,2-dihydro-6-hydroxy-1,4-dimethyl-2-oxo-5-[[3-[(phenylsulphonyl)oxy]phenyl]azo]nicotinonitrile</v>
      </c>
      <c r="N93" s="194" t="str">
        <f>'36. Generic chemical products'!N81</f>
        <v>river</v>
      </c>
      <c r="O93" s="194">
        <f>'36. Generic chemical products'!O81</f>
        <v>5.000000000000001E-3</v>
      </c>
      <c r="P93" s="194" t="str">
        <f>'36. Generic chemical products'!P81</f>
        <v>kg</v>
      </c>
      <c r="Q93" s="194" t="str">
        <f>'36. Generic chemical products'!Q81</f>
        <v>95% on fabric</v>
      </c>
      <c r="R93" s="194">
        <f>'36. Generic chemical products'!R81</f>
        <v>0</v>
      </c>
      <c r="S93" s="194">
        <f>'36. Generic chemical products'!S81</f>
        <v>0</v>
      </c>
      <c r="T93" s="194" t="str">
        <f>'36. Generic chemical products'!T81</f>
        <v>59312-61-7</v>
      </c>
      <c r="U93" s="194">
        <f>'36. Generic chemical products'!U81</f>
        <v>0</v>
      </c>
      <c r="V93" s="194">
        <f>'36. Generic chemical products'!V81</f>
        <v>0</v>
      </c>
      <c r="W93" s="194">
        <f>'36. Generic chemical products'!W81</f>
        <v>0</v>
      </c>
      <c r="X93" s="194">
        <f>'36. Generic chemical products'!X81</f>
        <v>0</v>
      </c>
      <c r="Y93" s="194">
        <f>'36. Generic chemical products'!Y81</f>
        <v>279.49742748859956</v>
      </c>
      <c r="Z93" s="194">
        <f>'36. Generic chemical products'!Z81</f>
        <v>35.171294449245522</v>
      </c>
      <c r="AA93" s="194" t="str">
        <f>'36. Generic chemical products'!AA81</f>
        <v>Roos 2017</v>
      </c>
      <c r="AB93" s="327">
        <f>$C$32*I93</f>
        <v>5.9999999999999997E-7</v>
      </c>
      <c r="AC93" s="328">
        <f>$C$48*O93</f>
        <v>3.0000000000000005E-6</v>
      </c>
      <c r="AD93" s="329">
        <f t="shared" si="2"/>
        <v>0</v>
      </c>
      <c r="AE93" s="329">
        <f t="shared" si="3"/>
        <v>0</v>
      </c>
      <c r="AF93" s="330">
        <f t="shared" si="4"/>
        <v>2.7321233984089631E-4</v>
      </c>
      <c r="AG93" s="330">
        <f t="shared" si="5"/>
        <v>0</v>
      </c>
      <c r="AH93" s="330">
        <f t="shared" si="6"/>
        <v>0</v>
      </c>
      <c r="AI93" s="330">
        <f t="shared" si="7"/>
        <v>1.6769845649315971E-4</v>
      </c>
      <c r="AJ93" s="330">
        <f t="shared" si="8"/>
        <v>0</v>
      </c>
      <c r="AK93" s="330">
        <f t="shared" si="9"/>
        <v>0</v>
      </c>
      <c r="AL93" s="330">
        <f t="shared" si="10"/>
        <v>1.0551388334773658E-4</v>
      </c>
      <c r="AM93" s="331">
        <f t="shared" si="11"/>
        <v>0</v>
      </c>
      <c r="AN93" s="332">
        <f t="shared" si="11"/>
        <v>0</v>
      </c>
      <c r="AO93" s="333">
        <f t="shared" si="11"/>
        <v>2.7321233984089631E-4</v>
      </c>
    </row>
    <row r="94" spans="1:41" s="195" customFormat="1" ht="15" customHeight="1" x14ac:dyDescent="0.2">
      <c r="A94" s="196" t="str">
        <f>'36. Generic chemical products'!A76</f>
        <v>Red disperse/VAT dyestuff PES, average (Terasil W Red W-FS)</v>
      </c>
      <c r="B94" s="196" t="str">
        <f>'36. Generic chemical products'!B76</f>
        <v>2-(3-oxobenzo[b]thien-2(3H)-ylidene)benzo[b]thiophene-3(2H)-one</v>
      </c>
      <c r="C94" s="196">
        <f>'36. Generic chemical products'!C76</f>
        <v>1</v>
      </c>
      <c r="D94" s="196" t="str">
        <f>'36. Generic chemical products'!D76</f>
        <v>kg</v>
      </c>
      <c r="E94" s="196" t="str">
        <f>'36. Generic chemical products'!E76</f>
        <v>Selected from Colour Index database. Assumption. This substance is pre-registered under REACH.</v>
      </c>
      <c r="F94" s="196">
        <f>'36. Generic chemical products'!F76</f>
        <v>0</v>
      </c>
      <c r="G94" s="196" t="str">
        <f>'36. Generic chemical products'!G76</f>
        <v>2-(3-oxobenzo[b]thien-2(3H)-ylidene)benzo[b]thiophene-3(2H)-one</v>
      </c>
      <c r="H94" s="196" t="str">
        <f>'36. Generic chemical products'!H76</f>
        <v>high. pop.</v>
      </c>
      <c r="I94" s="196">
        <f>'36. Generic chemical products'!I76</f>
        <v>1E-3</v>
      </c>
      <c r="J94" s="196" t="str">
        <f>'36. Generic chemical products'!J76</f>
        <v>kg</v>
      </c>
      <c r="K94" s="196">
        <f>'36. Generic chemical products'!K76</f>
        <v>0</v>
      </c>
      <c r="L94" s="196">
        <f>'36. Generic chemical products'!L76</f>
        <v>0</v>
      </c>
      <c r="M94" s="196" t="str">
        <f>'36. Generic chemical products'!M76</f>
        <v>2-(3-oxobenzo[b]thien-2(3H)-ylidene)benzo[b]thiophene-3(2H)-one</v>
      </c>
      <c r="N94" s="196" t="str">
        <f>'36. Generic chemical products'!N76</f>
        <v>river</v>
      </c>
      <c r="O94" s="196">
        <f>'36. Generic chemical products'!O76</f>
        <v>5.000000000000001E-3</v>
      </c>
      <c r="P94" s="196" t="str">
        <f>'36. Generic chemical products'!P76</f>
        <v>kg</v>
      </c>
      <c r="Q94" s="196" t="str">
        <f>'36. Generic chemical products'!Q76</f>
        <v>95% on fabric</v>
      </c>
      <c r="R94" s="196">
        <f>'36. Generic chemical products'!R76</f>
        <v>0</v>
      </c>
      <c r="S94" s="196">
        <f>'36. Generic chemical products'!S76</f>
        <v>0</v>
      </c>
      <c r="T94" s="196" t="str">
        <f>'36. Generic chemical products'!T76</f>
        <v>522-75-8</v>
      </c>
      <c r="U94" s="196">
        <f>'36. Generic chemical products'!U76</f>
        <v>0</v>
      </c>
      <c r="V94" s="196">
        <f>'36. Generic chemical products'!V76</f>
        <v>4.7523947982961088E-7</v>
      </c>
      <c r="W94" s="196">
        <f>'36. Generic chemical products'!W76</f>
        <v>0</v>
      </c>
      <c r="X94" s="196">
        <f>'36. Generic chemical products'!X76</f>
        <v>5.9553870155211211E-7</v>
      </c>
      <c r="Y94" s="196">
        <f>'36. Generic chemical products'!Y76</f>
        <v>174.02319075927511</v>
      </c>
      <c r="Z94" s="196">
        <f>'36. Generic chemical products'!Z76</f>
        <v>462.56767404636184</v>
      </c>
      <c r="AA94" s="196" t="str">
        <f>'36. Generic chemical products'!AA76</f>
        <v>Roos 2017</v>
      </c>
      <c r="AB94" s="327">
        <f>$C$33*I94</f>
        <v>1.2999999999999999E-5</v>
      </c>
      <c r="AC94" s="328">
        <f>$C$49*O94</f>
        <v>6.5000000000000008E-5</v>
      </c>
      <c r="AD94" s="329">
        <f t="shared" si="2"/>
        <v>0</v>
      </c>
      <c r="AE94" s="329">
        <f t="shared" si="3"/>
        <v>4.488812883867223E-11</v>
      </c>
      <c r="AF94" s="330">
        <f t="shared" si="4"/>
        <v>3.2329200292884101E-2</v>
      </c>
      <c r="AG94" s="330">
        <f t="shared" si="5"/>
        <v>0</v>
      </c>
      <c r="AH94" s="330">
        <f t="shared" si="6"/>
        <v>6.1781132377849412E-12</v>
      </c>
      <c r="AI94" s="330">
        <f t="shared" si="7"/>
        <v>2.2623014798705764E-3</v>
      </c>
      <c r="AJ94" s="330">
        <f t="shared" si="8"/>
        <v>0</v>
      </c>
      <c r="AK94" s="330">
        <f t="shared" si="9"/>
        <v>3.8710015600887291E-11</v>
      </c>
      <c r="AL94" s="330">
        <f t="shared" si="10"/>
        <v>3.0066898813013523E-2</v>
      </c>
      <c r="AM94" s="331">
        <f t="shared" si="11"/>
        <v>0</v>
      </c>
      <c r="AN94" s="332">
        <f t="shared" si="11"/>
        <v>4.488812883867223E-11</v>
      </c>
      <c r="AO94" s="333">
        <f t="shared" si="11"/>
        <v>3.2329200292884101E-2</v>
      </c>
    </row>
    <row r="95" spans="1:41" s="195" customFormat="1" ht="15" customHeight="1" x14ac:dyDescent="0.2">
      <c r="A95" s="194" t="str">
        <f>'36. Generic chemical products'!A16</f>
        <v>Base (alkali) (NaOH), average</v>
      </c>
      <c r="B95" s="194" t="str">
        <f>'36. Generic chemical products'!B16</f>
        <v>Sodium hydroxide</v>
      </c>
      <c r="C95" s="194">
        <f>'36. Generic chemical products'!C16</f>
        <v>1</v>
      </c>
      <c r="D95" s="194" t="str">
        <f>'36. Generic chemical products'!D16</f>
        <v>kg</v>
      </c>
      <c r="E95" s="194">
        <f>'36. Generic chemical products'!E16</f>
        <v>1</v>
      </c>
      <c r="F95" s="194">
        <f>'36. Generic chemical products'!F16</f>
        <v>0</v>
      </c>
      <c r="G95" s="194" t="str">
        <f>'36. Generic chemical products'!G16</f>
        <v>-</v>
      </c>
      <c r="H95" s="194">
        <f>'36. Generic chemical products'!H16</f>
        <v>0</v>
      </c>
      <c r="I95" s="194">
        <f>'36. Generic chemical products'!I16</f>
        <v>0</v>
      </c>
      <c r="J95" s="194">
        <f>'36. Generic chemical products'!J16</f>
        <v>0</v>
      </c>
      <c r="K95" s="194" t="str">
        <f>'36. Generic chemical products'!K16</f>
        <v>Worst case - mist carries substance</v>
      </c>
      <c r="L95" s="194">
        <f>'36. Generic chemical products'!L16</f>
        <v>0</v>
      </c>
      <c r="M95" s="194" t="str">
        <f>'36. Generic chemical products'!M16</f>
        <v>Sodium hydroxide</v>
      </c>
      <c r="N95" s="194" t="str">
        <f>'36. Generic chemical products'!N16</f>
        <v>river</v>
      </c>
      <c r="O95" s="194">
        <f>'36. Generic chemical products'!O16</f>
        <v>0.1</v>
      </c>
      <c r="P95" s="194" t="str">
        <f>'36. Generic chemical products'!P16</f>
        <v>kg</v>
      </c>
      <c r="Q95" s="194">
        <f>'36. Generic chemical products'!Q16</f>
        <v>0</v>
      </c>
      <c r="R95" s="194">
        <f>'36. Generic chemical products'!R16</f>
        <v>0</v>
      </c>
      <c r="S95" s="194">
        <f>'36. Generic chemical products'!S16</f>
        <v>0</v>
      </c>
      <c r="T95" s="194" t="str">
        <f>'36. Generic chemical products'!T16</f>
        <v>1310-73-2</v>
      </c>
      <c r="U95" s="194">
        <f>'36. Generic chemical products'!U16</f>
        <v>0</v>
      </c>
      <c r="V95" s="194">
        <f>'36. Generic chemical products'!V16</f>
        <v>0</v>
      </c>
      <c r="W95" s="194">
        <f>'36. Generic chemical products'!W16</f>
        <v>0</v>
      </c>
      <c r="X95" s="194">
        <f>'36. Generic chemical products'!X16</f>
        <v>0</v>
      </c>
      <c r="Y95" s="194">
        <f>'36. Generic chemical products'!Y16</f>
        <v>164.24</v>
      </c>
      <c r="Z95" s="194">
        <f>'36. Generic chemical products'!Z16</f>
        <v>400.09</v>
      </c>
      <c r="AA95" s="194" t="str">
        <f>'36. Generic chemical products'!AA16</f>
        <v>COSMEDE</v>
      </c>
      <c r="AB95" s="327">
        <f>$C$34*I95</f>
        <v>0</v>
      </c>
      <c r="AC95" s="328">
        <f>$C$50*O95</f>
        <v>5.0000000000000001E-4</v>
      </c>
      <c r="AD95" s="329">
        <f t="shared" si="2"/>
        <v>0</v>
      </c>
      <c r="AE95" s="329">
        <f t="shared" si="3"/>
        <v>0</v>
      </c>
      <c r="AF95" s="330">
        <f t="shared" si="4"/>
        <v>0.200045</v>
      </c>
      <c r="AG95" s="330">
        <f t="shared" si="5"/>
        <v>0</v>
      </c>
      <c r="AH95" s="330">
        <f t="shared" si="6"/>
        <v>0</v>
      </c>
      <c r="AI95" s="330">
        <f t="shared" si="7"/>
        <v>0</v>
      </c>
      <c r="AJ95" s="330">
        <f t="shared" si="8"/>
        <v>0</v>
      </c>
      <c r="AK95" s="330">
        <f t="shared" si="9"/>
        <v>0</v>
      </c>
      <c r="AL95" s="330">
        <f t="shared" si="10"/>
        <v>0.200045</v>
      </c>
      <c r="AM95" s="331">
        <f t="shared" si="11"/>
        <v>0</v>
      </c>
      <c r="AN95" s="332">
        <f t="shared" si="11"/>
        <v>0</v>
      </c>
      <c r="AO95" s="333">
        <f t="shared" si="11"/>
        <v>0.200045</v>
      </c>
    </row>
    <row r="96" spans="1:41" s="51" customFormat="1" ht="15" customHeight="1" x14ac:dyDescent="0.2">
      <c r="A96" s="68" t="str">
        <f>'36. Generic chemical products'!A41</f>
        <v>Reducing agent, average</v>
      </c>
      <c r="B96" s="68" t="str">
        <f>'36. Generic chemical products'!B41</f>
        <v>Sodium dithionite</v>
      </c>
      <c r="C96" s="68">
        <f>'36. Generic chemical products'!C41</f>
        <v>0.9</v>
      </c>
      <c r="D96" s="68" t="str">
        <f>'36. Generic chemical products'!D41</f>
        <v>kg</v>
      </c>
      <c r="E96" s="68" t="str">
        <f>'36. Generic chemical products'!E41</f>
        <v>MSDS</v>
      </c>
      <c r="F96" s="68">
        <f>'36. Generic chemical products'!F41</f>
        <v>0</v>
      </c>
      <c r="G96" s="68" t="str">
        <f>'36. Generic chemical products'!G41</f>
        <v>-</v>
      </c>
      <c r="H96" s="68">
        <f>'36. Generic chemical products'!H41</f>
        <v>0</v>
      </c>
      <c r="I96" s="68">
        <f>'36. Generic chemical products'!I41</f>
        <v>0</v>
      </c>
      <c r="J96" s="68">
        <f>'36. Generic chemical products'!J41</f>
        <v>0</v>
      </c>
      <c r="K96" s="68">
        <f>'36. Generic chemical products'!K41</f>
        <v>0</v>
      </c>
      <c r="L96" s="68">
        <f>'36. Generic chemical products'!L41</f>
        <v>0</v>
      </c>
      <c r="M96" s="68" t="str">
        <f>'36. Generic chemical products'!M41</f>
        <v>Sodium dithionite</v>
      </c>
      <c r="N96" s="68" t="str">
        <f>'36. Generic chemical products'!N41</f>
        <v>river</v>
      </c>
      <c r="O96" s="68">
        <f>'36. Generic chemical products'!O41</f>
        <v>9.0000000000000011E-2</v>
      </c>
      <c r="P96" s="68" t="str">
        <f>'36. Generic chemical products'!P41</f>
        <v>kg</v>
      </c>
      <c r="Q96" s="68">
        <f>'36. Generic chemical products'!Q41</f>
        <v>0</v>
      </c>
      <c r="R96" s="68">
        <f>'36. Generic chemical products'!R41</f>
        <v>0</v>
      </c>
      <c r="S96" s="68">
        <f>'36. Generic chemical products'!S41</f>
        <v>0</v>
      </c>
      <c r="T96" s="68" t="str">
        <f>'36. Generic chemical products'!T41</f>
        <v>7775-14-6</v>
      </c>
      <c r="U96" s="68">
        <f>'36. Generic chemical products'!U41</f>
        <v>0</v>
      </c>
      <c r="V96" s="68">
        <f>'36. Generic chemical products'!V41</f>
        <v>0</v>
      </c>
      <c r="W96" s="68">
        <f>'36. Generic chemical products'!W41</f>
        <v>0</v>
      </c>
      <c r="X96" s="68">
        <f>'36. Generic chemical products'!X41</f>
        <v>0</v>
      </c>
      <c r="Y96" s="68">
        <f>'36. Generic chemical products'!Y41</f>
        <v>52.575000000000003</v>
      </c>
      <c r="Z96" s="68">
        <f>'36. Generic chemical products'!Z41</f>
        <v>125.31</v>
      </c>
      <c r="AA96" s="68" t="str">
        <f>'36. Generic chemical products'!AA41</f>
        <v>COSMEDE</v>
      </c>
      <c r="AB96" s="300">
        <f>$C$35*I96</f>
        <v>0</v>
      </c>
      <c r="AC96" s="301">
        <f>$C$51*O96</f>
        <v>4.5000000000000004E-4</v>
      </c>
      <c r="AD96" s="302">
        <f t="shared" si="2"/>
        <v>0</v>
      </c>
      <c r="AE96" s="302">
        <f t="shared" si="3"/>
        <v>0</v>
      </c>
      <c r="AF96" s="303">
        <f t="shared" si="4"/>
        <v>5.6389500000000009E-2</v>
      </c>
      <c r="AG96" s="303">
        <f t="shared" si="5"/>
        <v>0</v>
      </c>
      <c r="AH96" s="303">
        <f t="shared" si="6"/>
        <v>0</v>
      </c>
      <c r="AI96" s="303">
        <f t="shared" si="7"/>
        <v>0</v>
      </c>
      <c r="AJ96" s="303">
        <f t="shared" si="8"/>
        <v>0</v>
      </c>
      <c r="AK96" s="303">
        <f t="shared" si="9"/>
        <v>0</v>
      </c>
      <c r="AL96" s="303">
        <f t="shared" si="10"/>
        <v>5.6389500000000009E-2</v>
      </c>
      <c r="AM96" s="304">
        <f t="shared" si="11"/>
        <v>0</v>
      </c>
      <c r="AN96" s="305">
        <f t="shared" si="11"/>
        <v>0</v>
      </c>
      <c r="AO96" s="306">
        <f t="shared" si="11"/>
        <v>5.6389500000000009E-2</v>
      </c>
    </row>
    <row r="97" spans="1:41" s="51" customFormat="1" ht="15" customHeight="1" x14ac:dyDescent="0.2">
      <c r="A97" s="68" t="str">
        <f>'36. Generic chemical products'!A42</f>
        <v>Reducing agent, average</v>
      </c>
      <c r="B97" s="68" t="str">
        <f>'36. Generic chemical products'!B42</f>
        <v>Sodium disulfate</v>
      </c>
      <c r="C97" s="68">
        <f>'36. Generic chemical products'!C42</f>
        <v>0.08</v>
      </c>
      <c r="D97" s="68" t="str">
        <f>'36. Generic chemical products'!D42</f>
        <v>kg</v>
      </c>
      <c r="E97" s="68" t="str">
        <f>'36. Generic chemical products'!E42</f>
        <v>MSDS</v>
      </c>
      <c r="F97" s="68">
        <f>'36. Generic chemical products'!F42</f>
        <v>0</v>
      </c>
      <c r="G97" s="68" t="str">
        <f>'36. Generic chemical products'!G42</f>
        <v>-</v>
      </c>
      <c r="H97" s="68">
        <f>'36. Generic chemical products'!H42</f>
        <v>0</v>
      </c>
      <c r="I97" s="68">
        <f>'36. Generic chemical products'!I42</f>
        <v>0</v>
      </c>
      <c r="J97" s="68">
        <f>'36. Generic chemical products'!J42</f>
        <v>0</v>
      </c>
      <c r="K97" s="68">
        <f>'36. Generic chemical products'!K42</f>
        <v>0</v>
      </c>
      <c r="L97" s="68">
        <f>'36. Generic chemical products'!L42</f>
        <v>0</v>
      </c>
      <c r="M97" s="68" t="str">
        <f>'36. Generic chemical products'!M42</f>
        <v>Sodium disulfate</v>
      </c>
      <c r="N97" s="68" t="str">
        <f>'36. Generic chemical products'!N42</f>
        <v>river</v>
      </c>
      <c r="O97" s="68">
        <f>'36. Generic chemical products'!O42</f>
        <v>8.0000000000000002E-3</v>
      </c>
      <c r="P97" s="68" t="str">
        <f>'36. Generic chemical products'!P42</f>
        <v>kg</v>
      </c>
      <c r="Q97" s="68">
        <f>'36. Generic chemical products'!Q42</f>
        <v>0</v>
      </c>
      <c r="R97" s="68">
        <f>'36. Generic chemical products'!R42</f>
        <v>0</v>
      </c>
      <c r="S97" s="68">
        <f>'36. Generic chemical products'!S42</f>
        <v>0</v>
      </c>
      <c r="T97" s="68" t="str">
        <f>'36. Generic chemical products'!T42</f>
        <v>7681-57-4</v>
      </c>
      <c r="U97" s="68">
        <f>'36. Generic chemical products'!U42</f>
        <v>0</v>
      </c>
      <c r="V97" s="68">
        <f>'36. Generic chemical products'!V42</f>
        <v>0</v>
      </c>
      <c r="W97" s="68">
        <f>'36. Generic chemical products'!W42</f>
        <v>0</v>
      </c>
      <c r="X97" s="68">
        <f>'36. Generic chemical products'!X42</f>
        <v>0</v>
      </c>
      <c r="Y97" s="68">
        <f>'36. Generic chemical products'!Y42</f>
        <v>6.0401999999999996</v>
      </c>
      <c r="Z97" s="68">
        <f>'36. Generic chemical products'!Z42</f>
        <v>126.48</v>
      </c>
      <c r="AA97" s="68" t="str">
        <f>'36. Generic chemical products'!AA42</f>
        <v>COSMEDE</v>
      </c>
      <c r="AB97" s="300">
        <f>$C$35*I97</f>
        <v>0</v>
      </c>
      <c r="AC97" s="301">
        <f>$C$51*O97</f>
        <v>4.0000000000000003E-5</v>
      </c>
      <c r="AD97" s="302">
        <f t="shared" si="2"/>
        <v>0</v>
      </c>
      <c r="AE97" s="302">
        <f t="shared" si="3"/>
        <v>0</v>
      </c>
      <c r="AF97" s="303">
        <f t="shared" si="4"/>
        <v>5.0592000000000007E-3</v>
      </c>
      <c r="AG97" s="303">
        <f t="shared" si="5"/>
        <v>0</v>
      </c>
      <c r="AH97" s="303">
        <f t="shared" si="6"/>
        <v>0</v>
      </c>
      <c r="AI97" s="303">
        <f t="shared" si="7"/>
        <v>0</v>
      </c>
      <c r="AJ97" s="303">
        <f t="shared" si="8"/>
        <v>0</v>
      </c>
      <c r="AK97" s="303">
        <f t="shared" si="9"/>
        <v>0</v>
      </c>
      <c r="AL97" s="303">
        <f t="shared" si="10"/>
        <v>5.0592000000000007E-3</v>
      </c>
      <c r="AM97" s="304">
        <f t="shared" si="11"/>
        <v>0</v>
      </c>
      <c r="AN97" s="305">
        <f t="shared" si="11"/>
        <v>0</v>
      </c>
      <c r="AO97" s="306">
        <f t="shared" si="11"/>
        <v>5.0592000000000007E-3</v>
      </c>
    </row>
    <row r="98" spans="1:41" s="51" customFormat="1" ht="15" customHeight="1" x14ac:dyDescent="0.2">
      <c r="A98" s="68" t="str">
        <f>'36. Generic chemical products'!A43</f>
        <v>Reducing agent, average</v>
      </c>
      <c r="B98" s="68" t="str">
        <f>'36. Generic chemical products'!B43</f>
        <v>Sodium carbonate (Na2CO3)</v>
      </c>
      <c r="C98" s="68">
        <f>'36. Generic chemical products'!C43</f>
        <v>0.02</v>
      </c>
      <c r="D98" s="68" t="str">
        <f>'36. Generic chemical products'!D43</f>
        <v>kg</v>
      </c>
      <c r="E98" s="68" t="str">
        <f>'36. Generic chemical products'!E43</f>
        <v>MSDS</v>
      </c>
      <c r="F98" s="68">
        <f>'36. Generic chemical products'!F43</f>
        <v>0</v>
      </c>
      <c r="G98" s="68" t="str">
        <f>'36. Generic chemical products'!G43</f>
        <v>-</v>
      </c>
      <c r="H98" s="68">
        <f>'36. Generic chemical products'!H43</f>
        <v>0</v>
      </c>
      <c r="I98" s="68">
        <f>'36. Generic chemical products'!I43</f>
        <v>0</v>
      </c>
      <c r="J98" s="68">
        <f>'36. Generic chemical products'!J43</f>
        <v>0</v>
      </c>
      <c r="K98" s="68" t="str">
        <f>'36. Generic chemical products'!K43</f>
        <v>Worst case - mist carries substance</v>
      </c>
      <c r="L98" s="68">
        <f>'36. Generic chemical products'!L43</f>
        <v>0</v>
      </c>
      <c r="M98" s="68" t="str">
        <f>'36. Generic chemical products'!M43</f>
        <v>Sodium carbonate (Na2CO3)</v>
      </c>
      <c r="N98" s="68" t="str">
        <f>'36. Generic chemical products'!N43</f>
        <v>river</v>
      </c>
      <c r="O98" s="68">
        <f>'36. Generic chemical products'!O43</f>
        <v>2E-3</v>
      </c>
      <c r="P98" s="68" t="str">
        <f>'36. Generic chemical products'!P43</f>
        <v>kg</v>
      </c>
      <c r="Q98" s="68">
        <f>'36. Generic chemical products'!Q43</f>
        <v>0</v>
      </c>
      <c r="R98" s="68">
        <f>'36. Generic chemical products'!R43</f>
        <v>0</v>
      </c>
      <c r="S98" s="68">
        <f>'36. Generic chemical products'!S43</f>
        <v>0</v>
      </c>
      <c r="T98" s="68" t="str">
        <f>'36. Generic chemical products'!T43</f>
        <v>497-19-8</v>
      </c>
      <c r="U98" s="68">
        <f>'36. Generic chemical products'!U43</f>
        <v>0</v>
      </c>
      <c r="V98" s="68">
        <f>'36. Generic chemical products'!V43</f>
        <v>0</v>
      </c>
      <c r="W98" s="68">
        <f>'36. Generic chemical products'!W43</f>
        <v>0</v>
      </c>
      <c r="X98" s="68">
        <f>'36. Generic chemical products'!X43</f>
        <v>0</v>
      </c>
      <c r="Y98" s="68">
        <f>'36. Generic chemical products'!Y43</f>
        <v>31</v>
      </c>
      <c r="Z98" s="68">
        <f>'36. Generic chemical products'!Z43</f>
        <v>73.7</v>
      </c>
      <c r="AA98" s="68" t="str">
        <f>'36. Generic chemical products'!AA43</f>
        <v>COSMEDE</v>
      </c>
      <c r="AB98" s="300">
        <f>$C$35*I98</f>
        <v>0</v>
      </c>
      <c r="AC98" s="301">
        <f>$C$51*O98</f>
        <v>1.0000000000000001E-5</v>
      </c>
      <c r="AD98" s="302">
        <f t="shared" si="2"/>
        <v>0</v>
      </c>
      <c r="AE98" s="302">
        <f t="shared" si="3"/>
        <v>0</v>
      </c>
      <c r="AF98" s="303">
        <f t="shared" si="4"/>
        <v>7.3700000000000013E-4</v>
      </c>
      <c r="AG98" s="303">
        <f t="shared" si="5"/>
        <v>0</v>
      </c>
      <c r="AH98" s="303">
        <f t="shared" si="6"/>
        <v>0</v>
      </c>
      <c r="AI98" s="303">
        <f t="shared" si="7"/>
        <v>0</v>
      </c>
      <c r="AJ98" s="303">
        <f t="shared" si="8"/>
        <v>0</v>
      </c>
      <c r="AK98" s="303">
        <f t="shared" si="9"/>
        <v>0</v>
      </c>
      <c r="AL98" s="303">
        <f t="shared" si="10"/>
        <v>7.3700000000000013E-4</v>
      </c>
      <c r="AM98" s="304">
        <f t="shared" si="11"/>
        <v>0</v>
      </c>
      <c r="AN98" s="305">
        <f t="shared" si="11"/>
        <v>0</v>
      </c>
      <c r="AO98" s="306">
        <f t="shared" si="11"/>
        <v>7.3700000000000013E-4</v>
      </c>
    </row>
    <row r="99" spans="1:41" s="139" customFormat="1" ht="15" customHeight="1" x14ac:dyDescent="0.2">
      <c r="A99" s="193" t="str">
        <f>'36. Generic chemical products'!A44</f>
        <v>Reducing agent, average</v>
      </c>
      <c r="B99" s="193" t="str">
        <f>'36. Generic chemical products'!B44</f>
        <v xml:space="preserve"> </v>
      </c>
      <c r="C99" s="193">
        <f>'36. Generic chemical products'!C44</f>
        <v>0</v>
      </c>
      <c r="D99" s="193">
        <f>'36. Generic chemical products'!D44</f>
        <v>0</v>
      </c>
      <c r="E99" s="193" t="str">
        <f>'36. Generic chemical products'!E44</f>
        <v>MSDS</v>
      </c>
      <c r="F99" s="193">
        <f>'36. Generic chemical products'!F44</f>
        <v>0</v>
      </c>
      <c r="G99" s="193" t="str">
        <f>'36. Generic chemical products'!G44</f>
        <v>-</v>
      </c>
      <c r="H99" s="193">
        <f>'36. Generic chemical products'!H44</f>
        <v>0</v>
      </c>
      <c r="I99" s="193">
        <f>'36. Generic chemical products'!I44</f>
        <v>0</v>
      </c>
      <c r="J99" s="193">
        <f>'36. Generic chemical products'!J44</f>
        <v>0</v>
      </c>
      <c r="K99" s="193" t="str">
        <f>'36. Generic chemical products'!K44</f>
        <v>Worst case - mist carries substance</v>
      </c>
      <c r="L99" s="193">
        <f>'36. Generic chemical products'!L44</f>
        <v>0</v>
      </c>
      <c r="M99" s="193" t="str">
        <f>'36. Generic chemical products'!M44</f>
        <v>Thiosulfate</v>
      </c>
      <c r="N99" s="193" t="str">
        <f>'36. Generic chemical products'!N44</f>
        <v>river</v>
      </c>
      <c r="O99" s="193">
        <f>'36. Generic chemical products'!O44</f>
        <v>9.0000000000000019E-5</v>
      </c>
      <c r="P99" s="193" t="str">
        <f>'36. Generic chemical products'!P44</f>
        <v>kg</v>
      </c>
      <c r="Q99" s="193" t="str">
        <f>'36. Generic chemical products'!Q44</f>
        <v>0.1 % of the content is degraded to common breakdown products.</v>
      </c>
      <c r="R99" s="193">
        <f>'36. Generic chemical products'!R44</f>
        <v>0</v>
      </c>
      <c r="S99" s="193">
        <f>'36. Generic chemical products'!S44</f>
        <v>0</v>
      </c>
      <c r="T99" s="193" t="str">
        <f>'36. Generic chemical products'!T44</f>
        <v>7772-98-7/10102-17-7</v>
      </c>
      <c r="U99" s="193">
        <f>'36. Generic chemical products'!U44</f>
        <v>0</v>
      </c>
      <c r="V99" s="193">
        <f>'36. Generic chemical products'!V44</f>
        <v>0</v>
      </c>
      <c r="W99" s="193">
        <f>'36. Generic chemical products'!W44</f>
        <v>0</v>
      </c>
      <c r="X99" s="193">
        <f>'36. Generic chemical products'!X44</f>
        <v>0</v>
      </c>
      <c r="Y99" s="193">
        <f>'36. Generic chemical products'!Y44</f>
        <v>13</v>
      </c>
      <c r="Z99" s="193">
        <f>'36. Generic chemical products'!Z44</f>
        <v>31.7</v>
      </c>
      <c r="AA99" s="193" t="str">
        <f>'36. Generic chemical products'!AA44</f>
        <v>COSMEDE</v>
      </c>
      <c r="AB99" s="307">
        <f>$C$35*I99</f>
        <v>0</v>
      </c>
      <c r="AC99" s="308">
        <f>$C$51*O99</f>
        <v>4.5000000000000009E-7</v>
      </c>
      <c r="AD99" s="309">
        <f t="shared" si="2"/>
        <v>0</v>
      </c>
      <c r="AE99" s="309">
        <f t="shared" si="3"/>
        <v>0</v>
      </c>
      <c r="AF99" s="310">
        <f t="shared" si="4"/>
        <v>1.4265000000000003E-5</v>
      </c>
      <c r="AG99" s="310">
        <f t="shared" si="5"/>
        <v>0</v>
      </c>
      <c r="AH99" s="310">
        <f t="shared" si="6"/>
        <v>0</v>
      </c>
      <c r="AI99" s="310">
        <f t="shared" si="7"/>
        <v>0</v>
      </c>
      <c r="AJ99" s="310">
        <f t="shared" si="8"/>
        <v>0</v>
      </c>
      <c r="AK99" s="310">
        <f t="shared" si="9"/>
        <v>0</v>
      </c>
      <c r="AL99" s="310">
        <f t="shared" si="10"/>
        <v>1.4265000000000003E-5</v>
      </c>
      <c r="AM99" s="311">
        <f t="shared" si="11"/>
        <v>0</v>
      </c>
      <c r="AN99" s="312">
        <f t="shared" si="11"/>
        <v>0</v>
      </c>
      <c r="AO99" s="313">
        <f t="shared" si="11"/>
        <v>1.4265000000000003E-5</v>
      </c>
    </row>
    <row r="100" spans="1:41" s="195" customFormat="1" ht="15" customHeight="1" x14ac:dyDescent="0.2">
      <c r="A100" s="194" t="str">
        <f>'36. Generic chemical products'!A45</f>
        <v>Soda (CaCO3), average</v>
      </c>
      <c r="B100" s="194" t="str">
        <f>'36. Generic chemical products'!B45</f>
        <v>Calcium carbonate</v>
      </c>
      <c r="C100" s="194">
        <f>'36. Generic chemical products'!C45</f>
        <v>1</v>
      </c>
      <c r="D100" s="194" t="str">
        <f>'36. Generic chemical products'!D45</f>
        <v>kg</v>
      </c>
      <c r="E100" s="194">
        <f>'36. Generic chemical products'!E45</f>
        <v>1</v>
      </c>
      <c r="F100" s="194">
        <f>'36. Generic chemical products'!F45</f>
        <v>0</v>
      </c>
      <c r="G100" s="194" t="str">
        <f>'36. Generic chemical products'!G45</f>
        <v>-</v>
      </c>
      <c r="H100" s="194">
        <f>'36. Generic chemical products'!H45</f>
        <v>0</v>
      </c>
      <c r="I100" s="194">
        <f>'36. Generic chemical products'!I45</f>
        <v>0</v>
      </c>
      <c r="J100" s="194">
        <f>'36. Generic chemical products'!J45</f>
        <v>0</v>
      </c>
      <c r="K100" s="194">
        <f>'36. Generic chemical products'!K45</f>
        <v>0</v>
      </c>
      <c r="L100" s="194">
        <f>'36. Generic chemical products'!L45</f>
        <v>0</v>
      </c>
      <c r="M100" s="194" t="str">
        <f>'36. Generic chemical products'!M45</f>
        <v>Calcium carbonate</v>
      </c>
      <c r="N100" s="194" t="str">
        <f>'36. Generic chemical products'!N45</f>
        <v>river</v>
      </c>
      <c r="O100" s="194">
        <f>'36. Generic chemical products'!O45</f>
        <v>0.1</v>
      </c>
      <c r="P100" s="194" t="str">
        <f>'36. Generic chemical products'!P45</f>
        <v>kg</v>
      </c>
      <c r="Q100" s="194">
        <f>'36. Generic chemical products'!Q45</f>
        <v>0</v>
      </c>
      <c r="R100" s="194">
        <f>'36. Generic chemical products'!R45</f>
        <v>0</v>
      </c>
      <c r="S100" s="194">
        <f>'36. Generic chemical products'!S45</f>
        <v>0</v>
      </c>
      <c r="T100" s="194" t="str">
        <f>'36. Generic chemical products'!T45</f>
        <v>471-34-1</v>
      </c>
      <c r="U100" s="194">
        <f>'36. Generic chemical products'!U45</f>
        <v>0</v>
      </c>
      <c r="V100" s="194">
        <f>'36. Generic chemical products'!V45</f>
        <v>0</v>
      </c>
      <c r="W100" s="194">
        <f>'36. Generic chemical products'!W45</f>
        <v>0</v>
      </c>
      <c r="X100" s="194">
        <f>'36. Generic chemical products'!X45</f>
        <v>0</v>
      </c>
      <c r="Y100" s="194">
        <f>'36. Generic chemical products'!Y45</f>
        <v>22</v>
      </c>
      <c r="Z100" s="194">
        <f>'36. Generic chemical products'!Z45</f>
        <v>51.7</v>
      </c>
      <c r="AA100" s="194" t="str">
        <f>'36. Generic chemical products'!AA45</f>
        <v>COSMEDE</v>
      </c>
      <c r="AB100" s="327">
        <f>$C$36*I100</f>
        <v>0</v>
      </c>
      <c r="AC100" s="328">
        <f>$C$52*O100</f>
        <v>2E-3</v>
      </c>
      <c r="AD100" s="329">
        <f t="shared" si="2"/>
        <v>0</v>
      </c>
      <c r="AE100" s="329">
        <f t="shared" si="3"/>
        <v>0</v>
      </c>
      <c r="AF100" s="330">
        <f t="shared" si="4"/>
        <v>0.10340000000000001</v>
      </c>
      <c r="AG100" s="330">
        <f t="shared" si="5"/>
        <v>0</v>
      </c>
      <c r="AH100" s="330">
        <f t="shared" si="6"/>
        <v>0</v>
      </c>
      <c r="AI100" s="330">
        <f t="shared" si="7"/>
        <v>0</v>
      </c>
      <c r="AJ100" s="330">
        <f t="shared" si="8"/>
        <v>0</v>
      </c>
      <c r="AK100" s="330">
        <f t="shared" si="9"/>
        <v>0</v>
      </c>
      <c r="AL100" s="330">
        <f t="shared" si="10"/>
        <v>0.10340000000000001</v>
      </c>
      <c r="AM100" s="331">
        <f t="shared" si="11"/>
        <v>0</v>
      </c>
      <c r="AN100" s="332">
        <f t="shared" si="11"/>
        <v>0</v>
      </c>
      <c r="AO100" s="333">
        <f t="shared" si="11"/>
        <v>0.10340000000000001</v>
      </c>
    </row>
    <row r="101" spans="1:41" s="51" customFormat="1" ht="15" customHeight="1" x14ac:dyDescent="0.2">
      <c r="A101" s="68" t="str">
        <f>'36. Generic chemical products'!A5</f>
        <v>Detergent, average (Ultravon EL)</v>
      </c>
      <c r="B101" s="68" t="str">
        <f>'36. Generic chemical products'!B5</f>
        <v>Polyacrylic acid, sodium salt</v>
      </c>
      <c r="C101" s="68">
        <f>'36. Generic chemical products'!C5</f>
        <v>0.1</v>
      </c>
      <c r="D101" s="68" t="str">
        <f>'36. Generic chemical products'!D5</f>
        <v>kg</v>
      </c>
      <c r="E101" s="68" t="str">
        <f>'36. Generic chemical products'!E5</f>
        <v>MSDS</v>
      </c>
      <c r="F101" s="68">
        <f>'36. Generic chemical products'!F5</f>
        <v>0</v>
      </c>
      <c r="G101" s="68" t="str">
        <f>'36. Generic chemical products'!G5</f>
        <v>-</v>
      </c>
      <c r="H101" s="68">
        <f>'36. Generic chemical products'!H5</f>
        <v>0</v>
      </c>
      <c r="I101" s="68">
        <f>'36. Generic chemical products'!I5</f>
        <v>0</v>
      </c>
      <c r="J101" s="68">
        <f>'36. Generic chemical products'!J5</f>
        <v>0</v>
      </c>
      <c r="K101" s="68">
        <f>'36. Generic chemical products'!K5</f>
        <v>0</v>
      </c>
      <c r="L101" s="68">
        <f>'36. Generic chemical products'!L5</f>
        <v>0</v>
      </c>
      <c r="M101" s="68" t="str">
        <f>'36. Generic chemical products'!M5</f>
        <v>Polyacrylic acid, sodium salt</v>
      </c>
      <c r="N101" s="68" t="str">
        <f>'36. Generic chemical products'!N5</f>
        <v>river</v>
      </c>
      <c r="O101" s="68">
        <f>'36. Generic chemical products'!O5</f>
        <v>9.9000000000000008E-3</v>
      </c>
      <c r="P101" s="68" t="str">
        <f>'36. Generic chemical products'!P5</f>
        <v>kg</v>
      </c>
      <c r="Q101" s="68" t="str">
        <f>'36. Generic chemical products'!Q5</f>
        <v>1% of polymer content remains as monomers from the production process.</v>
      </c>
      <c r="R101" s="68">
        <f>'36. Generic chemical products'!R5</f>
        <v>0</v>
      </c>
      <c r="S101" s="68">
        <f>'36. Generic chemical products'!S5</f>
        <v>0</v>
      </c>
      <c r="T101" s="68" t="str">
        <f>'36. Generic chemical products'!T5</f>
        <v>9003-04-7</v>
      </c>
      <c r="U101" s="68">
        <f>'36. Generic chemical products'!U5</f>
        <v>0</v>
      </c>
      <c r="V101" s="68">
        <f>'36. Generic chemical products'!V5</f>
        <v>0</v>
      </c>
      <c r="W101" s="68">
        <f>'36. Generic chemical products'!W5</f>
        <v>0</v>
      </c>
      <c r="X101" s="68">
        <f>'36. Generic chemical products'!X5</f>
        <v>0</v>
      </c>
      <c r="Y101" s="68">
        <f>'36. Generic chemical products'!Y5</f>
        <v>7.06</v>
      </c>
      <c r="Z101" s="68">
        <f>'36. Generic chemical products'!Z5</f>
        <v>78.599999999999994</v>
      </c>
      <c r="AA101" s="68" t="str">
        <f>'36. Generic chemical products'!AA5</f>
        <v>COSMEDE</v>
      </c>
      <c r="AB101" s="300">
        <f>$C$37*I101</f>
        <v>0</v>
      </c>
      <c r="AC101" s="301">
        <f>$C$53*O101</f>
        <v>1.9800000000000002E-4</v>
      </c>
      <c r="AD101" s="302">
        <f t="shared" ref="AD101:AD104" si="12">AB101*U101+AC101*W101</f>
        <v>0</v>
      </c>
      <c r="AE101" s="302">
        <f t="shared" ref="AE101:AE104" si="13">AB101*V101+AC101*X101</f>
        <v>0</v>
      </c>
      <c r="AF101" s="303">
        <f t="shared" ref="AF101:AF104" si="14">AB101*Y101+AC101*Z101</f>
        <v>1.55628E-2</v>
      </c>
      <c r="AG101" s="303">
        <f t="shared" ref="AG101:AG104" si="15">AB101*U101</f>
        <v>0</v>
      </c>
      <c r="AH101" s="303">
        <f t="shared" ref="AH101:AH104" si="16">AB101*V101</f>
        <v>0</v>
      </c>
      <c r="AI101" s="303">
        <f t="shared" ref="AI101:AI104" si="17">AB101*Y101</f>
        <v>0</v>
      </c>
      <c r="AJ101" s="303">
        <f t="shared" ref="AJ101:AJ104" si="18">AC101*W101</f>
        <v>0</v>
      </c>
      <c r="AK101" s="303">
        <f t="shared" ref="AK101:AK104" si="19">AC101*X101</f>
        <v>0</v>
      </c>
      <c r="AL101" s="303">
        <f t="shared" ref="AL101:AL104" si="20">AC101*Z101</f>
        <v>1.55628E-2</v>
      </c>
      <c r="AM101" s="304">
        <f t="shared" ref="AM101:AM104" si="21">AG101+AJ101</f>
        <v>0</v>
      </c>
      <c r="AN101" s="305">
        <f t="shared" ref="AN101:AN104" si="22">AH101+AK101</f>
        <v>0</v>
      </c>
      <c r="AO101" s="306">
        <f t="shared" ref="AO101:AO104" si="23">AI101+AL101</f>
        <v>1.55628E-2</v>
      </c>
    </row>
    <row r="102" spans="1:41" s="51" customFormat="1" ht="15" customHeight="1" x14ac:dyDescent="0.2">
      <c r="A102" s="68" t="str">
        <f>'36. Generic chemical products'!A6</f>
        <v>Detergent, average (Ultravon EL)</v>
      </c>
      <c r="B102" s="68" t="str">
        <f>'36. Generic chemical products'!B6</f>
        <v>Oxirane, methyl-, polymer with oxirane, decyl ether</v>
      </c>
      <c r="C102" s="68">
        <f>'36. Generic chemical products'!C6</f>
        <v>0.25</v>
      </c>
      <c r="D102" s="68" t="str">
        <f>'36. Generic chemical products'!D6</f>
        <v>kg</v>
      </c>
      <c r="E102" s="68" t="str">
        <f>'36. Generic chemical products'!E6</f>
        <v>MSDS</v>
      </c>
      <c r="F102" s="68">
        <f>'36. Generic chemical products'!F6</f>
        <v>0</v>
      </c>
      <c r="G102" s="68" t="str">
        <f>'36. Generic chemical products'!G6</f>
        <v>-</v>
      </c>
      <c r="H102" s="68">
        <f>'36. Generic chemical products'!H6</f>
        <v>0</v>
      </c>
      <c r="I102" s="68">
        <f>'36. Generic chemical products'!I6</f>
        <v>0</v>
      </c>
      <c r="J102" s="68">
        <f>'36. Generic chemical products'!J6</f>
        <v>0</v>
      </c>
      <c r="K102" s="68">
        <f>'36. Generic chemical products'!K6</f>
        <v>0</v>
      </c>
      <c r="L102" s="68">
        <f>'36. Generic chemical products'!L6</f>
        <v>0</v>
      </c>
      <c r="M102" s="68" t="str">
        <f>'36. Generic chemical products'!M6</f>
        <v>Oxirane, methyl-, polymer with oxirane, decyl ether</v>
      </c>
      <c r="N102" s="68" t="str">
        <f>'36. Generic chemical products'!N6</f>
        <v>river</v>
      </c>
      <c r="O102" s="68">
        <f>'36. Generic chemical products'!O6</f>
        <v>2.5000000000000001E-2</v>
      </c>
      <c r="P102" s="68" t="str">
        <f>'36. Generic chemical products'!P6</f>
        <v>kg</v>
      </c>
      <c r="Q102" s="68">
        <f>'36. Generic chemical products'!Q6</f>
        <v>0</v>
      </c>
      <c r="R102" s="68">
        <f>'36. Generic chemical products'!R6</f>
        <v>0</v>
      </c>
      <c r="S102" s="68">
        <f>'36. Generic chemical products'!S6</f>
        <v>0</v>
      </c>
      <c r="T102" s="68" t="str">
        <f>'36. Generic chemical products'!T6</f>
        <v>37251-67-5</v>
      </c>
      <c r="U102" s="68">
        <f>'36. Generic chemical products'!U6</f>
        <v>0</v>
      </c>
      <c r="V102" s="68">
        <f>'36. Generic chemical products'!V6</f>
        <v>1.2009414857886904E-7</v>
      </c>
      <c r="W102" s="68">
        <f>'36. Generic chemical products'!W6</f>
        <v>0</v>
      </c>
      <c r="X102" s="68">
        <f>'36. Generic chemical products'!X6</f>
        <v>3.2843909509658706E-7</v>
      </c>
      <c r="Y102" s="68">
        <f>'36. Generic chemical products'!Y6</f>
        <v>14.526941022240393</v>
      </c>
      <c r="Z102" s="68">
        <f>'36. Generic chemical products'!Z6</f>
        <v>111.251141519207</v>
      </c>
      <c r="AA102" s="68" t="str">
        <f>'36. Generic chemical products'!AA6</f>
        <v>Roos 2017</v>
      </c>
      <c r="AB102" s="300">
        <f>$C$37*I102</f>
        <v>0</v>
      </c>
      <c r="AC102" s="301">
        <f>$C$53*O102</f>
        <v>5.0000000000000001E-4</v>
      </c>
      <c r="AD102" s="302">
        <f t="shared" si="12"/>
        <v>0</v>
      </c>
      <c r="AE102" s="302">
        <f t="shared" si="13"/>
        <v>1.6421954754829352E-10</v>
      </c>
      <c r="AF102" s="303">
        <f t="shared" si="14"/>
        <v>5.5625570759603497E-2</v>
      </c>
      <c r="AG102" s="303">
        <f t="shared" si="15"/>
        <v>0</v>
      </c>
      <c r="AH102" s="303">
        <f t="shared" si="16"/>
        <v>0</v>
      </c>
      <c r="AI102" s="303">
        <f t="shared" si="17"/>
        <v>0</v>
      </c>
      <c r="AJ102" s="303">
        <f t="shared" si="18"/>
        <v>0</v>
      </c>
      <c r="AK102" s="303">
        <f t="shared" si="19"/>
        <v>1.6421954754829352E-10</v>
      </c>
      <c r="AL102" s="303">
        <f t="shared" si="20"/>
        <v>5.5625570759603497E-2</v>
      </c>
      <c r="AM102" s="304">
        <f t="shared" si="21"/>
        <v>0</v>
      </c>
      <c r="AN102" s="305">
        <f t="shared" si="22"/>
        <v>1.6421954754829352E-10</v>
      </c>
      <c r="AO102" s="306">
        <f t="shared" si="23"/>
        <v>5.5625570759603497E-2</v>
      </c>
    </row>
    <row r="103" spans="1:41" s="51" customFormat="1" ht="15" customHeight="1" x14ac:dyDescent="0.2">
      <c r="A103" s="68" t="str">
        <f>'36. Generic chemical products'!A7</f>
        <v>Detergent, average (Ultravon EL)</v>
      </c>
      <c r="B103" s="68" t="str">
        <f>'36. Generic chemical products'!B7</f>
        <v>Ethoxylated fatty alcohol (&gt;6 EO)</v>
      </c>
      <c r="C103" s="68">
        <f>'36. Generic chemical products'!C7</f>
        <v>0.1</v>
      </c>
      <c r="D103" s="68" t="str">
        <f>'36. Generic chemical products'!D7</f>
        <v>kg</v>
      </c>
      <c r="E103" s="68" t="str">
        <f>'36. Generic chemical products'!E7</f>
        <v>MSDS</v>
      </c>
      <c r="F103" s="68">
        <f>'36. Generic chemical products'!F7</f>
        <v>0</v>
      </c>
      <c r="G103" s="68" t="str">
        <f>'36. Generic chemical products'!G7</f>
        <v>-</v>
      </c>
      <c r="H103" s="68">
        <f>'36. Generic chemical products'!H7</f>
        <v>0</v>
      </c>
      <c r="I103" s="68">
        <f>'36. Generic chemical products'!I7</f>
        <v>0</v>
      </c>
      <c r="J103" s="68">
        <f>'36. Generic chemical products'!J7</f>
        <v>0</v>
      </c>
      <c r="K103" s="68">
        <f>'36. Generic chemical products'!K7</f>
        <v>0</v>
      </c>
      <c r="L103" s="68">
        <f>'36. Generic chemical products'!L7</f>
        <v>0</v>
      </c>
      <c r="M103" s="68" t="str">
        <f>'36. Generic chemical products'!M7</f>
        <v>Alcohols, c12-14, ethoxylated</v>
      </c>
      <c r="N103" s="68" t="str">
        <f>'36. Generic chemical products'!N7</f>
        <v>river</v>
      </c>
      <c r="O103" s="68">
        <f>'36. Generic chemical products'!O7</f>
        <v>1.0000000000000002E-2</v>
      </c>
      <c r="P103" s="68" t="str">
        <f>'36. Generic chemical products'!P7</f>
        <v>kg</v>
      </c>
      <c r="Q103" s="68">
        <f>'36. Generic chemical products'!Q7</f>
        <v>0</v>
      </c>
      <c r="R103" s="68">
        <f>'36. Generic chemical products'!R7</f>
        <v>0</v>
      </c>
      <c r="S103" s="68">
        <f>'36. Generic chemical products'!S7</f>
        <v>0</v>
      </c>
      <c r="T103" s="68" t="str">
        <f>'36. Generic chemical products'!T7</f>
        <v>69011-36-5</v>
      </c>
      <c r="U103" s="68">
        <f>'36. Generic chemical products'!U7</f>
        <v>0</v>
      </c>
      <c r="V103" s="68">
        <f>'36. Generic chemical products'!V7</f>
        <v>0</v>
      </c>
      <c r="W103" s="68">
        <f>'36. Generic chemical products'!W7</f>
        <v>0</v>
      </c>
      <c r="X103" s="68">
        <f>'36. Generic chemical products'!X7</f>
        <v>0</v>
      </c>
      <c r="Y103" s="68">
        <f>'36. Generic chemical products'!Y7</f>
        <v>47</v>
      </c>
      <c r="Z103" s="68">
        <f>'36. Generic chemical products'!Z7</f>
        <v>913</v>
      </c>
      <c r="AA103" s="68" t="str">
        <f>'36. Generic chemical products'!AA7</f>
        <v>COSMEDE</v>
      </c>
      <c r="AB103" s="300">
        <f>$C$37*I103</f>
        <v>0</v>
      </c>
      <c r="AC103" s="301">
        <f>$C$53*O103</f>
        <v>2.0000000000000004E-4</v>
      </c>
      <c r="AD103" s="302">
        <f t="shared" si="12"/>
        <v>0</v>
      </c>
      <c r="AE103" s="302">
        <f t="shared" si="13"/>
        <v>0</v>
      </c>
      <c r="AF103" s="303">
        <f t="shared" si="14"/>
        <v>0.18260000000000004</v>
      </c>
      <c r="AG103" s="303">
        <f t="shared" si="15"/>
        <v>0</v>
      </c>
      <c r="AH103" s="303">
        <f t="shared" si="16"/>
        <v>0</v>
      </c>
      <c r="AI103" s="303">
        <f t="shared" si="17"/>
        <v>0</v>
      </c>
      <c r="AJ103" s="303">
        <f t="shared" si="18"/>
        <v>0</v>
      </c>
      <c r="AK103" s="303">
        <f t="shared" si="19"/>
        <v>0</v>
      </c>
      <c r="AL103" s="303">
        <f t="shared" si="20"/>
        <v>0.18260000000000004</v>
      </c>
      <c r="AM103" s="304">
        <f t="shared" si="21"/>
        <v>0</v>
      </c>
      <c r="AN103" s="305">
        <f t="shared" si="22"/>
        <v>0</v>
      </c>
      <c r="AO103" s="306">
        <f t="shared" si="23"/>
        <v>0.18260000000000004</v>
      </c>
    </row>
    <row r="104" spans="1:41" s="51" customFormat="1" ht="15" customHeight="1" x14ac:dyDescent="0.2">
      <c r="A104" s="68" t="str">
        <f>'36. Generic chemical products'!A8</f>
        <v>Detergent, average (Ultravon EL)</v>
      </c>
      <c r="B104" s="68" t="str">
        <f>'36. Generic chemical products'!B8</f>
        <v>Sodium mono(2-ethylhexyl)estersulfate</v>
      </c>
      <c r="C104" s="68">
        <f>'36. Generic chemical products'!C8</f>
        <v>0.05</v>
      </c>
      <c r="D104" s="68" t="str">
        <f>'36. Generic chemical products'!D8</f>
        <v>kg</v>
      </c>
      <c r="E104" s="68" t="str">
        <f>'36. Generic chemical products'!E8</f>
        <v>MSDS</v>
      </c>
      <c r="F104" s="68">
        <f>'36. Generic chemical products'!F8</f>
        <v>0</v>
      </c>
      <c r="G104" s="68" t="str">
        <f>'36. Generic chemical products'!G8</f>
        <v>-</v>
      </c>
      <c r="H104" s="68">
        <f>'36. Generic chemical products'!H8</f>
        <v>0</v>
      </c>
      <c r="I104" s="68">
        <f>'36. Generic chemical products'!I8</f>
        <v>0</v>
      </c>
      <c r="J104" s="68">
        <f>'36. Generic chemical products'!J8</f>
        <v>0</v>
      </c>
      <c r="K104" s="68">
        <f>'36. Generic chemical products'!K8</f>
        <v>0</v>
      </c>
      <c r="L104" s="68">
        <f>'36. Generic chemical products'!L8</f>
        <v>0</v>
      </c>
      <c r="M104" s="68" t="str">
        <f>'36. Generic chemical products'!M8</f>
        <v>Sodium mono(2-ethylhexyl)estersulfate</v>
      </c>
      <c r="N104" s="68" t="str">
        <f>'36. Generic chemical products'!N8</f>
        <v>river</v>
      </c>
      <c r="O104" s="68">
        <f>'36. Generic chemical products'!O8</f>
        <v>5.000000000000001E-3</v>
      </c>
      <c r="P104" s="68" t="str">
        <f>'36. Generic chemical products'!P8</f>
        <v>kg</v>
      </c>
      <c r="Q104" s="68">
        <f>'36. Generic chemical products'!Q8</f>
        <v>0</v>
      </c>
      <c r="R104" s="68">
        <f>'36. Generic chemical products'!R8</f>
        <v>0</v>
      </c>
      <c r="S104" s="68">
        <f>'36. Generic chemical products'!S8</f>
        <v>0</v>
      </c>
      <c r="T104" s="68" t="str">
        <f>'36. Generic chemical products'!T8</f>
        <v>126-92-1</v>
      </c>
      <c r="U104" s="68">
        <f>'36. Generic chemical products'!U8</f>
        <v>0</v>
      </c>
      <c r="V104" s="68">
        <f>'36. Generic chemical products'!V8</f>
        <v>0</v>
      </c>
      <c r="W104" s="68">
        <f>'36. Generic chemical products'!W8</f>
        <v>0</v>
      </c>
      <c r="X104" s="68">
        <f>'36. Generic chemical products'!X8</f>
        <v>0</v>
      </c>
      <c r="Y104" s="68">
        <f>'36. Generic chemical products'!Y8</f>
        <v>109.72</v>
      </c>
      <c r="Z104" s="68">
        <f>'36. Generic chemical products'!Z8</f>
        <v>110</v>
      </c>
      <c r="AA104" s="68" t="str">
        <f>'36. Generic chemical products'!AA8</f>
        <v>COSMEDE</v>
      </c>
      <c r="AB104" s="300">
        <f>$C$37*I104</f>
        <v>0</v>
      </c>
      <c r="AC104" s="301">
        <f>$C$53*O104</f>
        <v>1.0000000000000002E-4</v>
      </c>
      <c r="AD104" s="302">
        <f t="shared" si="12"/>
        <v>0</v>
      </c>
      <c r="AE104" s="302">
        <f t="shared" si="13"/>
        <v>0</v>
      </c>
      <c r="AF104" s="303">
        <f t="shared" si="14"/>
        <v>1.1000000000000003E-2</v>
      </c>
      <c r="AG104" s="303">
        <f t="shared" si="15"/>
        <v>0</v>
      </c>
      <c r="AH104" s="303">
        <f t="shared" si="16"/>
        <v>0</v>
      </c>
      <c r="AI104" s="303">
        <f t="shared" si="17"/>
        <v>0</v>
      </c>
      <c r="AJ104" s="303">
        <f t="shared" si="18"/>
        <v>0</v>
      </c>
      <c r="AK104" s="303">
        <f t="shared" si="19"/>
        <v>0</v>
      </c>
      <c r="AL104" s="303">
        <f t="shared" si="20"/>
        <v>1.1000000000000003E-2</v>
      </c>
      <c r="AM104" s="304">
        <f t="shared" si="21"/>
        <v>0</v>
      </c>
      <c r="AN104" s="305">
        <f t="shared" si="22"/>
        <v>0</v>
      </c>
      <c r="AO104" s="306">
        <f t="shared" si="23"/>
        <v>1.1000000000000003E-2</v>
      </c>
    </row>
    <row r="105" spans="1:41" s="51" customFormat="1" ht="15" customHeight="1" x14ac:dyDescent="0.2">
      <c r="A105" s="68" t="str">
        <f>'36. Generic chemical products'!A9</f>
        <v>Detergent, average (Ultravon EL)</v>
      </c>
      <c r="B105" s="68" t="str">
        <f>'36. Generic chemical products'!B9</f>
        <v>Ethylene oxide</v>
      </c>
      <c r="C105" s="68">
        <f>'36. Generic chemical products'!C9</f>
        <v>0</v>
      </c>
      <c r="D105" s="68">
        <f>'36. Generic chemical products'!D9</f>
        <v>0</v>
      </c>
      <c r="E105" s="68" t="str">
        <f>'36. Generic chemical products'!E9</f>
        <v>&lt;= 0.1% in alcohol ethoxylates</v>
      </c>
      <c r="F105" s="68">
        <f>'36. Generic chemical products'!F9</f>
        <v>0</v>
      </c>
      <c r="G105" s="68" t="str">
        <f>'36. Generic chemical products'!G9</f>
        <v>Ethylene oxide</v>
      </c>
      <c r="H105" s="68" t="str">
        <f>'36. Generic chemical products'!H9</f>
        <v>high. pop.</v>
      </c>
      <c r="I105" s="68">
        <f>'36. Generic chemical products'!I9</f>
        <v>1.0000000000000001E-7</v>
      </c>
      <c r="J105" s="68" t="str">
        <f>'36. Generic chemical products'!J9</f>
        <v>kg</v>
      </c>
      <c r="K105" s="68">
        <f>'36. Generic chemical products'!K9</f>
        <v>0</v>
      </c>
      <c r="L105" s="68">
        <f>'36. Generic chemical products'!L9</f>
        <v>0</v>
      </c>
      <c r="M105" s="68" t="str">
        <f>'36. Generic chemical products'!M9</f>
        <v>Ethylene oxide</v>
      </c>
      <c r="N105" s="68" t="str">
        <f>'36. Generic chemical products'!N9</f>
        <v>river</v>
      </c>
      <c r="O105" s="68">
        <f>'36. Generic chemical products'!O9</f>
        <v>1.0000000000000001E-5</v>
      </c>
      <c r="P105" s="68" t="str">
        <f>'36. Generic chemical products'!P9</f>
        <v>kg</v>
      </c>
      <c r="Q105" s="68" t="str">
        <f>'36. Generic chemical products'!Q9</f>
        <v>&lt;= 0.001 in alcohol ethoxylates</v>
      </c>
      <c r="R105" s="68">
        <f>'36. Generic chemical products'!R9</f>
        <v>0</v>
      </c>
      <c r="S105" s="68">
        <f>'36. Generic chemical products'!S9</f>
        <v>0</v>
      </c>
      <c r="T105" s="68" t="str">
        <f>'36. Generic chemical products'!T9</f>
        <v>75-21-8</v>
      </c>
      <c r="U105" s="68">
        <f>'36. Generic chemical products'!U9</f>
        <v>1.0252176328593382E-6</v>
      </c>
      <c r="V105" s="68">
        <f>'36. Generic chemical products'!V9</f>
        <v>0</v>
      </c>
      <c r="W105" s="68">
        <f>'36. Generic chemical products'!W9</f>
        <v>8.6533271568247147E-7</v>
      </c>
      <c r="X105" s="68">
        <f>'36. Generic chemical products'!X9</f>
        <v>0</v>
      </c>
      <c r="Y105" s="68">
        <f>'36. Generic chemical products'!Y9</f>
        <v>0.65406517859613422</v>
      </c>
      <c r="Z105" s="68">
        <f>'36. Generic chemical products'!Z9</f>
        <v>11.248588270889815</v>
      </c>
      <c r="AA105" s="68" t="str">
        <f>'36. Generic chemical products'!AA9</f>
        <v>USEtox</v>
      </c>
      <c r="AB105" s="300"/>
      <c r="AC105" s="301"/>
      <c r="AD105" s="302"/>
      <c r="AE105" s="302"/>
      <c r="AF105" s="303"/>
      <c r="AG105" s="303"/>
      <c r="AH105" s="303"/>
      <c r="AI105" s="303"/>
      <c r="AJ105" s="303"/>
      <c r="AK105" s="303"/>
      <c r="AL105" s="303"/>
      <c r="AM105" s="304"/>
      <c r="AN105" s="305"/>
      <c r="AO105" s="306"/>
    </row>
    <row r="106" spans="1:41" s="139" customFormat="1" ht="15" customHeight="1" x14ac:dyDescent="0.2">
      <c r="A106" s="193" t="str">
        <f>'36. Generic chemical products'!A10</f>
        <v>Detergent, average (Ultravon EL)</v>
      </c>
      <c r="B106" s="193" t="str">
        <f>'36. Generic chemical products'!B10</f>
        <v xml:space="preserve"> </v>
      </c>
      <c r="C106" s="193">
        <f>'36. Generic chemical products'!C10</f>
        <v>0</v>
      </c>
      <c r="D106" s="193">
        <f>'36. Generic chemical products'!D10</f>
        <v>0</v>
      </c>
      <c r="E106" s="193" t="str">
        <f>'36. Generic chemical products'!E10</f>
        <v>Common breakdown product of of acrylics, 0.001 % assumed</v>
      </c>
      <c r="F106" s="193">
        <f>'36. Generic chemical products'!F10</f>
        <v>0</v>
      </c>
      <c r="G106" s="193" t="str">
        <f>'36. Generic chemical products'!G10</f>
        <v>Formaldehyde</v>
      </c>
      <c r="H106" s="193" t="str">
        <f>'36. Generic chemical products'!H10</f>
        <v>high. pop.</v>
      </c>
      <c r="I106" s="193">
        <f>'36. Generic chemical products'!I10</f>
        <v>1.0000000000000001E-7</v>
      </c>
      <c r="J106" s="193" t="str">
        <f>'36. Generic chemical products'!J10</f>
        <v>kg</v>
      </c>
      <c r="K106" s="193">
        <f>'36. Generic chemical products'!K10</f>
        <v>0</v>
      </c>
      <c r="L106" s="193">
        <f>'36. Generic chemical products'!L10</f>
        <v>0</v>
      </c>
      <c r="M106" s="193" t="str">
        <f>'36. Generic chemical products'!M10</f>
        <v>Formaldehyde</v>
      </c>
      <c r="N106" s="193" t="str">
        <f>'36. Generic chemical products'!N10</f>
        <v>river</v>
      </c>
      <c r="O106" s="193">
        <f>'36. Generic chemical products'!O10</f>
        <v>1.0000000000000002E-6</v>
      </c>
      <c r="P106" s="193" t="str">
        <f>'36. Generic chemical products'!P10</f>
        <v>kg</v>
      </c>
      <c r="Q106" s="193" t="str">
        <f>'36. Generic chemical products'!Q10</f>
        <v xml:space="preserve">0.1 % of the content is degraded to common breakdown products. 90% of reactive chemicals are degraded during operations. </v>
      </c>
      <c r="R106" s="193">
        <f>'36. Generic chemical products'!R10</f>
        <v>0</v>
      </c>
      <c r="S106" s="193">
        <f>'36. Generic chemical products'!S10</f>
        <v>0</v>
      </c>
      <c r="T106" s="193" t="str">
        <f>'36. Generic chemical products'!T10</f>
        <v>50-00-0</v>
      </c>
      <c r="U106" s="193">
        <f>'36. Generic chemical products'!U10</f>
        <v>2.5208446330720887E-5</v>
      </c>
      <c r="V106" s="193">
        <f>'36. Generic chemical products'!V10</f>
        <v>2.6504960021309262E-7</v>
      </c>
      <c r="W106" s="193">
        <f>'36. Generic chemical products'!W10</f>
        <v>1.4222228897488039E-7</v>
      </c>
      <c r="X106" s="193">
        <f>'36. Generic chemical products'!X10</f>
        <v>3.170874313501273E-7</v>
      </c>
      <c r="Y106" s="193">
        <f>'36. Generic chemical products'!Y10</f>
        <v>17.989178582912412</v>
      </c>
      <c r="Z106" s="193">
        <f>'36. Generic chemical products'!Z10</f>
        <v>290.05086067463066</v>
      </c>
      <c r="AA106" s="193" t="str">
        <f>'36. Generic chemical products'!AA10</f>
        <v>USEtox</v>
      </c>
      <c r="AB106" s="307"/>
      <c r="AC106" s="308"/>
      <c r="AD106" s="309"/>
      <c r="AE106" s="309"/>
      <c r="AF106" s="310"/>
      <c r="AG106" s="310"/>
      <c r="AH106" s="310"/>
      <c r="AI106" s="310"/>
      <c r="AJ106" s="310"/>
      <c r="AK106" s="310"/>
      <c r="AL106" s="310"/>
      <c r="AM106" s="311"/>
      <c r="AN106" s="312"/>
      <c r="AO106" s="313"/>
    </row>
    <row r="107" spans="1:41" s="51" customFormat="1" ht="15" customHeight="1" x14ac:dyDescent="0.2">
      <c r="A107" s="54" t="str">
        <f>'36. Generic chemical products'!A20</f>
        <v>Softener, average (Sapamine SFC)</v>
      </c>
      <c r="B107" s="54" t="str">
        <f>'36. Generic chemical products'!B20</f>
        <v>Octadecanoic acid</v>
      </c>
      <c r="C107" s="54">
        <f>'36. Generic chemical products'!C20</f>
        <v>0.2</v>
      </c>
      <c r="D107" s="54" t="str">
        <f>'36. Generic chemical products'!D20</f>
        <v>kg</v>
      </c>
      <c r="E107" s="54" t="str">
        <f>'36. Generic chemical products'!E20</f>
        <v>MSDS</v>
      </c>
      <c r="F107" s="54">
        <f>'36. Generic chemical products'!F20</f>
        <v>0</v>
      </c>
      <c r="G107" s="54" t="str">
        <f>'36. Generic chemical products'!G20</f>
        <v>-</v>
      </c>
      <c r="H107" s="54">
        <f>'36. Generic chemical products'!H20</f>
        <v>0</v>
      </c>
      <c r="I107" s="54">
        <f>'36. Generic chemical products'!I20</f>
        <v>0</v>
      </c>
      <c r="J107" s="54">
        <f>'36. Generic chemical products'!J20</f>
        <v>0</v>
      </c>
      <c r="K107" s="54">
        <f>'36. Generic chemical products'!K20</f>
        <v>0</v>
      </c>
      <c r="L107" s="54">
        <f>'36. Generic chemical products'!L20</f>
        <v>0</v>
      </c>
      <c r="M107" s="54" t="str">
        <f>'36. Generic chemical products'!M20</f>
        <v>Octadecanoic acid</v>
      </c>
      <c r="N107" s="54" t="str">
        <f>'36. Generic chemical products'!N20</f>
        <v>river</v>
      </c>
      <c r="O107" s="54">
        <f>'36. Generic chemical products'!O20</f>
        <v>1.0000000000000002E-3</v>
      </c>
      <c r="P107" s="54" t="str">
        <f>'36. Generic chemical products'!P20</f>
        <v>kg</v>
      </c>
      <c r="Q107" s="54" t="str">
        <f>'36. Generic chemical products'!Q20</f>
        <v>95% on fabric</v>
      </c>
      <c r="R107" s="54">
        <f>'36. Generic chemical products'!R20</f>
        <v>0</v>
      </c>
      <c r="S107" s="54">
        <f>'36. Generic chemical products'!S20</f>
        <v>0</v>
      </c>
      <c r="T107" s="54" t="str">
        <f>'36. Generic chemical products'!T20</f>
        <v>57-11-4</v>
      </c>
      <c r="U107" s="54">
        <f>'36. Generic chemical products'!U20</f>
        <v>0</v>
      </c>
      <c r="V107" s="54">
        <f>'36. Generic chemical products'!V20</f>
        <v>0</v>
      </c>
      <c r="W107" s="54">
        <f>'36. Generic chemical products'!W20</f>
        <v>0</v>
      </c>
      <c r="X107" s="54">
        <f>'36. Generic chemical products'!X20</f>
        <v>0</v>
      </c>
      <c r="Y107" s="54">
        <f>'36. Generic chemical products'!Y20</f>
        <v>9.2999999999999999E-2</v>
      </c>
      <c r="Z107" s="54">
        <f>'36. Generic chemical products'!Z20</f>
        <v>33.799999999999997</v>
      </c>
      <c r="AA107" s="54" t="str">
        <f>'36. Generic chemical products'!AA20</f>
        <v>COSMEDE</v>
      </c>
      <c r="AB107" s="300">
        <f>$C$38*I107</f>
        <v>0</v>
      </c>
      <c r="AC107" s="301">
        <f>$C$54*O107</f>
        <v>2.0000000000000006E-4</v>
      </c>
      <c r="AD107" s="302">
        <f t="shared" si="2"/>
        <v>0</v>
      </c>
      <c r="AE107" s="302">
        <f t="shared" si="3"/>
        <v>0</v>
      </c>
      <c r="AF107" s="303">
        <f t="shared" si="4"/>
        <v>6.7600000000000013E-3</v>
      </c>
      <c r="AG107" s="303">
        <f t="shared" si="5"/>
        <v>0</v>
      </c>
      <c r="AH107" s="303">
        <f t="shared" si="6"/>
        <v>0</v>
      </c>
      <c r="AI107" s="303">
        <f t="shared" si="7"/>
        <v>0</v>
      </c>
      <c r="AJ107" s="303">
        <f t="shared" si="8"/>
        <v>0</v>
      </c>
      <c r="AK107" s="303">
        <f t="shared" si="9"/>
        <v>0</v>
      </c>
      <c r="AL107" s="303">
        <f t="shared" si="10"/>
        <v>6.7600000000000013E-3</v>
      </c>
      <c r="AM107" s="304">
        <f t="shared" si="11"/>
        <v>0</v>
      </c>
      <c r="AN107" s="305">
        <f t="shared" si="11"/>
        <v>0</v>
      </c>
      <c r="AO107" s="306">
        <f t="shared" si="11"/>
        <v>6.7600000000000013E-3</v>
      </c>
    </row>
    <row r="108" spans="1:41" s="139" customFormat="1" ht="15" customHeight="1" x14ac:dyDescent="0.2">
      <c r="A108" s="141" t="str">
        <f>'36. Generic chemical products'!A21</f>
        <v>Softener, average (Sapamine SFC)</v>
      </c>
      <c r="B108" s="141" t="str">
        <f>'36. Generic chemical products'!B21</f>
        <v>Diethanolamine</v>
      </c>
      <c r="C108" s="141">
        <f>'36. Generic chemical products'!C21</f>
        <v>0.03</v>
      </c>
      <c r="D108" s="141" t="str">
        <f>'36. Generic chemical products'!D21</f>
        <v>kg</v>
      </c>
      <c r="E108" s="141" t="str">
        <f>'36. Generic chemical products'!E21</f>
        <v>MSDS</v>
      </c>
      <c r="F108" s="141">
        <f>'36. Generic chemical products'!F21</f>
        <v>0</v>
      </c>
      <c r="G108" s="141" t="str">
        <f>'36. Generic chemical products'!G21</f>
        <v>-</v>
      </c>
      <c r="H108" s="141">
        <f>'36. Generic chemical products'!H21</f>
        <v>0</v>
      </c>
      <c r="I108" s="141">
        <f>'36. Generic chemical products'!I21</f>
        <v>0</v>
      </c>
      <c r="J108" s="141">
        <f>'36. Generic chemical products'!J21</f>
        <v>0</v>
      </c>
      <c r="K108" s="141">
        <f>'36. Generic chemical products'!K21</f>
        <v>0</v>
      </c>
      <c r="L108" s="141">
        <f>'36. Generic chemical products'!L21</f>
        <v>0</v>
      </c>
      <c r="M108" s="141" t="str">
        <f>'36. Generic chemical products'!M21</f>
        <v>Diethanolamine</v>
      </c>
      <c r="N108" s="141" t="str">
        <f>'36. Generic chemical products'!N21</f>
        <v>river</v>
      </c>
      <c r="O108" s="141">
        <f>'36. Generic chemical products'!O21</f>
        <v>1.5000000000000001E-4</v>
      </c>
      <c r="P108" s="141" t="str">
        <f>'36. Generic chemical products'!P21</f>
        <v>kg</v>
      </c>
      <c r="Q108" s="141" t="str">
        <f>'36. Generic chemical products'!Q21</f>
        <v>95% on fabric</v>
      </c>
      <c r="R108" s="141">
        <f>'36. Generic chemical products'!R21</f>
        <v>0</v>
      </c>
      <c r="S108" s="141">
        <f>'36. Generic chemical products'!S21</f>
        <v>0</v>
      </c>
      <c r="T108" s="141" t="str">
        <f>'36. Generic chemical products'!T21</f>
        <v>111-42-2</v>
      </c>
      <c r="U108" s="141">
        <f>'36. Generic chemical products'!U21</f>
        <v>0</v>
      </c>
      <c r="V108" s="141">
        <f>'36. Generic chemical products'!V21</f>
        <v>0</v>
      </c>
      <c r="W108" s="141">
        <f>'36. Generic chemical products'!W21</f>
        <v>0</v>
      </c>
      <c r="X108" s="141">
        <f>'36. Generic chemical products'!X21</f>
        <v>0</v>
      </c>
      <c r="Y108" s="141">
        <f>'36. Generic chemical products'!Y21</f>
        <v>0.92690099117499369</v>
      </c>
      <c r="Z108" s="141">
        <f>'36. Generic chemical products'!Z21</f>
        <v>47.139947928233759</v>
      </c>
      <c r="AA108" s="141" t="str">
        <f>'36. Generic chemical products'!AA21</f>
        <v>USEtox</v>
      </c>
      <c r="AB108" s="307">
        <f>$C$38*I108</f>
        <v>0</v>
      </c>
      <c r="AC108" s="144">
        <f>$C$54*O108</f>
        <v>3.0000000000000004E-5</v>
      </c>
      <c r="AD108" s="309">
        <f t="shared" si="2"/>
        <v>0</v>
      </c>
      <c r="AE108" s="309">
        <f t="shared" si="3"/>
        <v>0</v>
      </c>
      <c r="AF108" s="310">
        <f t="shared" si="4"/>
        <v>1.414198437847013E-3</v>
      </c>
      <c r="AG108" s="310">
        <f t="shared" si="5"/>
        <v>0</v>
      </c>
      <c r="AH108" s="310">
        <f t="shared" si="6"/>
        <v>0</v>
      </c>
      <c r="AI108" s="310">
        <f t="shared" si="7"/>
        <v>0</v>
      </c>
      <c r="AJ108" s="310">
        <f t="shared" si="8"/>
        <v>0</v>
      </c>
      <c r="AK108" s="310">
        <f t="shared" si="9"/>
        <v>0</v>
      </c>
      <c r="AL108" s="310">
        <f t="shared" si="10"/>
        <v>1.414198437847013E-3</v>
      </c>
      <c r="AM108" s="311">
        <f t="shared" si="11"/>
        <v>0</v>
      </c>
      <c r="AN108" s="312">
        <f t="shared" si="11"/>
        <v>0</v>
      </c>
      <c r="AO108" s="313">
        <f t="shared" si="11"/>
        <v>1.414198437847013E-3</v>
      </c>
    </row>
    <row r="109" spans="1:41" s="51" customFormat="1" ht="15" customHeight="1" x14ac:dyDescent="0.2">
      <c r="A109" s="244"/>
      <c r="B109" s="54"/>
      <c r="C109" s="74"/>
      <c r="E109" s="64"/>
      <c r="H109" s="69"/>
      <c r="M109" s="69"/>
      <c r="P109" s="54"/>
      <c r="Q109" s="115"/>
      <c r="R109" s="115"/>
      <c r="S109" s="115"/>
      <c r="T109" s="115"/>
      <c r="U109" s="115"/>
      <c r="V109" s="115"/>
      <c r="W109" s="115"/>
      <c r="X109" s="283"/>
      <c r="Y109" s="314"/>
      <c r="Z109" s="315"/>
      <c r="AA109" s="315"/>
      <c r="AB109" s="283"/>
      <c r="AC109" s="283"/>
      <c r="AD109" s="177">
        <f>SUM(AD71:AD108)</f>
        <v>6.9678034198498861E-12</v>
      </c>
      <c r="AE109" s="177">
        <f>SUM(AE71:AE108)</f>
        <v>1.0350826425653627E-8</v>
      </c>
      <c r="AF109" s="177">
        <f t="shared" ref="AF109" si="24">SUM(AF71:AF108)</f>
        <v>710.86493056256211</v>
      </c>
      <c r="AG109" s="283"/>
      <c r="AH109" s="283"/>
      <c r="AI109" s="305"/>
      <c r="AJ109" s="305"/>
      <c r="AK109" s="305"/>
    </row>
    <row r="110" spans="1:41" x14ac:dyDescent="0.2">
      <c r="A110" s="259" t="s">
        <v>909</v>
      </c>
    </row>
    <row r="113" spans="1:1" x14ac:dyDescent="0.2">
      <c r="A113" s="35" t="s">
        <v>687</v>
      </c>
    </row>
    <row r="114" spans="1:1" x14ac:dyDescent="0.2">
      <c r="A114" s="244" t="s">
        <v>1102</v>
      </c>
    </row>
    <row r="115" spans="1:1" x14ac:dyDescent="0.2">
      <c r="A115" s="244" t="s">
        <v>1103</v>
      </c>
    </row>
    <row r="116" spans="1:1" x14ac:dyDescent="0.2">
      <c r="A116" t="s">
        <v>1068</v>
      </c>
    </row>
    <row r="117" spans="1:1" x14ac:dyDescent="0.2">
      <c r="A117" s="244" t="s">
        <v>1083</v>
      </c>
    </row>
    <row r="118" spans="1:1" x14ac:dyDescent="0.2">
      <c r="A118" s="244" t="s">
        <v>1104</v>
      </c>
    </row>
    <row r="119" spans="1:1" x14ac:dyDescent="0.2">
      <c r="A119" s="244" t="s">
        <v>1087</v>
      </c>
    </row>
    <row r="120" spans="1:1" x14ac:dyDescent="0.2">
      <c r="A120" s="244" t="s">
        <v>1105</v>
      </c>
    </row>
    <row r="121" spans="1:1" x14ac:dyDescent="0.2">
      <c r="A121" s="244" t="s">
        <v>1106</v>
      </c>
    </row>
    <row r="122" spans="1:1" x14ac:dyDescent="0.2">
      <c r="A122" s="244" t="s">
        <v>1097</v>
      </c>
    </row>
    <row r="123" spans="1:1" x14ac:dyDescent="0.2">
      <c r="A123" s="244" t="s">
        <v>1162</v>
      </c>
    </row>
    <row r="124" spans="1:1" x14ac:dyDescent="0.2">
      <c r="A124" s="244" t="s">
        <v>1091</v>
      </c>
    </row>
    <row r="125" spans="1:1" x14ac:dyDescent="0.2">
      <c r="A125" s="244" t="s">
        <v>1107</v>
      </c>
    </row>
    <row r="126" spans="1:1" x14ac:dyDescent="0.2">
      <c r="A126" t="s">
        <v>1098</v>
      </c>
    </row>
    <row r="127" spans="1:1" x14ac:dyDescent="0.2">
      <c r="A127" s="244" t="s">
        <v>1099</v>
      </c>
    </row>
    <row r="128" spans="1:1" x14ac:dyDescent="0.2">
      <c r="A128" s="244" t="s">
        <v>1070</v>
      </c>
    </row>
    <row r="129" spans="1:1" x14ac:dyDescent="0.2">
      <c r="A129" s="244" t="s">
        <v>1096</v>
      </c>
    </row>
    <row r="130" spans="1:1" x14ac:dyDescent="0.2">
      <c r="A130" s="244" t="s">
        <v>1108</v>
      </c>
    </row>
    <row r="131" spans="1:1" x14ac:dyDescent="0.2">
      <c r="A131" s="244" t="s">
        <v>1109</v>
      </c>
    </row>
    <row r="132" spans="1:1" x14ac:dyDescent="0.2">
      <c r="A132" s="244" t="s">
        <v>1072</v>
      </c>
    </row>
    <row r="133" spans="1:1" x14ac:dyDescent="0.2">
      <c r="A133" s="244" t="s">
        <v>1100</v>
      </c>
    </row>
    <row r="134" spans="1:1" x14ac:dyDescent="0.2">
      <c r="A134" s="244" t="s">
        <v>1101</v>
      </c>
    </row>
  </sheetData>
  <pageMargins left="0.7" right="0.7" top="0.75" bottom="0.75" header="0.3" footer="0.3"/>
  <pageSetup paperSize="9"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O105"/>
  <sheetViews>
    <sheetView zoomScale="60" zoomScaleNormal="60" workbookViewId="0">
      <selection activeCell="A53" sqref="A53"/>
    </sheetView>
  </sheetViews>
  <sheetFormatPr defaultRowHeight="12.75" x14ac:dyDescent="0.2"/>
  <cols>
    <col min="1" max="1" width="35.140625" style="244" customWidth="1"/>
    <col min="2" max="2" width="28.7109375" style="244" customWidth="1"/>
    <col min="3" max="3" width="14.7109375" style="244" customWidth="1"/>
    <col min="4" max="4" width="9.140625" style="244" customWidth="1"/>
    <col min="5" max="5" width="31.28515625" style="244" customWidth="1"/>
    <col min="6" max="6" width="9.140625" style="244" customWidth="1"/>
    <col min="7" max="7" width="30.85546875" style="244" customWidth="1"/>
    <col min="8" max="8" width="22.5703125" style="244" customWidth="1"/>
    <col min="9" max="10" width="9.140625" style="244" customWidth="1"/>
    <col min="11" max="11" width="22.85546875" style="244" customWidth="1"/>
    <col min="12" max="12" width="9.140625" style="244" customWidth="1"/>
    <col min="13" max="13" width="62" style="244" customWidth="1"/>
    <col min="14" max="14" width="18.85546875" style="244" customWidth="1"/>
    <col min="15" max="15" width="9.5703125" style="244" customWidth="1"/>
    <col min="16" max="16" width="10" style="244" customWidth="1"/>
    <col min="17" max="17" width="28.42578125" style="244" customWidth="1"/>
    <col min="18" max="18" width="20.140625" style="244" customWidth="1"/>
    <col min="19" max="19" width="31" style="244" customWidth="1"/>
    <col min="20" max="24" width="16.28515625" style="244" customWidth="1"/>
    <col min="25" max="25" width="14.85546875" style="260" customWidth="1"/>
    <col min="26" max="26" width="10.140625" style="260" customWidth="1"/>
    <col min="27" max="27" width="11.28515625" style="260" customWidth="1"/>
    <col min="28" max="29" width="9.140625" style="260"/>
    <col min="30" max="30" width="15.7109375" style="260" bestFit="1" customWidth="1"/>
    <col min="31" max="31" width="10.140625" style="260" customWidth="1"/>
    <col min="32" max="32" width="13.28515625" style="260" customWidth="1"/>
    <col min="33" max="33" width="9.85546875" style="260" bestFit="1" customWidth="1"/>
    <col min="34" max="37" width="9.140625" style="260"/>
    <col min="38" max="16384" width="9.140625" style="244"/>
  </cols>
  <sheetData>
    <row r="1" spans="1:37" ht="16.5" thickBot="1" x14ac:dyDescent="0.3">
      <c r="A1" s="37" t="s">
        <v>798</v>
      </c>
      <c r="B1" s="38"/>
      <c r="C1" s="38" t="s">
        <v>217</v>
      </c>
      <c r="D1" s="38" t="s">
        <v>11</v>
      </c>
      <c r="E1" s="39" t="s">
        <v>180</v>
      </c>
      <c r="G1" s="263" t="s">
        <v>799</v>
      </c>
      <c r="H1" s="264"/>
      <c r="I1" s="264" t="s">
        <v>217</v>
      </c>
      <c r="J1" s="264" t="s">
        <v>11</v>
      </c>
      <c r="K1" s="265" t="s">
        <v>180</v>
      </c>
      <c r="M1" s="266" t="s">
        <v>800</v>
      </c>
      <c r="N1" s="267"/>
      <c r="O1" s="268" t="s">
        <v>217</v>
      </c>
      <c r="P1" s="268" t="s">
        <v>11</v>
      </c>
      <c r="Q1" s="269" t="s">
        <v>180</v>
      </c>
      <c r="S1" s="270" t="s">
        <v>801</v>
      </c>
      <c r="T1" s="271"/>
      <c r="U1" s="271" t="s">
        <v>217</v>
      </c>
      <c r="V1" s="271" t="s">
        <v>11</v>
      </c>
      <c r="W1" s="272" t="s">
        <v>180</v>
      </c>
      <c r="Y1" s="273" t="s">
        <v>802</v>
      </c>
      <c r="Z1" s="274"/>
      <c r="AA1" s="274" t="s">
        <v>217</v>
      </c>
      <c r="AB1" s="274" t="s">
        <v>11</v>
      </c>
      <c r="AC1" s="275" t="s">
        <v>180</v>
      </c>
      <c r="AF1" s="276" t="s">
        <v>710</v>
      </c>
      <c r="AJ1" s="244"/>
      <c r="AK1" s="244"/>
    </row>
    <row r="2" spans="1:37" x14ac:dyDescent="0.2">
      <c r="A2" s="277" t="s">
        <v>218</v>
      </c>
      <c r="B2" s="278"/>
      <c r="C2" s="278"/>
      <c r="D2" s="278"/>
      <c r="E2" s="279"/>
      <c r="G2" s="277" t="s">
        <v>218</v>
      </c>
      <c r="H2" s="278"/>
      <c r="I2" s="278"/>
      <c r="J2" s="278"/>
      <c r="K2" s="279"/>
      <c r="M2" s="277" t="s">
        <v>218</v>
      </c>
      <c r="N2" s="278"/>
      <c r="O2" s="278"/>
      <c r="P2" s="278"/>
      <c r="Q2" s="279"/>
      <c r="S2" s="277" t="s">
        <v>218</v>
      </c>
      <c r="T2" s="278"/>
      <c r="U2" s="278"/>
      <c r="V2" s="278"/>
      <c r="W2" s="279"/>
      <c r="Y2" s="277" t="s">
        <v>218</v>
      </c>
      <c r="Z2" s="278"/>
      <c r="AA2" s="278"/>
      <c r="AB2" s="278"/>
      <c r="AC2" s="279"/>
      <c r="AF2" s="244" t="s">
        <v>937</v>
      </c>
      <c r="AG2" s="260" t="s">
        <v>709</v>
      </c>
      <c r="AI2" s="244"/>
      <c r="AJ2" s="244"/>
      <c r="AK2" s="244"/>
    </row>
    <row r="3" spans="1:37" x14ac:dyDescent="0.2">
      <c r="A3" s="280" t="s">
        <v>803</v>
      </c>
      <c r="B3" s="281"/>
      <c r="C3" s="281">
        <v>1</v>
      </c>
      <c r="D3" s="281" t="s">
        <v>2</v>
      </c>
      <c r="E3" s="282"/>
      <c r="G3" s="280" t="s">
        <v>803</v>
      </c>
      <c r="H3" s="281"/>
      <c r="I3" s="281">
        <v>1</v>
      </c>
      <c r="J3" s="281" t="s">
        <v>2</v>
      </c>
      <c r="K3" s="282"/>
      <c r="M3" s="280" t="s">
        <v>803</v>
      </c>
      <c r="N3" s="281"/>
      <c r="O3" s="281">
        <v>1</v>
      </c>
      <c r="P3" s="281" t="s">
        <v>2</v>
      </c>
      <c r="Q3" s="282"/>
      <c r="S3" s="280" t="s">
        <v>803</v>
      </c>
      <c r="T3" s="281"/>
      <c r="U3" s="281">
        <v>1</v>
      </c>
      <c r="V3" s="281" t="s">
        <v>2</v>
      </c>
      <c r="W3" s="282"/>
      <c r="Y3" s="280" t="s">
        <v>803</v>
      </c>
      <c r="Z3" s="281"/>
      <c r="AA3" s="281">
        <v>1</v>
      </c>
      <c r="AB3" s="281" t="s">
        <v>2</v>
      </c>
      <c r="AC3" s="282"/>
      <c r="AE3" s="260" t="s">
        <v>260</v>
      </c>
      <c r="AF3" s="283">
        <v>1.57153718587359</v>
      </c>
      <c r="AJ3" s="244"/>
      <c r="AK3" s="244"/>
    </row>
    <row r="4" spans="1:37" s="1" customFormat="1" x14ac:dyDescent="0.2">
      <c r="A4" s="277" t="s">
        <v>183</v>
      </c>
      <c r="B4" s="278"/>
      <c r="C4" s="278"/>
      <c r="D4" s="278"/>
      <c r="E4" s="279"/>
      <c r="G4" s="277" t="s">
        <v>183</v>
      </c>
      <c r="H4" s="278"/>
      <c r="I4" s="278"/>
      <c r="J4" s="278"/>
      <c r="K4" s="279"/>
      <c r="M4" s="277" t="s">
        <v>183</v>
      </c>
      <c r="N4" s="278"/>
      <c r="O4" s="278"/>
      <c r="P4" s="278"/>
      <c r="Q4" s="279"/>
      <c r="S4" s="277" t="s">
        <v>183</v>
      </c>
      <c r="T4" s="278"/>
      <c r="U4" s="278"/>
      <c r="V4" s="278"/>
      <c r="W4" s="279"/>
      <c r="Y4" s="277" t="s">
        <v>183</v>
      </c>
      <c r="Z4" s="278"/>
      <c r="AA4" s="278"/>
      <c r="AB4" s="278"/>
      <c r="AC4" s="279"/>
      <c r="AD4" s="18"/>
      <c r="AE4" s="260" t="s">
        <v>261</v>
      </c>
      <c r="AF4" s="284">
        <v>3.7817920585665298E-4</v>
      </c>
      <c r="AG4" s="18"/>
      <c r="AH4" s="18"/>
      <c r="AI4" s="18"/>
    </row>
    <row r="5" spans="1:37" x14ac:dyDescent="0.2">
      <c r="A5" s="280" t="s">
        <v>184</v>
      </c>
      <c r="B5" s="281"/>
      <c r="C5" s="281">
        <f>6*10/1000</f>
        <v>0.06</v>
      </c>
      <c r="D5" s="281" t="s">
        <v>185</v>
      </c>
      <c r="E5" s="282" t="s">
        <v>186</v>
      </c>
      <c r="F5" s="244" t="s">
        <v>179</v>
      </c>
      <c r="G5" s="280" t="s">
        <v>184</v>
      </c>
      <c r="H5" s="281"/>
      <c r="I5" s="281">
        <f>6*5/1000</f>
        <v>0.03</v>
      </c>
      <c r="J5" s="281" t="s">
        <v>185</v>
      </c>
      <c r="K5" s="282" t="s">
        <v>282</v>
      </c>
      <c r="L5" s="244" t="s">
        <v>87</v>
      </c>
      <c r="M5" s="280" t="s">
        <v>184</v>
      </c>
      <c r="N5" s="281"/>
      <c r="O5" s="281">
        <f>6*20/1000</f>
        <v>0.12</v>
      </c>
      <c r="P5" s="281" t="s">
        <v>185</v>
      </c>
      <c r="Q5" s="282" t="s">
        <v>284</v>
      </c>
      <c r="R5" t="s">
        <v>87</v>
      </c>
      <c r="S5" s="280" t="s">
        <v>184</v>
      </c>
      <c r="T5" s="281"/>
      <c r="U5" s="281">
        <f>6*10/1000</f>
        <v>0.06</v>
      </c>
      <c r="V5" s="281" t="s">
        <v>185</v>
      </c>
      <c r="W5" s="282" t="s">
        <v>186</v>
      </c>
      <c r="X5" s="244" t="s">
        <v>87</v>
      </c>
      <c r="Y5" s="280" t="s">
        <v>184</v>
      </c>
      <c r="Z5" s="281"/>
      <c r="AA5" s="281">
        <f>6*10/1000</f>
        <v>0.06</v>
      </c>
      <c r="AB5" s="281" t="s">
        <v>185</v>
      </c>
      <c r="AC5" s="282" t="s">
        <v>186</v>
      </c>
      <c r="AD5" s="3" t="s">
        <v>87</v>
      </c>
      <c r="AE5" s="260" t="s">
        <v>262</v>
      </c>
      <c r="AF5" s="283">
        <v>5.7876649263483302E-3</v>
      </c>
      <c r="AJ5" s="244"/>
      <c r="AK5" s="244"/>
    </row>
    <row r="6" spans="1:37" s="1" customFormat="1" x14ac:dyDescent="0.2">
      <c r="A6" s="277" t="s">
        <v>187</v>
      </c>
      <c r="B6" s="278"/>
      <c r="C6" s="278"/>
      <c r="D6" s="278"/>
      <c r="E6" s="279"/>
      <c r="G6" s="277" t="s">
        <v>187</v>
      </c>
      <c r="H6" s="278"/>
      <c r="I6" s="278"/>
      <c r="J6" s="278"/>
      <c r="K6" s="279"/>
      <c r="M6" s="277" t="s">
        <v>187</v>
      </c>
      <c r="N6" s="278"/>
      <c r="O6" s="278"/>
      <c r="P6" s="278"/>
      <c r="Q6" s="279"/>
      <c r="S6" s="277" t="s">
        <v>187</v>
      </c>
      <c r="T6" s="278"/>
      <c r="U6" s="278"/>
      <c r="V6" s="278"/>
      <c r="W6" s="279"/>
      <c r="Y6" s="277" t="s">
        <v>187</v>
      </c>
      <c r="Z6" s="278"/>
      <c r="AA6" s="278"/>
      <c r="AB6" s="278"/>
      <c r="AC6" s="279"/>
      <c r="AD6" s="18"/>
      <c r="AE6" s="260" t="s">
        <v>263</v>
      </c>
      <c r="AF6" s="284">
        <v>3.1350767214911E-3</v>
      </c>
      <c r="AG6" s="18"/>
      <c r="AH6" s="18"/>
      <c r="AI6" s="18"/>
    </row>
    <row r="7" spans="1:37" ht="15" x14ac:dyDescent="0.2">
      <c r="A7" s="280" t="s">
        <v>141</v>
      </c>
      <c r="B7" s="281"/>
      <c r="C7" s="281">
        <v>0.08</v>
      </c>
      <c r="D7" s="281" t="s">
        <v>2</v>
      </c>
      <c r="E7" s="279"/>
      <c r="F7" s="244" t="s">
        <v>179</v>
      </c>
      <c r="G7" s="280" t="s">
        <v>141</v>
      </c>
      <c r="H7" s="281"/>
      <c r="I7" s="281">
        <v>0.08</v>
      </c>
      <c r="J7" s="281" t="s">
        <v>2</v>
      </c>
      <c r="K7" s="279"/>
      <c r="M7" s="280" t="s">
        <v>141</v>
      </c>
      <c r="N7" s="281"/>
      <c r="O7" s="281">
        <v>0.08</v>
      </c>
      <c r="P7" s="281" t="s">
        <v>2</v>
      </c>
      <c r="Q7" s="279"/>
      <c r="S7" s="280" t="s">
        <v>1110</v>
      </c>
      <c r="T7" s="281"/>
      <c r="U7" s="281">
        <v>0.08</v>
      </c>
      <c r="V7" s="281" t="s">
        <v>2</v>
      </c>
      <c r="W7" s="279"/>
      <c r="Y7" s="280" t="s">
        <v>1135</v>
      </c>
      <c r="Z7" s="281"/>
      <c r="AA7" s="281">
        <v>0.08</v>
      </c>
      <c r="AB7" s="281" t="s">
        <v>2</v>
      </c>
      <c r="AC7" s="279"/>
      <c r="AE7" s="260" t="s">
        <v>675</v>
      </c>
      <c r="AF7" s="283">
        <v>1.91525463900411E-2</v>
      </c>
      <c r="AJ7" s="244"/>
      <c r="AK7" s="244"/>
    </row>
    <row r="8" spans="1:37" x14ac:dyDescent="0.2">
      <c r="A8" s="280" t="s">
        <v>45</v>
      </c>
      <c r="B8" s="281"/>
      <c r="C8" s="281">
        <v>0.04</v>
      </c>
      <c r="D8" s="281" t="s">
        <v>2</v>
      </c>
      <c r="E8" s="279"/>
      <c r="F8" s="244" t="s">
        <v>179</v>
      </c>
      <c r="G8" s="280" t="s">
        <v>45</v>
      </c>
      <c r="H8" s="281"/>
      <c r="I8" s="281">
        <v>0.04</v>
      </c>
      <c r="J8" s="281" t="s">
        <v>2</v>
      </c>
      <c r="K8" s="279"/>
      <c r="M8" s="280" t="s">
        <v>45</v>
      </c>
      <c r="N8" s="281"/>
      <c r="O8" s="281">
        <v>0.04</v>
      </c>
      <c r="P8" s="281" t="s">
        <v>2</v>
      </c>
      <c r="Q8" s="279"/>
      <c r="S8" s="280" t="s">
        <v>152</v>
      </c>
      <c r="T8" s="281"/>
      <c r="U8" s="281">
        <v>0.04</v>
      </c>
      <c r="V8" s="281" t="s">
        <v>2</v>
      </c>
      <c r="W8" s="279"/>
      <c r="Y8" s="280" t="s">
        <v>1136</v>
      </c>
      <c r="Z8" s="281"/>
      <c r="AA8" s="281">
        <v>0.04</v>
      </c>
      <c r="AB8" s="281" t="s">
        <v>2</v>
      </c>
      <c r="AC8" s="279"/>
      <c r="AE8" s="260" t="s">
        <v>264</v>
      </c>
      <c r="AF8" s="283">
        <v>1.0097945596995599</v>
      </c>
      <c r="AJ8" s="244"/>
      <c r="AK8" s="244"/>
    </row>
    <row r="9" spans="1:37" x14ac:dyDescent="0.2">
      <c r="A9" s="280" t="s">
        <v>46</v>
      </c>
      <c r="B9" s="281"/>
      <c r="C9" s="281">
        <v>2E-3</v>
      </c>
      <c r="D9" s="281" t="s">
        <v>2</v>
      </c>
      <c r="E9" s="279"/>
      <c r="F9" s="244" t="s">
        <v>179</v>
      </c>
      <c r="G9" s="280" t="s">
        <v>46</v>
      </c>
      <c r="H9" s="281"/>
      <c r="I9" s="281">
        <v>2E-3</v>
      </c>
      <c r="J9" s="281" t="s">
        <v>2</v>
      </c>
      <c r="K9" s="279"/>
      <c r="M9" s="280" t="s">
        <v>46</v>
      </c>
      <c r="N9" s="281"/>
      <c r="O9" s="281">
        <v>2E-3</v>
      </c>
      <c r="P9" s="281" t="s">
        <v>2</v>
      </c>
      <c r="Q9" s="279"/>
      <c r="S9" s="280" t="s">
        <v>1112</v>
      </c>
      <c r="T9" s="281"/>
      <c r="U9" s="281">
        <v>2E-3</v>
      </c>
      <c r="V9" s="281" t="s">
        <v>2</v>
      </c>
      <c r="W9" s="279"/>
      <c r="Y9" s="280" t="s">
        <v>1138</v>
      </c>
      <c r="Z9" s="281"/>
      <c r="AA9" s="281">
        <v>2E-3</v>
      </c>
      <c r="AB9" s="281" t="s">
        <v>2</v>
      </c>
      <c r="AC9" s="279"/>
      <c r="AE9" s="260" t="s">
        <v>266</v>
      </c>
      <c r="AF9" s="283">
        <v>3.0094382354655001E-7</v>
      </c>
      <c r="AG9" s="285">
        <f>AE79</f>
        <v>1.2012190530144904E-9</v>
      </c>
      <c r="AJ9" s="244"/>
      <c r="AK9" s="244"/>
    </row>
    <row r="10" spans="1:37" x14ac:dyDescent="0.2">
      <c r="A10" s="280" t="s">
        <v>47</v>
      </c>
      <c r="B10" s="281"/>
      <c r="C10" s="281">
        <v>2.5000000000000001E-2</v>
      </c>
      <c r="D10" s="281" t="s">
        <v>2</v>
      </c>
      <c r="E10" s="279"/>
      <c r="F10" s="244" t="s">
        <v>179</v>
      </c>
      <c r="G10" s="280" t="s">
        <v>47</v>
      </c>
      <c r="H10" s="281"/>
      <c r="I10" s="281">
        <v>2.5000000000000001E-2</v>
      </c>
      <c r="J10" s="281" t="s">
        <v>2</v>
      </c>
      <c r="K10" s="279"/>
      <c r="M10" s="280" t="s">
        <v>47</v>
      </c>
      <c r="N10" s="281"/>
      <c r="O10" s="281">
        <v>2.5000000000000001E-2</v>
      </c>
      <c r="P10" s="281" t="s">
        <v>2</v>
      </c>
      <c r="Q10" s="279"/>
      <c r="S10" s="280" t="s">
        <v>1113</v>
      </c>
      <c r="T10" s="281"/>
      <c r="U10" s="281">
        <v>2.5000000000000001E-2</v>
      </c>
      <c r="V10" s="281" t="s">
        <v>2</v>
      </c>
      <c r="W10" s="279"/>
      <c r="Y10" s="280" t="s">
        <v>1139</v>
      </c>
      <c r="Z10" s="281"/>
      <c r="AA10" s="281">
        <v>2.5000000000000001E-2</v>
      </c>
      <c r="AB10" s="281" t="s">
        <v>2</v>
      </c>
      <c r="AC10" s="279"/>
      <c r="AE10" s="260" t="s">
        <v>267</v>
      </c>
      <c r="AF10" s="283">
        <v>8.3201577117869499E-8</v>
      </c>
      <c r="AG10" s="285">
        <f>AD79</f>
        <v>4.6167504125865925E-10</v>
      </c>
      <c r="AJ10" s="244"/>
      <c r="AK10" s="244"/>
    </row>
    <row r="11" spans="1:37" x14ac:dyDescent="0.2">
      <c r="A11" s="280" t="s">
        <v>54</v>
      </c>
      <c r="B11" s="281"/>
      <c r="C11" s="281">
        <v>0.01</v>
      </c>
      <c r="D11" s="281" t="s">
        <v>2</v>
      </c>
      <c r="E11" s="279"/>
      <c r="F11" s="244" t="s">
        <v>179</v>
      </c>
      <c r="G11" s="280" t="s">
        <v>54</v>
      </c>
      <c r="H11" s="281"/>
      <c r="I11" s="281">
        <v>0.01</v>
      </c>
      <c r="J11" s="281" t="s">
        <v>2</v>
      </c>
      <c r="K11" s="279"/>
      <c r="M11" s="280" t="s">
        <v>54</v>
      </c>
      <c r="N11" s="281"/>
      <c r="O11" s="281">
        <v>0.01</v>
      </c>
      <c r="P11" s="281" t="s">
        <v>2</v>
      </c>
      <c r="Q11" s="279"/>
      <c r="S11" s="280" t="s">
        <v>1116</v>
      </c>
      <c r="T11" s="281"/>
      <c r="U11" s="281">
        <v>0.01</v>
      </c>
      <c r="V11" s="281" t="s">
        <v>2</v>
      </c>
      <c r="W11" s="279"/>
      <c r="Y11" s="280" t="s">
        <v>1142</v>
      </c>
      <c r="Z11" s="281"/>
      <c r="AA11" s="281">
        <v>0.01</v>
      </c>
      <c r="AB11" s="281" t="s">
        <v>2</v>
      </c>
      <c r="AC11" s="279"/>
      <c r="AE11" s="260" t="s">
        <v>268</v>
      </c>
      <c r="AF11" s="283">
        <v>10.1463766581101</v>
      </c>
      <c r="AG11" s="285">
        <f>AF79</f>
        <v>3.2396305020857037</v>
      </c>
      <c r="AJ11" s="244"/>
      <c r="AK11" s="244"/>
    </row>
    <row r="12" spans="1:37" x14ac:dyDescent="0.2">
      <c r="A12" s="280" t="s">
        <v>48</v>
      </c>
      <c r="B12" s="281"/>
      <c r="C12" s="281">
        <v>7.0000000000000007E-2</v>
      </c>
      <c r="D12" s="281" t="s">
        <v>2</v>
      </c>
      <c r="E12" s="279"/>
      <c r="F12" s="244" t="s">
        <v>179</v>
      </c>
      <c r="G12" s="280" t="s">
        <v>48</v>
      </c>
      <c r="H12" s="281"/>
      <c r="I12" s="281">
        <v>7.0000000000000007E-2</v>
      </c>
      <c r="J12" s="281" t="s">
        <v>2</v>
      </c>
      <c r="K12" s="279"/>
      <c r="M12" s="280" t="s">
        <v>48</v>
      </c>
      <c r="N12" s="281"/>
      <c r="O12" s="281">
        <v>7.0000000000000007E-2</v>
      </c>
      <c r="P12" s="281" t="s">
        <v>2</v>
      </c>
      <c r="Q12" s="279"/>
      <c r="S12" s="280" t="s">
        <v>1114</v>
      </c>
      <c r="T12" s="281"/>
      <c r="U12" s="281">
        <v>7.0000000000000007E-2</v>
      </c>
      <c r="V12" s="281" t="s">
        <v>2</v>
      </c>
      <c r="W12" s="279"/>
      <c r="Y12" s="280" t="s">
        <v>1140</v>
      </c>
      <c r="Z12" s="281"/>
      <c r="AA12" s="281">
        <v>7.0000000000000007E-2</v>
      </c>
      <c r="AB12" s="281" t="s">
        <v>2</v>
      </c>
      <c r="AC12" s="279"/>
      <c r="AF12" s="283"/>
      <c r="AJ12" s="244"/>
      <c r="AK12" s="244"/>
    </row>
    <row r="13" spans="1:37" x14ac:dyDescent="0.2">
      <c r="A13" s="280" t="s">
        <v>804</v>
      </c>
      <c r="B13" s="281"/>
      <c r="C13" s="281">
        <v>0.02</v>
      </c>
      <c r="D13" s="281" t="s">
        <v>2</v>
      </c>
      <c r="E13" s="279"/>
      <c r="F13" s="244" t="s">
        <v>179</v>
      </c>
      <c r="G13" s="280" t="s">
        <v>804</v>
      </c>
      <c r="H13" s="281"/>
      <c r="I13" s="281">
        <v>0.02</v>
      </c>
      <c r="J13" s="281" t="s">
        <v>2</v>
      </c>
      <c r="K13" s="279"/>
      <c r="M13" s="280" t="s">
        <v>804</v>
      </c>
      <c r="N13" s="281"/>
      <c r="O13" s="281">
        <v>0.02</v>
      </c>
      <c r="P13" s="281" t="s">
        <v>2</v>
      </c>
      <c r="Q13" s="279"/>
      <c r="S13" s="280" t="s">
        <v>1334</v>
      </c>
      <c r="T13" s="281"/>
      <c r="U13" s="281">
        <v>0.02</v>
      </c>
      <c r="V13" s="281" t="s">
        <v>2</v>
      </c>
      <c r="W13" s="279"/>
      <c r="Y13" s="280" t="s">
        <v>1326</v>
      </c>
      <c r="Z13" s="281"/>
      <c r="AA13" s="281">
        <v>0.02</v>
      </c>
      <c r="AB13" s="281" t="s">
        <v>2</v>
      </c>
      <c r="AC13" s="279"/>
      <c r="AF13" s="283"/>
      <c r="AJ13" s="244"/>
      <c r="AK13" s="244"/>
    </row>
    <row r="14" spans="1:37" x14ac:dyDescent="0.2">
      <c r="A14" s="280" t="s">
        <v>813</v>
      </c>
      <c r="B14" s="281"/>
      <c r="C14" s="281">
        <v>0.05</v>
      </c>
      <c r="D14" s="281" t="s">
        <v>2</v>
      </c>
      <c r="E14" s="282" t="s">
        <v>777</v>
      </c>
      <c r="F14" s="244" t="s">
        <v>179</v>
      </c>
      <c r="G14" s="280" t="s">
        <v>813</v>
      </c>
      <c r="H14" s="281"/>
      <c r="I14" s="281">
        <v>0.05</v>
      </c>
      <c r="J14" s="281" t="s">
        <v>2</v>
      </c>
      <c r="K14" s="282" t="s">
        <v>777</v>
      </c>
      <c r="M14" s="280" t="s">
        <v>813</v>
      </c>
      <c r="N14" s="281"/>
      <c r="O14" s="281">
        <v>0.05</v>
      </c>
      <c r="P14" s="281" t="s">
        <v>2</v>
      </c>
      <c r="Q14" s="282" t="s">
        <v>777</v>
      </c>
      <c r="S14" s="280" t="s">
        <v>1335</v>
      </c>
      <c r="T14" s="281"/>
      <c r="U14" s="281">
        <v>0.05</v>
      </c>
      <c r="V14" s="281" t="s">
        <v>2</v>
      </c>
      <c r="W14" s="282"/>
      <c r="Y14" s="280" t="s">
        <v>1327</v>
      </c>
      <c r="Z14" s="281"/>
      <c r="AA14" s="281">
        <v>0.05</v>
      </c>
      <c r="AB14" s="281" t="s">
        <v>2</v>
      </c>
      <c r="AC14" s="282"/>
      <c r="AJ14" s="244"/>
      <c r="AK14" s="244"/>
    </row>
    <row r="15" spans="1:37" x14ac:dyDescent="0.2">
      <c r="A15" s="280" t="s">
        <v>805</v>
      </c>
      <c r="B15" s="281"/>
      <c r="C15" s="281">
        <v>0.08</v>
      </c>
      <c r="D15" s="281" t="s">
        <v>2</v>
      </c>
      <c r="E15" s="279"/>
      <c r="F15" s="244" t="s">
        <v>179</v>
      </c>
      <c r="G15" s="280" t="s">
        <v>805</v>
      </c>
      <c r="H15" s="281"/>
      <c r="I15" s="281">
        <v>0.08</v>
      </c>
      <c r="J15" s="281" t="s">
        <v>2</v>
      </c>
      <c r="K15" s="279"/>
      <c r="M15" s="280" t="s">
        <v>805</v>
      </c>
      <c r="N15" s="281"/>
      <c r="O15" s="281">
        <v>0.08</v>
      </c>
      <c r="P15" s="281" t="s">
        <v>2</v>
      </c>
      <c r="Q15" s="279"/>
      <c r="S15" s="280" t="s">
        <v>1336</v>
      </c>
      <c r="T15" s="281"/>
      <c r="U15" s="281">
        <v>0.08</v>
      </c>
      <c r="V15" s="281" t="s">
        <v>2</v>
      </c>
      <c r="W15" s="279"/>
      <c r="Y15" s="280" t="s">
        <v>1328</v>
      </c>
      <c r="Z15" s="281"/>
      <c r="AA15" s="281">
        <v>0.08</v>
      </c>
      <c r="AB15" s="281" t="s">
        <v>2</v>
      </c>
      <c r="AC15" s="279"/>
      <c r="AJ15" s="244"/>
      <c r="AK15" s="244"/>
    </row>
    <row r="16" spans="1:37" x14ac:dyDescent="0.2">
      <c r="A16" s="280" t="s">
        <v>144</v>
      </c>
      <c r="B16" s="281"/>
      <c r="C16" s="281">
        <v>0.03</v>
      </c>
      <c r="D16" s="281" t="s">
        <v>2</v>
      </c>
      <c r="E16" s="282" t="s">
        <v>189</v>
      </c>
      <c r="F16" s="244" t="s">
        <v>179</v>
      </c>
      <c r="G16" s="280" t="s">
        <v>144</v>
      </c>
      <c r="H16" s="281"/>
      <c r="I16" s="281">
        <v>0.03</v>
      </c>
      <c r="J16" s="281" t="s">
        <v>2</v>
      </c>
      <c r="K16" s="282" t="s">
        <v>189</v>
      </c>
      <c r="M16" s="280" t="s">
        <v>144</v>
      </c>
      <c r="N16" s="281"/>
      <c r="O16" s="281">
        <v>0.03</v>
      </c>
      <c r="P16" s="281" t="s">
        <v>2</v>
      </c>
      <c r="Q16" s="282" t="s">
        <v>189</v>
      </c>
      <c r="S16" s="280" t="s">
        <v>1117</v>
      </c>
      <c r="T16" s="281"/>
      <c r="U16" s="281">
        <v>0.03</v>
      </c>
      <c r="V16" s="281" t="s">
        <v>2</v>
      </c>
      <c r="W16" s="282"/>
      <c r="Y16" s="280" t="s">
        <v>1143</v>
      </c>
      <c r="Z16" s="281"/>
      <c r="AA16" s="281">
        <v>0.03</v>
      </c>
      <c r="AB16" s="281" t="s">
        <v>2</v>
      </c>
      <c r="AC16" s="282"/>
      <c r="AJ16" s="244"/>
      <c r="AK16" s="244"/>
    </row>
    <row r="17" spans="1:37" x14ac:dyDescent="0.2">
      <c r="A17" s="280" t="s">
        <v>190</v>
      </c>
      <c r="B17" s="281"/>
      <c r="C17" s="281">
        <v>0.08</v>
      </c>
      <c r="D17" s="281" t="s">
        <v>2</v>
      </c>
      <c r="E17" s="279"/>
      <c r="F17" s="244" t="s">
        <v>179</v>
      </c>
      <c r="G17" s="280" t="s">
        <v>190</v>
      </c>
      <c r="H17" s="281"/>
      <c r="I17" s="281">
        <v>0.08</v>
      </c>
      <c r="J17" s="281" t="s">
        <v>2</v>
      </c>
      <c r="K17" s="324" t="s">
        <v>283</v>
      </c>
      <c r="M17" s="280" t="s">
        <v>190</v>
      </c>
      <c r="N17" s="281"/>
      <c r="O17" s="281">
        <v>0.08</v>
      </c>
      <c r="P17" s="281" t="s">
        <v>2</v>
      </c>
      <c r="Q17" s="324" t="s">
        <v>1237</v>
      </c>
      <c r="S17" s="280" t="s">
        <v>1118</v>
      </c>
      <c r="T17" s="281"/>
      <c r="U17" s="281">
        <v>0.08</v>
      </c>
      <c r="V17" s="281" t="s">
        <v>2</v>
      </c>
      <c r="W17" s="279"/>
      <c r="Y17" s="280" t="s">
        <v>1144</v>
      </c>
      <c r="Z17" s="281"/>
      <c r="AA17" s="281">
        <v>0.08</v>
      </c>
      <c r="AB17" s="281" t="s">
        <v>2</v>
      </c>
      <c r="AC17" s="279"/>
      <c r="AJ17" s="244"/>
      <c r="AK17" s="244"/>
    </row>
    <row r="18" spans="1:37" x14ac:dyDescent="0.2">
      <c r="A18" s="280" t="s">
        <v>191</v>
      </c>
      <c r="B18" s="281"/>
      <c r="C18" s="281">
        <v>0.04</v>
      </c>
      <c r="D18" s="281" t="s">
        <v>2</v>
      </c>
      <c r="E18" s="279"/>
      <c r="F18" s="244" t="s">
        <v>179</v>
      </c>
      <c r="G18" s="280" t="s">
        <v>191</v>
      </c>
      <c r="H18" s="281"/>
      <c r="I18" s="281">
        <v>0.04</v>
      </c>
      <c r="J18" s="281" t="s">
        <v>2</v>
      </c>
      <c r="K18" s="324" t="s">
        <v>283</v>
      </c>
      <c r="M18" s="280" t="s">
        <v>191</v>
      </c>
      <c r="N18" s="281"/>
      <c r="O18" s="281">
        <v>0.04</v>
      </c>
      <c r="P18" s="281" t="s">
        <v>2</v>
      </c>
      <c r="Q18" s="324" t="s">
        <v>1237</v>
      </c>
      <c r="S18" s="280" t="s">
        <v>285</v>
      </c>
      <c r="T18" s="281"/>
      <c r="U18" s="281">
        <v>0.04</v>
      </c>
      <c r="V18" s="281" t="s">
        <v>2</v>
      </c>
      <c r="W18" s="279"/>
      <c r="Y18" s="280" t="s">
        <v>1145</v>
      </c>
      <c r="Z18" s="281"/>
      <c r="AA18" s="281">
        <v>0.04</v>
      </c>
      <c r="AB18" s="281" t="s">
        <v>2</v>
      </c>
      <c r="AC18" s="279"/>
      <c r="AJ18" s="244"/>
      <c r="AK18" s="244"/>
    </row>
    <row r="19" spans="1:37" x14ac:dyDescent="0.2">
      <c r="A19" s="280" t="s">
        <v>193</v>
      </c>
      <c r="B19" s="281"/>
      <c r="C19" s="281">
        <v>2E-3</v>
      </c>
      <c r="D19" s="281" t="s">
        <v>2</v>
      </c>
      <c r="E19" s="279"/>
      <c r="F19" s="244" t="s">
        <v>179</v>
      </c>
      <c r="G19" s="280" t="s">
        <v>193</v>
      </c>
      <c r="H19" s="281"/>
      <c r="I19" s="281">
        <v>2E-3</v>
      </c>
      <c r="J19" s="281" t="s">
        <v>2</v>
      </c>
      <c r="K19" s="324" t="s">
        <v>283</v>
      </c>
      <c r="M19" s="280" t="s">
        <v>193</v>
      </c>
      <c r="N19" s="281"/>
      <c r="O19" s="281">
        <v>2E-3</v>
      </c>
      <c r="P19" s="281" t="s">
        <v>2</v>
      </c>
      <c r="Q19" s="324" t="s">
        <v>1237</v>
      </c>
      <c r="S19" s="280" t="s">
        <v>1120</v>
      </c>
      <c r="T19" s="281"/>
      <c r="U19" s="281">
        <v>2E-3</v>
      </c>
      <c r="V19" s="281" t="s">
        <v>2</v>
      </c>
      <c r="W19" s="279"/>
      <c r="Y19" s="280" t="s">
        <v>1147</v>
      </c>
      <c r="Z19" s="281"/>
      <c r="AA19" s="281">
        <v>2E-3</v>
      </c>
      <c r="AB19" s="281" t="s">
        <v>2</v>
      </c>
      <c r="AC19" s="279"/>
      <c r="AJ19" s="244"/>
      <c r="AK19" s="244"/>
    </row>
    <row r="20" spans="1:37" x14ac:dyDescent="0.2">
      <c r="A20" s="280" t="s">
        <v>703</v>
      </c>
      <c r="B20" s="281"/>
      <c r="C20" s="281">
        <v>0</v>
      </c>
      <c r="D20" s="281" t="s">
        <v>2</v>
      </c>
      <c r="E20" s="282" t="s">
        <v>271</v>
      </c>
      <c r="F20" s="244" t="s">
        <v>179</v>
      </c>
      <c r="G20" s="280" t="s">
        <v>703</v>
      </c>
      <c r="H20" s="281"/>
      <c r="I20" s="281">
        <v>0</v>
      </c>
      <c r="J20" s="281" t="s">
        <v>2</v>
      </c>
      <c r="K20" s="324" t="s">
        <v>283</v>
      </c>
      <c r="M20" s="280" t="s">
        <v>703</v>
      </c>
      <c r="N20" s="281"/>
      <c r="O20" s="281">
        <v>0</v>
      </c>
      <c r="P20" s="281" t="s">
        <v>2</v>
      </c>
      <c r="Q20" s="324" t="s">
        <v>1237</v>
      </c>
      <c r="S20" s="280" t="s">
        <v>1121</v>
      </c>
      <c r="T20" s="281"/>
      <c r="U20" s="281">
        <v>0</v>
      </c>
      <c r="V20" s="281" t="s">
        <v>2</v>
      </c>
      <c r="W20" s="282"/>
      <c r="Y20" s="280" t="s">
        <v>1148</v>
      </c>
      <c r="Z20" s="281"/>
      <c r="AA20" s="281">
        <v>0</v>
      </c>
      <c r="AB20" s="281" t="s">
        <v>2</v>
      </c>
      <c r="AC20" s="282"/>
      <c r="AJ20" s="244"/>
      <c r="AK20" s="244"/>
    </row>
    <row r="21" spans="1:37" x14ac:dyDescent="0.2">
      <c r="A21" s="280" t="s">
        <v>722</v>
      </c>
      <c r="B21" s="281"/>
      <c r="C21" s="281">
        <v>0.01</v>
      </c>
      <c r="D21" s="281" t="s">
        <v>2</v>
      </c>
      <c r="E21" s="282"/>
      <c r="F21" s="244" t="s">
        <v>179</v>
      </c>
      <c r="G21" s="280" t="s">
        <v>722</v>
      </c>
      <c r="H21" s="281"/>
      <c r="I21" s="281">
        <v>0.01</v>
      </c>
      <c r="J21" s="281" t="s">
        <v>2</v>
      </c>
      <c r="K21" s="324" t="s">
        <v>283</v>
      </c>
      <c r="M21" s="280" t="s">
        <v>722</v>
      </c>
      <c r="N21" s="281"/>
      <c r="O21" s="281">
        <v>0.01</v>
      </c>
      <c r="P21" s="281" t="s">
        <v>2</v>
      </c>
      <c r="Q21" s="324" t="s">
        <v>1237</v>
      </c>
      <c r="S21" s="280" t="s">
        <v>1198</v>
      </c>
      <c r="T21" s="281"/>
      <c r="U21" s="281">
        <v>0.01</v>
      </c>
      <c r="V21" s="281" t="s">
        <v>2</v>
      </c>
      <c r="W21" s="282"/>
      <c r="Y21" s="280" t="s">
        <v>1224</v>
      </c>
      <c r="Z21" s="281"/>
      <c r="AA21" s="281">
        <v>0.01</v>
      </c>
      <c r="AB21" s="281" t="s">
        <v>2</v>
      </c>
      <c r="AC21" s="282"/>
      <c r="AJ21" s="244"/>
      <c r="AK21" s="244"/>
    </row>
    <row r="22" spans="1:37" x14ac:dyDescent="0.2">
      <c r="A22" s="280" t="s">
        <v>194</v>
      </c>
      <c r="B22" s="281"/>
      <c r="C22" s="281">
        <v>7.0000000000000007E-2</v>
      </c>
      <c r="D22" s="281" t="s">
        <v>2</v>
      </c>
      <c r="E22" s="279"/>
      <c r="F22" s="244" t="s">
        <v>179</v>
      </c>
      <c r="G22" s="280" t="s">
        <v>194</v>
      </c>
      <c r="H22" s="281"/>
      <c r="I22" s="281">
        <v>7.0000000000000007E-2</v>
      </c>
      <c r="J22" s="281" t="s">
        <v>2</v>
      </c>
      <c r="K22" s="324" t="s">
        <v>283</v>
      </c>
      <c r="M22" s="280" t="s">
        <v>194</v>
      </c>
      <c r="N22" s="281"/>
      <c r="O22" s="281">
        <v>7.0000000000000007E-2</v>
      </c>
      <c r="P22" s="281" t="s">
        <v>2</v>
      </c>
      <c r="Q22" s="324" t="s">
        <v>1237</v>
      </c>
      <c r="S22" s="280" t="s">
        <v>1122</v>
      </c>
      <c r="T22" s="281"/>
      <c r="U22" s="281">
        <v>7.0000000000000007E-2</v>
      </c>
      <c r="V22" s="281" t="s">
        <v>2</v>
      </c>
      <c r="W22" s="279"/>
      <c r="Y22" s="280" t="s">
        <v>1149</v>
      </c>
      <c r="Z22" s="281"/>
      <c r="AA22" s="281">
        <v>7.0000000000000007E-2</v>
      </c>
      <c r="AB22" s="281" t="s">
        <v>2</v>
      </c>
      <c r="AC22" s="279"/>
      <c r="AJ22" s="244"/>
      <c r="AK22" s="244"/>
    </row>
    <row r="23" spans="1:37" x14ac:dyDescent="0.2">
      <c r="A23" s="280" t="s">
        <v>808</v>
      </c>
      <c r="B23" s="281"/>
      <c r="C23" s="281">
        <v>0.02</v>
      </c>
      <c r="D23" s="281" t="s">
        <v>2</v>
      </c>
      <c r="E23" s="279"/>
      <c r="F23" s="244" t="s">
        <v>179</v>
      </c>
      <c r="G23" s="280" t="s">
        <v>808</v>
      </c>
      <c r="H23" s="281"/>
      <c r="I23" s="281">
        <v>0.02</v>
      </c>
      <c r="J23" s="281" t="s">
        <v>2</v>
      </c>
      <c r="K23" s="324" t="s">
        <v>283</v>
      </c>
      <c r="M23" s="280" t="s">
        <v>808</v>
      </c>
      <c r="N23" s="281"/>
      <c r="O23" s="281">
        <v>0.02</v>
      </c>
      <c r="P23" s="281" t="s">
        <v>2</v>
      </c>
      <c r="Q23" s="324" t="s">
        <v>1237</v>
      </c>
      <c r="S23" s="280" t="s">
        <v>1337</v>
      </c>
      <c r="T23" s="281"/>
      <c r="U23" s="281">
        <v>0.02</v>
      </c>
      <c r="V23" s="281" t="s">
        <v>2</v>
      </c>
      <c r="W23" s="279"/>
      <c r="Y23" s="280" t="s">
        <v>1329</v>
      </c>
      <c r="Z23" s="281"/>
      <c r="AA23" s="281">
        <v>0.02</v>
      </c>
      <c r="AB23" s="281" t="s">
        <v>2</v>
      </c>
      <c r="AC23" s="279"/>
      <c r="AJ23" s="244"/>
      <c r="AK23" s="244"/>
    </row>
    <row r="24" spans="1:37" x14ac:dyDescent="0.2">
      <c r="A24" s="280" t="s">
        <v>814</v>
      </c>
      <c r="B24" s="281"/>
      <c r="C24" s="281">
        <v>0.05</v>
      </c>
      <c r="D24" s="281" t="s">
        <v>2</v>
      </c>
      <c r="E24" s="282"/>
      <c r="F24" s="244" t="s">
        <v>179</v>
      </c>
      <c r="G24" s="280" t="s">
        <v>814</v>
      </c>
      <c r="H24" s="281"/>
      <c r="I24" s="281">
        <v>0.05</v>
      </c>
      <c r="J24" s="281" t="s">
        <v>2</v>
      </c>
      <c r="K24" s="324" t="s">
        <v>283</v>
      </c>
      <c r="M24" s="280" t="s">
        <v>814</v>
      </c>
      <c r="N24" s="281"/>
      <c r="O24" s="281">
        <v>0.05</v>
      </c>
      <c r="P24" s="281" t="s">
        <v>2</v>
      </c>
      <c r="Q24" s="324" t="s">
        <v>1237</v>
      </c>
      <c r="S24" s="280" t="s">
        <v>1338</v>
      </c>
      <c r="T24" s="281"/>
      <c r="U24" s="281">
        <v>0.05</v>
      </c>
      <c r="V24" s="281" t="s">
        <v>2</v>
      </c>
      <c r="W24" s="282"/>
      <c r="Y24" s="280" t="s">
        <v>1330</v>
      </c>
      <c r="Z24" s="281"/>
      <c r="AA24" s="281">
        <v>0.05</v>
      </c>
      <c r="AB24" s="281" t="s">
        <v>2</v>
      </c>
      <c r="AC24" s="282"/>
      <c r="AJ24" s="244"/>
      <c r="AK24" s="244"/>
    </row>
    <row r="25" spans="1:37" x14ac:dyDescent="0.2">
      <c r="A25" s="280" t="s">
        <v>809</v>
      </c>
      <c r="B25" s="281"/>
      <c r="C25" s="281">
        <v>0.08</v>
      </c>
      <c r="D25" s="281" t="s">
        <v>2</v>
      </c>
      <c r="E25" s="279"/>
      <c r="F25" s="244" t="s">
        <v>179</v>
      </c>
      <c r="G25" s="280" t="s">
        <v>809</v>
      </c>
      <c r="H25" s="281"/>
      <c r="I25" s="281">
        <v>0.08</v>
      </c>
      <c r="J25" s="281" t="s">
        <v>2</v>
      </c>
      <c r="K25" s="324" t="s">
        <v>283</v>
      </c>
      <c r="M25" s="280" t="s">
        <v>809</v>
      </c>
      <c r="N25" s="281"/>
      <c r="O25" s="281">
        <v>0.08</v>
      </c>
      <c r="P25" s="281" t="s">
        <v>2</v>
      </c>
      <c r="Q25" s="324" t="s">
        <v>1237</v>
      </c>
      <c r="S25" s="280" t="s">
        <v>1339</v>
      </c>
      <c r="T25" s="281"/>
      <c r="U25" s="281">
        <v>0.08</v>
      </c>
      <c r="V25" s="281" t="s">
        <v>2</v>
      </c>
      <c r="W25" s="279"/>
      <c r="Y25" s="280" t="s">
        <v>1331</v>
      </c>
      <c r="Z25" s="281"/>
      <c r="AA25" s="281">
        <v>0.08</v>
      </c>
      <c r="AB25" s="281" t="s">
        <v>2</v>
      </c>
      <c r="AC25" s="279"/>
      <c r="AJ25" s="244"/>
      <c r="AK25" s="244"/>
    </row>
    <row r="26" spans="1:37" x14ac:dyDescent="0.2">
      <c r="A26" s="280" t="s">
        <v>705</v>
      </c>
      <c r="B26" s="281"/>
      <c r="C26" s="281">
        <v>0.03</v>
      </c>
      <c r="D26" s="281" t="s">
        <v>2</v>
      </c>
      <c r="E26" s="282"/>
      <c r="F26" s="244" t="s">
        <v>179</v>
      </c>
      <c r="G26" s="280" t="s">
        <v>705</v>
      </c>
      <c r="H26" s="281"/>
      <c r="I26" s="281">
        <v>0.03</v>
      </c>
      <c r="J26" s="281" t="s">
        <v>2</v>
      </c>
      <c r="K26" s="324" t="s">
        <v>283</v>
      </c>
      <c r="M26" s="280" t="s">
        <v>705</v>
      </c>
      <c r="N26" s="281"/>
      <c r="O26" s="281">
        <v>0.03</v>
      </c>
      <c r="P26" s="281" t="s">
        <v>2</v>
      </c>
      <c r="Q26" s="324" t="s">
        <v>1237</v>
      </c>
      <c r="S26" s="280" t="s">
        <v>1125</v>
      </c>
      <c r="T26" s="281"/>
      <c r="U26" s="281">
        <v>0.03</v>
      </c>
      <c r="V26" s="281" t="s">
        <v>2</v>
      </c>
      <c r="W26" s="282"/>
      <c r="Y26" s="280" t="s">
        <v>1152</v>
      </c>
      <c r="Z26" s="281"/>
      <c r="AA26" s="281">
        <v>0.03</v>
      </c>
      <c r="AB26" s="281" t="s">
        <v>2</v>
      </c>
      <c r="AC26" s="282"/>
      <c r="AJ26" s="244"/>
      <c r="AK26" s="244"/>
    </row>
    <row r="27" spans="1:37" x14ac:dyDescent="0.2">
      <c r="A27" s="280" t="s">
        <v>196</v>
      </c>
      <c r="B27" s="281"/>
      <c r="C27" s="281">
        <v>0.08</v>
      </c>
      <c r="D27" s="281" t="s">
        <v>2</v>
      </c>
      <c r="E27" s="279"/>
      <c r="F27" s="244" t="s">
        <v>179</v>
      </c>
      <c r="G27" s="280" t="s">
        <v>196</v>
      </c>
      <c r="H27" s="281"/>
      <c r="I27" s="281">
        <v>0.08</v>
      </c>
      <c r="J27" s="281" t="s">
        <v>2</v>
      </c>
      <c r="K27" s="324" t="s">
        <v>283</v>
      </c>
      <c r="M27" s="280" t="s">
        <v>196</v>
      </c>
      <c r="N27" s="281"/>
      <c r="O27" s="281">
        <v>0.08</v>
      </c>
      <c r="P27" s="281" t="s">
        <v>2</v>
      </c>
      <c r="Q27" s="324" t="s">
        <v>1237</v>
      </c>
      <c r="S27" s="280" t="s">
        <v>1126</v>
      </c>
      <c r="T27" s="281"/>
      <c r="U27" s="281">
        <v>0.08</v>
      </c>
      <c r="V27" s="281" t="s">
        <v>2</v>
      </c>
      <c r="W27" s="279"/>
      <c r="Y27" s="280" t="s">
        <v>1153</v>
      </c>
      <c r="Z27" s="281"/>
      <c r="AA27" s="281">
        <v>0.08</v>
      </c>
      <c r="AB27" s="281" t="s">
        <v>2</v>
      </c>
      <c r="AC27" s="279"/>
      <c r="AJ27" s="244"/>
      <c r="AK27" s="244"/>
    </row>
    <row r="28" spans="1:37" x14ac:dyDescent="0.2">
      <c r="A28" s="280" t="s">
        <v>706</v>
      </c>
      <c r="B28" s="281"/>
      <c r="C28" s="281">
        <v>0.04</v>
      </c>
      <c r="D28" s="281" t="s">
        <v>2</v>
      </c>
      <c r="E28" s="279"/>
      <c r="F28" s="244" t="s">
        <v>179</v>
      </c>
      <c r="G28" s="280" t="s">
        <v>706</v>
      </c>
      <c r="H28" s="281"/>
      <c r="I28" s="281">
        <v>0.04</v>
      </c>
      <c r="J28" s="281" t="s">
        <v>2</v>
      </c>
      <c r="K28" s="324" t="s">
        <v>283</v>
      </c>
      <c r="M28" s="280" t="s">
        <v>706</v>
      </c>
      <c r="N28" s="281"/>
      <c r="O28" s="281">
        <v>0.04</v>
      </c>
      <c r="P28" s="281" t="s">
        <v>2</v>
      </c>
      <c r="Q28" s="324" t="s">
        <v>1237</v>
      </c>
      <c r="S28" s="280" t="s">
        <v>753</v>
      </c>
      <c r="T28" s="281"/>
      <c r="U28" s="281">
        <v>0.04</v>
      </c>
      <c r="V28" s="281" t="s">
        <v>2</v>
      </c>
      <c r="W28" s="279"/>
      <c r="Y28" s="280" t="s">
        <v>1180</v>
      </c>
      <c r="Z28" s="281"/>
      <c r="AA28" s="281">
        <v>0.04</v>
      </c>
      <c r="AB28" s="281" t="s">
        <v>2</v>
      </c>
      <c r="AC28" s="279"/>
      <c r="AJ28" s="244"/>
      <c r="AK28" s="244"/>
    </row>
    <row r="29" spans="1:37" x14ac:dyDescent="0.2">
      <c r="A29" s="280" t="s">
        <v>199</v>
      </c>
      <c r="B29" s="281"/>
      <c r="C29" s="281">
        <v>2E-3</v>
      </c>
      <c r="D29" s="281" t="s">
        <v>2</v>
      </c>
      <c r="E29" s="279"/>
      <c r="F29" s="244" t="s">
        <v>179</v>
      </c>
      <c r="G29" s="280" t="s">
        <v>199</v>
      </c>
      <c r="H29" s="281"/>
      <c r="I29" s="281">
        <v>2E-3</v>
      </c>
      <c r="J29" s="281" t="s">
        <v>2</v>
      </c>
      <c r="K29" s="324" t="s">
        <v>283</v>
      </c>
      <c r="M29" s="280" t="s">
        <v>199</v>
      </c>
      <c r="N29" s="281"/>
      <c r="O29" s="281">
        <v>2E-3</v>
      </c>
      <c r="P29" s="281" t="s">
        <v>2</v>
      </c>
      <c r="Q29" s="324" t="s">
        <v>1237</v>
      </c>
      <c r="S29" s="280" t="s">
        <v>1129</v>
      </c>
      <c r="T29" s="281"/>
      <c r="U29" s="281">
        <v>2E-3</v>
      </c>
      <c r="V29" s="281" t="s">
        <v>2</v>
      </c>
      <c r="W29" s="279"/>
      <c r="Y29" s="280" t="s">
        <v>1156</v>
      </c>
      <c r="Z29" s="281"/>
      <c r="AA29" s="281">
        <v>2E-3</v>
      </c>
      <c r="AB29" s="281" t="s">
        <v>2</v>
      </c>
      <c r="AC29" s="279"/>
      <c r="AJ29" s="244"/>
      <c r="AK29" s="244"/>
    </row>
    <row r="30" spans="1:37" x14ac:dyDescent="0.2">
      <c r="A30" s="280" t="s">
        <v>707</v>
      </c>
      <c r="B30" s="281"/>
      <c r="C30" s="281">
        <v>2.5000000000000001E-2</v>
      </c>
      <c r="D30" s="281" t="s">
        <v>2</v>
      </c>
      <c r="E30" s="279"/>
      <c r="F30" s="244" t="s">
        <v>179</v>
      </c>
      <c r="G30" s="280" t="s">
        <v>707</v>
      </c>
      <c r="H30" s="281"/>
      <c r="I30" s="281">
        <v>2.5000000000000001E-2</v>
      </c>
      <c r="J30" s="281" t="s">
        <v>2</v>
      </c>
      <c r="K30" s="324" t="s">
        <v>283</v>
      </c>
      <c r="M30" s="280" t="s">
        <v>707</v>
      </c>
      <c r="N30" s="281"/>
      <c r="O30" s="281">
        <v>2.5000000000000001E-2</v>
      </c>
      <c r="P30" s="281" t="s">
        <v>2</v>
      </c>
      <c r="Q30" s="324" t="s">
        <v>1237</v>
      </c>
      <c r="S30" s="280" t="s">
        <v>1173</v>
      </c>
      <c r="T30" s="281"/>
      <c r="U30" s="281">
        <v>2.5000000000000001E-2</v>
      </c>
      <c r="V30" s="281" t="s">
        <v>2</v>
      </c>
      <c r="W30" s="279"/>
      <c r="Y30" s="280" t="s">
        <v>1182</v>
      </c>
      <c r="Z30" s="281"/>
      <c r="AA30" s="281">
        <v>2.5000000000000001E-2</v>
      </c>
      <c r="AB30" s="281" t="s">
        <v>2</v>
      </c>
      <c r="AC30" s="279"/>
      <c r="AJ30" s="244"/>
      <c r="AK30" s="244"/>
    </row>
    <row r="31" spans="1:37" x14ac:dyDescent="0.2">
      <c r="A31" s="280" t="s">
        <v>730</v>
      </c>
      <c r="B31" s="281"/>
      <c r="C31" s="281">
        <v>0.01</v>
      </c>
      <c r="D31" s="281" t="s">
        <v>2</v>
      </c>
      <c r="E31" s="279"/>
      <c r="F31" s="244" t="s">
        <v>179</v>
      </c>
      <c r="G31" s="280" t="s">
        <v>730</v>
      </c>
      <c r="H31" s="281"/>
      <c r="I31" s="281">
        <v>0.01</v>
      </c>
      <c r="J31" s="281" t="s">
        <v>2</v>
      </c>
      <c r="K31" s="324" t="s">
        <v>283</v>
      </c>
      <c r="M31" s="280" t="s">
        <v>730</v>
      </c>
      <c r="N31" s="281"/>
      <c r="O31" s="281">
        <v>0.01</v>
      </c>
      <c r="P31" s="281" t="s">
        <v>2</v>
      </c>
      <c r="Q31" s="324" t="s">
        <v>1237</v>
      </c>
      <c r="S31" s="280" t="s">
        <v>1207</v>
      </c>
      <c r="T31" s="281"/>
      <c r="U31" s="281">
        <v>0.01</v>
      </c>
      <c r="V31" s="281" t="s">
        <v>2</v>
      </c>
      <c r="W31" s="279"/>
      <c r="Y31" s="280" t="s">
        <v>1233</v>
      </c>
      <c r="Z31" s="281"/>
      <c r="AA31" s="281">
        <v>0.01</v>
      </c>
      <c r="AB31" s="281" t="s">
        <v>2</v>
      </c>
      <c r="AC31" s="279"/>
      <c r="AJ31" s="244"/>
      <c r="AK31" s="244"/>
    </row>
    <row r="32" spans="1:37" x14ac:dyDescent="0.2">
      <c r="A32" s="280" t="s">
        <v>201</v>
      </c>
      <c r="B32" s="281"/>
      <c r="C32" s="281">
        <v>7.0000000000000007E-2</v>
      </c>
      <c r="D32" s="281" t="s">
        <v>2</v>
      </c>
      <c r="E32" s="279"/>
      <c r="F32" s="244" t="s">
        <v>179</v>
      </c>
      <c r="G32" s="280" t="s">
        <v>201</v>
      </c>
      <c r="H32" s="281"/>
      <c r="I32" s="281">
        <v>7.0000000000000007E-2</v>
      </c>
      <c r="J32" s="281" t="s">
        <v>2</v>
      </c>
      <c r="K32" s="324" t="s">
        <v>283</v>
      </c>
      <c r="M32" s="280" t="s">
        <v>201</v>
      </c>
      <c r="N32" s="281"/>
      <c r="O32" s="281">
        <v>7.0000000000000007E-2</v>
      </c>
      <c r="P32" s="281" t="s">
        <v>2</v>
      </c>
      <c r="Q32" s="324" t="s">
        <v>1237</v>
      </c>
      <c r="S32" s="280" t="s">
        <v>1131</v>
      </c>
      <c r="T32" s="281"/>
      <c r="U32" s="281">
        <v>7.0000000000000007E-2</v>
      </c>
      <c r="V32" s="281" t="s">
        <v>2</v>
      </c>
      <c r="W32" s="279"/>
      <c r="Y32" s="280" t="s">
        <v>1158</v>
      </c>
      <c r="Z32" s="281"/>
      <c r="AA32" s="281">
        <v>7.0000000000000007E-2</v>
      </c>
      <c r="AB32" s="281" t="s">
        <v>2</v>
      </c>
      <c r="AC32" s="279"/>
      <c r="AJ32" s="244"/>
      <c r="AK32" s="244"/>
    </row>
    <row r="33" spans="1:37" x14ac:dyDescent="0.2">
      <c r="A33" s="280" t="s">
        <v>807</v>
      </c>
      <c r="B33" s="281"/>
      <c r="C33" s="281">
        <v>0.02</v>
      </c>
      <c r="D33" s="281" t="s">
        <v>2</v>
      </c>
      <c r="E33" s="279"/>
      <c r="F33" s="244" t="s">
        <v>179</v>
      </c>
      <c r="G33" s="280" t="s">
        <v>807</v>
      </c>
      <c r="H33" s="281"/>
      <c r="I33" s="281">
        <v>0.02</v>
      </c>
      <c r="J33" s="281" t="s">
        <v>2</v>
      </c>
      <c r="K33" s="324" t="s">
        <v>283</v>
      </c>
      <c r="M33" s="280" t="s">
        <v>807</v>
      </c>
      <c r="N33" s="281"/>
      <c r="O33" s="281">
        <v>0.02</v>
      </c>
      <c r="P33" s="281" t="s">
        <v>2</v>
      </c>
      <c r="Q33" s="324" t="s">
        <v>1237</v>
      </c>
      <c r="S33" s="280" t="s">
        <v>1340</v>
      </c>
      <c r="T33" s="281"/>
      <c r="U33" s="281">
        <v>0.02</v>
      </c>
      <c r="V33" s="281" t="s">
        <v>2</v>
      </c>
      <c r="W33" s="279"/>
      <c r="Y33" s="280" t="s">
        <v>1332</v>
      </c>
      <c r="Z33" s="281"/>
      <c r="AA33" s="281">
        <v>0.02</v>
      </c>
      <c r="AB33" s="281" t="s">
        <v>2</v>
      </c>
      <c r="AC33" s="279"/>
      <c r="AJ33" s="244"/>
      <c r="AK33" s="244"/>
    </row>
    <row r="34" spans="1:37" x14ac:dyDescent="0.2">
      <c r="A34" s="280" t="s">
        <v>815</v>
      </c>
      <c r="B34" s="281"/>
      <c r="C34" s="281">
        <v>0.05</v>
      </c>
      <c r="D34" s="281" t="s">
        <v>2</v>
      </c>
      <c r="E34" s="282"/>
      <c r="F34" s="244" t="s">
        <v>179</v>
      </c>
      <c r="G34" s="280" t="s">
        <v>815</v>
      </c>
      <c r="H34" s="281"/>
      <c r="I34" s="281">
        <v>0.05</v>
      </c>
      <c r="J34" s="281" t="s">
        <v>2</v>
      </c>
      <c r="K34" s="324" t="s">
        <v>283</v>
      </c>
      <c r="M34" s="280" t="s">
        <v>815</v>
      </c>
      <c r="N34" s="281"/>
      <c r="O34" s="281">
        <v>0.05</v>
      </c>
      <c r="P34" s="281" t="s">
        <v>2</v>
      </c>
      <c r="Q34" s="324" t="s">
        <v>1237</v>
      </c>
      <c r="S34" s="280" t="s">
        <v>1341</v>
      </c>
      <c r="T34" s="281"/>
      <c r="U34" s="281">
        <v>0.05</v>
      </c>
      <c r="V34" s="281" t="s">
        <v>2</v>
      </c>
      <c r="W34" s="282"/>
      <c r="Y34" s="280" t="s">
        <v>1333</v>
      </c>
      <c r="Z34" s="281"/>
      <c r="AA34" s="281">
        <v>0.05</v>
      </c>
      <c r="AB34" s="281" t="s">
        <v>2</v>
      </c>
      <c r="AC34" s="282"/>
      <c r="AJ34" s="244"/>
      <c r="AK34" s="244"/>
    </row>
    <row r="35" spans="1:37" x14ac:dyDescent="0.2">
      <c r="A35" s="280" t="s">
        <v>197</v>
      </c>
      <c r="B35" s="281"/>
      <c r="C35" s="281">
        <v>0.08</v>
      </c>
      <c r="D35" s="281" t="s">
        <v>2</v>
      </c>
      <c r="E35" s="279"/>
      <c r="F35" s="244" t="s">
        <v>179</v>
      </c>
      <c r="G35" s="280" t="s">
        <v>197</v>
      </c>
      <c r="H35" s="281"/>
      <c r="I35" s="281">
        <v>0.08</v>
      </c>
      <c r="J35" s="281" t="s">
        <v>2</v>
      </c>
      <c r="K35" s="324" t="s">
        <v>283</v>
      </c>
      <c r="M35" s="280" t="s">
        <v>197</v>
      </c>
      <c r="N35" s="281"/>
      <c r="O35" s="281">
        <v>0.08</v>
      </c>
      <c r="P35" s="281" t="s">
        <v>2</v>
      </c>
      <c r="Q35" s="324" t="s">
        <v>1237</v>
      </c>
      <c r="S35" s="280" t="s">
        <v>1127</v>
      </c>
      <c r="T35" s="281"/>
      <c r="U35" s="281">
        <v>0.08</v>
      </c>
      <c r="V35" s="281" t="s">
        <v>2</v>
      </c>
      <c r="W35" s="279"/>
      <c r="Y35" s="280" t="s">
        <v>1154</v>
      </c>
      <c r="Z35" s="281"/>
      <c r="AA35" s="281">
        <v>0.08</v>
      </c>
      <c r="AB35" s="281" t="s">
        <v>2</v>
      </c>
      <c r="AC35" s="279"/>
      <c r="AJ35" s="244"/>
      <c r="AK35" s="244"/>
    </row>
    <row r="36" spans="1:37" x14ac:dyDescent="0.2">
      <c r="A36" s="280" t="s">
        <v>204</v>
      </c>
      <c r="B36" s="281"/>
      <c r="C36" s="281">
        <v>0.03</v>
      </c>
      <c r="D36" s="281" t="s">
        <v>2</v>
      </c>
      <c r="E36" s="282"/>
      <c r="F36" s="244" t="s">
        <v>179</v>
      </c>
      <c r="G36" s="280" t="s">
        <v>204</v>
      </c>
      <c r="H36" s="281"/>
      <c r="I36" s="281">
        <v>0.03</v>
      </c>
      <c r="J36" s="281" t="s">
        <v>2</v>
      </c>
      <c r="K36" s="324" t="s">
        <v>283</v>
      </c>
      <c r="M36" s="280" t="s">
        <v>204</v>
      </c>
      <c r="N36" s="281"/>
      <c r="O36" s="281">
        <v>0.03</v>
      </c>
      <c r="P36" s="281" t="s">
        <v>2</v>
      </c>
      <c r="Q36" s="324" t="s">
        <v>1237</v>
      </c>
      <c r="S36" s="280" t="s">
        <v>1134</v>
      </c>
      <c r="T36" s="281"/>
      <c r="U36" s="281">
        <v>0.03</v>
      </c>
      <c r="V36" s="281" t="s">
        <v>2</v>
      </c>
      <c r="W36" s="282"/>
      <c r="Y36" s="280" t="s">
        <v>1161</v>
      </c>
      <c r="Z36" s="281"/>
      <c r="AA36" s="281">
        <v>0.03</v>
      </c>
      <c r="AB36" s="281" t="s">
        <v>2</v>
      </c>
      <c r="AC36" s="282"/>
      <c r="AJ36" s="244"/>
      <c r="AK36" s="244"/>
    </row>
    <row r="37" spans="1:37" s="1" customFormat="1" x14ac:dyDescent="0.2">
      <c r="A37" s="277" t="s">
        <v>205</v>
      </c>
      <c r="B37" s="278"/>
      <c r="C37" s="278"/>
      <c r="D37" s="278"/>
      <c r="E37" s="279"/>
      <c r="G37" s="277" t="s">
        <v>205</v>
      </c>
      <c r="H37" s="278"/>
      <c r="I37" s="278"/>
      <c r="J37" s="278"/>
      <c r="K37" s="279"/>
      <c r="M37" s="277" t="s">
        <v>205</v>
      </c>
      <c r="N37" s="278"/>
      <c r="O37" s="278"/>
      <c r="P37" s="278"/>
      <c r="Q37" s="279"/>
      <c r="S37" s="277" t="s">
        <v>205</v>
      </c>
      <c r="T37" s="278"/>
      <c r="U37" s="278"/>
      <c r="V37" s="278"/>
      <c r="W37" s="279"/>
      <c r="Y37" s="277" t="s">
        <v>205</v>
      </c>
      <c r="Z37" s="278"/>
      <c r="AA37" s="278"/>
      <c r="AB37" s="278"/>
      <c r="AC37" s="279"/>
      <c r="AD37" s="99"/>
      <c r="AE37" s="18"/>
      <c r="AF37" s="18"/>
      <c r="AG37" s="18"/>
      <c r="AH37" s="18"/>
      <c r="AI37" s="18"/>
      <c r="AJ37" s="18"/>
      <c r="AK37" s="18"/>
    </row>
    <row r="38" spans="1:37" x14ac:dyDescent="0.2">
      <c r="A38" s="280" t="s">
        <v>206</v>
      </c>
      <c r="B38" s="281"/>
      <c r="C38" s="288">
        <v>0.7</v>
      </c>
      <c r="D38" s="281" t="s">
        <v>207</v>
      </c>
      <c r="E38" s="373" t="s">
        <v>1076</v>
      </c>
      <c r="F38" s="244" t="s">
        <v>179</v>
      </c>
      <c r="G38" s="280" t="s">
        <v>206</v>
      </c>
      <c r="H38" s="281"/>
      <c r="I38" s="288">
        <f>0.0933*0.8</f>
        <v>7.4639999999999998E-2</v>
      </c>
      <c r="J38" s="281" t="s">
        <v>207</v>
      </c>
      <c r="K38" s="373" t="s">
        <v>1163</v>
      </c>
      <c r="M38" s="280" t="s">
        <v>206</v>
      </c>
      <c r="N38" s="281"/>
      <c r="O38" s="288">
        <v>2.73</v>
      </c>
      <c r="P38" s="281" t="s">
        <v>207</v>
      </c>
      <c r="Q38" s="373" t="s">
        <v>1080</v>
      </c>
      <c r="S38" s="280" t="s">
        <v>206</v>
      </c>
      <c r="T38" s="281"/>
      <c r="U38" s="288">
        <v>0.7</v>
      </c>
      <c r="V38" s="281" t="s">
        <v>207</v>
      </c>
      <c r="W38" s="373" t="s">
        <v>1076</v>
      </c>
      <c r="Y38" s="280" t="s">
        <v>206</v>
      </c>
      <c r="Z38" s="281"/>
      <c r="AA38" s="288">
        <v>0.7</v>
      </c>
      <c r="AB38" s="281" t="s">
        <v>207</v>
      </c>
      <c r="AC38" s="373" t="s">
        <v>1076</v>
      </c>
      <c r="AD38" s="40"/>
    </row>
    <row r="39" spans="1:37" x14ac:dyDescent="0.2">
      <c r="A39" s="280" t="s">
        <v>208</v>
      </c>
      <c r="B39" s="281"/>
      <c r="C39" s="288">
        <f>30/3.6</f>
        <v>8.3333333333333339</v>
      </c>
      <c r="D39" s="281" t="s">
        <v>207</v>
      </c>
      <c r="E39" s="373"/>
      <c r="F39" s="244" t="s">
        <v>179</v>
      </c>
      <c r="G39" s="280" t="s">
        <v>208</v>
      </c>
      <c r="H39" s="281"/>
      <c r="I39" s="288">
        <f>123/350</f>
        <v>0.35142857142857142</v>
      </c>
      <c r="J39" s="281" t="s">
        <v>207</v>
      </c>
      <c r="K39" s="373"/>
      <c r="M39" s="280" t="s">
        <v>208</v>
      </c>
      <c r="N39" s="281"/>
      <c r="O39" s="288">
        <f>(69.9+0.38)/3.6</f>
        <v>19.522222222222222</v>
      </c>
      <c r="P39" s="281" t="s">
        <v>207</v>
      </c>
      <c r="Q39" s="373"/>
      <c r="S39" s="280" t="s">
        <v>208</v>
      </c>
      <c r="T39" s="281"/>
      <c r="U39" s="288">
        <f>30/3.6</f>
        <v>8.3333333333333339</v>
      </c>
      <c r="V39" s="281" t="s">
        <v>207</v>
      </c>
      <c r="W39" s="373"/>
      <c r="Y39" s="280" t="s">
        <v>208</v>
      </c>
      <c r="Z39" s="281"/>
      <c r="AA39" s="288">
        <f>30/3.6</f>
        <v>8.3333333333333339</v>
      </c>
      <c r="AB39" s="281" t="s">
        <v>207</v>
      </c>
      <c r="AC39" s="373"/>
      <c r="AD39" s="40"/>
    </row>
    <row r="40" spans="1:37" s="1" customFormat="1" x14ac:dyDescent="0.2">
      <c r="A40" s="277" t="s">
        <v>209</v>
      </c>
      <c r="B40" s="278"/>
      <c r="C40" s="278"/>
      <c r="D40" s="278"/>
      <c r="E40" s="279"/>
      <c r="G40" s="277" t="s">
        <v>209</v>
      </c>
      <c r="H40" s="278"/>
      <c r="I40" s="278"/>
      <c r="J40" s="278"/>
      <c r="K40" s="279"/>
      <c r="M40" s="277" t="s">
        <v>209</v>
      </c>
      <c r="N40" s="278"/>
      <c r="O40" s="278"/>
      <c r="P40" s="278"/>
      <c r="Q40" s="279"/>
      <c r="S40" s="277" t="s">
        <v>209</v>
      </c>
      <c r="T40" s="278"/>
      <c r="U40" s="278"/>
      <c r="V40" s="278"/>
      <c r="W40" s="279"/>
      <c r="Y40" s="277" t="s">
        <v>209</v>
      </c>
      <c r="Z40" s="278"/>
      <c r="AA40" s="278"/>
      <c r="AB40" s="278"/>
      <c r="AC40" s="279"/>
      <c r="AD40" s="99"/>
      <c r="AE40" s="18"/>
      <c r="AF40" s="18"/>
      <c r="AG40" s="18"/>
      <c r="AH40" s="18"/>
      <c r="AI40" s="18"/>
      <c r="AJ40" s="18"/>
      <c r="AK40" s="18"/>
    </row>
    <row r="41" spans="1:37" x14ac:dyDescent="0.2">
      <c r="A41" s="280" t="s">
        <v>210</v>
      </c>
      <c r="B41" s="281"/>
      <c r="C41" s="281">
        <v>2.0000000000000001E-4</v>
      </c>
      <c r="D41" s="281" t="s">
        <v>2</v>
      </c>
      <c r="E41" s="282" t="s">
        <v>211</v>
      </c>
      <c r="F41" s="244" t="s">
        <v>179</v>
      </c>
      <c r="G41" s="280" t="s">
        <v>210</v>
      </c>
      <c r="H41" s="281"/>
      <c r="I41" s="281">
        <v>2.0000000000000002E-5</v>
      </c>
      <c r="J41" s="281" t="s">
        <v>2</v>
      </c>
      <c r="K41" s="324" t="s">
        <v>283</v>
      </c>
      <c r="L41" t="s">
        <v>87</v>
      </c>
      <c r="M41" s="280" t="s">
        <v>210</v>
      </c>
      <c r="N41" s="281"/>
      <c r="O41" s="281">
        <v>2E-3</v>
      </c>
      <c r="P41" s="281" t="s">
        <v>2</v>
      </c>
      <c r="Q41" s="373" t="s">
        <v>1164</v>
      </c>
      <c r="R41" t="s">
        <v>87</v>
      </c>
      <c r="S41" s="280" t="s">
        <v>210</v>
      </c>
      <c r="T41" s="281"/>
      <c r="U41" s="281">
        <v>2.0000000000000001E-4</v>
      </c>
      <c r="V41" s="281" t="s">
        <v>2</v>
      </c>
      <c r="W41" s="282" t="s">
        <v>211</v>
      </c>
      <c r="X41" t="s">
        <v>87</v>
      </c>
      <c r="Y41" s="280" t="s">
        <v>210</v>
      </c>
      <c r="Z41" s="281"/>
      <c r="AA41" s="281">
        <v>2.0000000000000001E-4</v>
      </c>
      <c r="AB41" s="281" t="s">
        <v>2</v>
      </c>
      <c r="AC41" s="282" t="s">
        <v>211</v>
      </c>
      <c r="AD41" s="40" t="s">
        <v>87</v>
      </c>
    </row>
    <row r="42" spans="1:37" s="1" customFormat="1" x14ac:dyDescent="0.2">
      <c r="A42" s="277" t="s">
        <v>212</v>
      </c>
      <c r="B42" s="278"/>
      <c r="C42" s="278"/>
      <c r="D42" s="278"/>
      <c r="E42" s="279"/>
      <c r="G42" s="277" t="s">
        <v>212</v>
      </c>
      <c r="H42" s="278"/>
      <c r="I42" s="278"/>
      <c r="J42" s="278"/>
      <c r="K42" s="279"/>
      <c r="M42" s="277" t="s">
        <v>212</v>
      </c>
      <c r="N42" s="278"/>
      <c r="O42" s="278"/>
      <c r="P42" s="278"/>
      <c r="Q42" s="279"/>
      <c r="S42" s="277" t="s">
        <v>212</v>
      </c>
      <c r="T42" s="278"/>
      <c r="U42" s="278"/>
      <c r="V42" s="278"/>
      <c r="W42" s="279"/>
      <c r="Y42" s="277" t="s">
        <v>212</v>
      </c>
      <c r="Z42" s="278"/>
      <c r="AA42" s="278"/>
      <c r="AB42" s="278"/>
      <c r="AC42" s="279"/>
      <c r="AD42" s="18"/>
      <c r="AE42" s="18"/>
      <c r="AF42" s="18"/>
      <c r="AG42" s="18"/>
      <c r="AH42" s="18"/>
      <c r="AI42" s="18"/>
      <c r="AJ42" s="18"/>
      <c r="AK42" s="18"/>
    </row>
    <row r="43" spans="1:37" ht="13.5" thickBot="1" x14ac:dyDescent="0.25">
      <c r="A43" s="289" t="s">
        <v>213</v>
      </c>
      <c r="B43" s="290"/>
      <c r="C43" s="291">
        <v>0.5</v>
      </c>
      <c r="D43" s="290" t="s">
        <v>2</v>
      </c>
      <c r="E43" s="292" t="s">
        <v>214</v>
      </c>
      <c r="F43" s="244" t="s">
        <v>179</v>
      </c>
      <c r="G43" s="289" t="s">
        <v>213</v>
      </c>
      <c r="H43" s="290"/>
      <c r="I43" s="291">
        <v>0.5</v>
      </c>
      <c r="J43" s="290" t="s">
        <v>2</v>
      </c>
      <c r="K43" s="292" t="s">
        <v>214</v>
      </c>
      <c r="M43" s="289" t="s">
        <v>213</v>
      </c>
      <c r="N43" s="290"/>
      <c r="O43" s="291">
        <v>0.5</v>
      </c>
      <c r="P43" s="290" t="s">
        <v>2</v>
      </c>
      <c r="Q43" s="292" t="s">
        <v>214</v>
      </c>
      <c r="S43" s="289" t="s">
        <v>213</v>
      </c>
      <c r="T43" s="290"/>
      <c r="U43" s="291">
        <v>0.5</v>
      </c>
      <c r="V43" s="290" t="s">
        <v>2</v>
      </c>
      <c r="W43" s="292" t="s">
        <v>214</v>
      </c>
      <c r="Y43" s="289" t="s">
        <v>213</v>
      </c>
      <c r="Z43" s="290"/>
      <c r="AA43" s="291">
        <v>0.5</v>
      </c>
      <c r="AB43" s="290" t="s">
        <v>2</v>
      </c>
      <c r="AC43" s="292" t="s">
        <v>214</v>
      </c>
    </row>
    <row r="47" spans="1:37" x14ac:dyDescent="0.2">
      <c r="Y47" s="244"/>
      <c r="Z47" s="244"/>
    </row>
    <row r="48" spans="1:37" x14ac:dyDescent="0.2">
      <c r="Y48" s="244"/>
      <c r="Z48" s="244"/>
    </row>
    <row r="49" spans="1:41" x14ac:dyDescent="0.2">
      <c r="Y49" s="244"/>
      <c r="Z49" s="244"/>
    </row>
    <row r="50" spans="1:41" s="293" customFormat="1" x14ac:dyDescent="0.2">
      <c r="A50" s="17"/>
      <c r="B50" s="17"/>
    </row>
    <row r="51" spans="1:41" s="293" customFormat="1" x14ac:dyDescent="0.2">
      <c r="A51" s="17" t="s">
        <v>708</v>
      </c>
      <c r="U51" s="197" t="s">
        <v>550</v>
      </c>
      <c r="V51" s="198" t="s">
        <v>551</v>
      </c>
      <c r="W51" s="198" t="s">
        <v>550</v>
      </c>
      <c r="X51" s="198" t="s">
        <v>551</v>
      </c>
      <c r="Y51" s="199" t="s">
        <v>552</v>
      </c>
      <c r="Z51" s="294"/>
      <c r="AA51" s="295"/>
      <c r="AB51" s="17" t="s">
        <v>105</v>
      </c>
      <c r="AC51" s="17"/>
      <c r="AD51" s="148" t="s">
        <v>549</v>
      </c>
      <c r="AE51" s="149"/>
      <c r="AF51" s="149"/>
      <c r="AG51" s="149" t="s">
        <v>548</v>
      </c>
      <c r="AH51" s="149"/>
      <c r="AI51" s="149"/>
      <c r="AJ51" s="149" t="s">
        <v>547</v>
      </c>
      <c r="AK51" s="149"/>
      <c r="AL51" s="149"/>
      <c r="AM51" s="296" t="s">
        <v>553</v>
      </c>
      <c r="AN51" s="294"/>
      <c r="AO51" s="295"/>
    </row>
    <row r="52" spans="1:41" s="139" customFormat="1" ht="15" customHeight="1" x14ac:dyDescent="0.2">
      <c r="A52" s="57" t="s">
        <v>58</v>
      </c>
      <c r="B52" s="55" t="s">
        <v>289</v>
      </c>
      <c r="C52" s="56" t="s">
        <v>100</v>
      </c>
      <c r="D52" s="56" t="s">
        <v>11</v>
      </c>
      <c r="E52" s="63" t="s">
        <v>291</v>
      </c>
      <c r="F52" s="63"/>
      <c r="G52" s="66" t="s">
        <v>292</v>
      </c>
      <c r="H52" s="66" t="s">
        <v>8</v>
      </c>
      <c r="I52" s="66" t="s">
        <v>217</v>
      </c>
      <c r="J52" s="66" t="s">
        <v>11</v>
      </c>
      <c r="K52" s="66" t="s">
        <v>291</v>
      </c>
      <c r="L52" s="63"/>
      <c r="M52" s="67" t="s">
        <v>293</v>
      </c>
      <c r="N52" s="67" t="s">
        <v>8</v>
      </c>
      <c r="O52" s="67" t="s">
        <v>217</v>
      </c>
      <c r="P52" s="67" t="s">
        <v>11</v>
      </c>
      <c r="Q52" s="67" t="s">
        <v>291</v>
      </c>
      <c r="R52" s="67"/>
      <c r="S52" s="63"/>
      <c r="T52" s="297" t="s">
        <v>275</v>
      </c>
      <c r="U52" s="126" t="s">
        <v>530</v>
      </c>
      <c r="V52" s="114" t="s">
        <v>531</v>
      </c>
      <c r="W52" s="114" t="s">
        <v>532</v>
      </c>
      <c r="X52" s="114" t="s">
        <v>533</v>
      </c>
      <c r="Y52" s="114" t="s">
        <v>534</v>
      </c>
      <c r="Z52" s="114" t="s">
        <v>535</v>
      </c>
      <c r="AA52" s="131" t="s">
        <v>536</v>
      </c>
      <c r="AB52" s="22" t="s">
        <v>545</v>
      </c>
      <c r="AC52" s="23" t="s">
        <v>546</v>
      </c>
      <c r="AD52" s="148" t="s">
        <v>31</v>
      </c>
      <c r="AE52" s="149" t="s">
        <v>32</v>
      </c>
      <c r="AF52" s="150" t="s">
        <v>33</v>
      </c>
      <c r="AG52" s="148" t="s">
        <v>31</v>
      </c>
      <c r="AH52" s="149" t="s">
        <v>32</v>
      </c>
      <c r="AI52" s="150" t="s">
        <v>33</v>
      </c>
      <c r="AJ52" s="148" t="s">
        <v>31</v>
      </c>
      <c r="AK52" s="149" t="s">
        <v>32</v>
      </c>
      <c r="AL52" s="149" t="s">
        <v>33</v>
      </c>
      <c r="AM52" s="298"/>
      <c r="AN52" s="136"/>
      <c r="AO52" s="299"/>
    </row>
    <row r="53" spans="1:41" s="51" customFormat="1" ht="15" customHeight="1" x14ac:dyDescent="0.2">
      <c r="A53" s="68" t="str">
        <f>'36. Generic chemical products'!A2</f>
        <v>Lubricant, average (Albafluid CD)</v>
      </c>
      <c r="B53" s="68" t="str">
        <f>'36. Generic chemical products'!B2</f>
        <v>Acrylamide/sodium acrylate copolymer</v>
      </c>
      <c r="C53" s="68">
        <f>'36. Generic chemical products'!C2</f>
        <v>0.3</v>
      </c>
      <c r="D53" s="68" t="str">
        <f>'36. Generic chemical products'!D2</f>
        <v>kg</v>
      </c>
      <c r="E53" s="68" t="str">
        <f>'36. Generic chemical products'!E2</f>
        <v>MSDS + Expert estimation for concentration</v>
      </c>
      <c r="F53" s="68"/>
      <c r="G53" s="68" t="str">
        <f>'36. Generic chemical products'!G2</f>
        <v>-</v>
      </c>
      <c r="H53" s="68">
        <f>'36. Generic chemical products'!H2</f>
        <v>0</v>
      </c>
      <c r="I53" s="68">
        <f>'36. Generic chemical products'!I2</f>
        <v>0</v>
      </c>
      <c r="J53" s="68">
        <f>'36. Generic chemical products'!J2</f>
        <v>0</v>
      </c>
      <c r="K53" s="68">
        <f>'36. Generic chemical products'!K2</f>
        <v>0</v>
      </c>
      <c r="L53" s="68"/>
      <c r="M53" s="68" t="str">
        <f>'36. Generic chemical products'!M2</f>
        <v>Acrylamide/sodium acrylate copolymer</v>
      </c>
      <c r="N53" s="68" t="str">
        <f>'36. Generic chemical products'!N2</f>
        <v>river</v>
      </c>
      <c r="O53" s="68">
        <f>'36. Generic chemical products'!O2</f>
        <v>2.9700000000000001E-2</v>
      </c>
      <c r="P53" s="68" t="str">
        <f>'36. Generic chemical products'!P2</f>
        <v>kg</v>
      </c>
      <c r="Q53" s="68" t="str">
        <f>'36. Generic chemical products'!Q2</f>
        <v>1% of polymer content remains as monomers from the production process.</v>
      </c>
      <c r="R53" s="68">
        <f>'36. Generic chemical products'!R2</f>
        <v>0</v>
      </c>
      <c r="S53" s="68">
        <f>'36. Generic chemical products'!S2</f>
        <v>0</v>
      </c>
      <c r="T53" s="68" t="str">
        <f>'36. Generic chemical products'!T2</f>
        <v>25085-02-3</v>
      </c>
      <c r="U53" s="68">
        <f>'36. Generic chemical products'!U2</f>
        <v>0</v>
      </c>
      <c r="V53" s="68">
        <f>'36. Generic chemical products'!V2</f>
        <v>1.318367210059499E-10</v>
      </c>
      <c r="W53" s="68">
        <f>'36. Generic chemical products'!W2</f>
        <v>0</v>
      </c>
      <c r="X53" s="68">
        <f>'36. Generic chemical products'!X2</f>
        <v>1.3016448977650344E-10</v>
      </c>
      <c r="Y53" s="68">
        <f>'36. Generic chemical products'!Y2</f>
        <v>1.1181204517092254</v>
      </c>
      <c r="Z53" s="68">
        <f>'36. Generic chemical products'!Z2</f>
        <v>78.957506928451508</v>
      </c>
      <c r="AA53" s="68" t="str">
        <f>'36. Generic chemical products'!AA2</f>
        <v>Roos 2017</v>
      </c>
      <c r="AB53" s="300">
        <f>$C$17*I53</f>
        <v>0</v>
      </c>
      <c r="AC53" s="301">
        <f>$C$27*O53</f>
        <v>2.3760000000000001E-3</v>
      </c>
      <c r="AD53" s="303">
        <f>AB53*U53+AC53*W53</f>
        <v>0</v>
      </c>
      <c r="AE53" s="302">
        <f>AB53*V53+AC53*X53</f>
        <v>3.0927082770897215E-13</v>
      </c>
      <c r="AF53" s="303">
        <f>AB53*Y53+AC53*Z53</f>
        <v>0.1876030364620008</v>
      </c>
      <c r="AG53" s="303">
        <f>AB53*U53</f>
        <v>0</v>
      </c>
      <c r="AH53" s="303">
        <f>AB53*V53</f>
        <v>0</v>
      </c>
      <c r="AI53" s="303">
        <f>AB53*Y53</f>
        <v>0</v>
      </c>
      <c r="AJ53" s="303">
        <f>AC53*W53</f>
        <v>0</v>
      </c>
      <c r="AK53" s="303">
        <f>AC53*X53</f>
        <v>3.0927082770897215E-13</v>
      </c>
      <c r="AL53" s="303">
        <f>AC53*Z53</f>
        <v>0.1876030364620008</v>
      </c>
      <c r="AM53" s="304">
        <f>AG53+AJ53</f>
        <v>0</v>
      </c>
      <c r="AN53" s="305">
        <f t="shared" ref="AN53:AO68" si="0">AH53+AK53</f>
        <v>3.0927082770897215E-13</v>
      </c>
      <c r="AO53" s="306">
        <f t="shared" si="0"/>
        <v>0.1876030364620008</v>
      </c>
    </row>
    <row r="54" spans="1:41" s="51" customFormat="1" ht="15" customHeight="1" x14ac:dyDescent="0.2">
      <c r="A54" s="68" t="str">
        <f>'36. Generic chemical products'!A3</f>
        <v>Lubricant, average (Albafluid CD)</v>
      </c>
      <c r="B54" s="68" t="str">
        <f>'36. Generic chemical products'!B3</f>
        <v>Acrylamide</v>
      </c>
      <c r="C54" s="68">
        <f>'36. Generic chemical products'!C3</f>
        <v>0</v>
      </c>
      <c r="D54" s="68">
        <f>'36. Generic chemical products'!D3</f>
        <v>0</v>
      </c>
      <c r="E54" s="68" t="str">
        <f>'36. Generic chemical products'!E3</f>
        <v>Breakdown product (Caulfield, 2002)</v>
      </c>
      <c r="F54" s="68"/>
      <c r="G54" s="68" t="str">
        <f>'36. Generic chemical products'!G3</f>
        <v>Acrylamide</v>
      </c>
      <c r="H54" s="68" t="str">
        <f>'36. Generic chemical products'!H3</f>
        <v>high. pop.</v>
      </c>
      <c r="I54" s="68">
        <f>'36. Generic chemical products'!I3</f>
        <v>3.0000000000000001E-6</v>
      </c>
      <c r="J54" s="68" t="str">
        <f>'36. Generic chemical products'!J3</f>
        <v>kg</v>
      </c>
      <c r="K54" s="68">
        <f>'36. Generic chemical products'!K3</f>
        <v>0</v>
      </c>
      <c r="L54" s="68"/>
      <c r="M54" s="68" t="str">
        <f>'36. Generic chemical products'!M3</f>
        <v>Acrylamide</v>
      </c>
      <c r="N54" s="68" t="str">
        <f>'36. Generic chemical products'!N3</f>
        <v>river</v>
      </c>
      <c r="O54" s="68">
        <f>'36. Generic chemical products'!O3</f>
        <v>3.0000000000000004E-5</v>
      </c>
      <c r="P54" s="68" t="str">
        <f>'36. Generic chemical products'!P3</f>
        <v>kg</v>
      </c>
      <c r="Q54" s="68" t="str">
        <f>'36. Generic chemical products'!Q3</f>
        <v xml:space="preserve">90% of reactive chemicals are degraded during operations. </v>
      </c>
      <c r="R54" s="68">
        <f>'36. Generic chemical products'!R3</f>
        <v>0</v>
      </c>
      <c r="S54" s="68">
        <f>'36. Generic chemical products'!S3</f>
        <v>0</v>
      </c>
      <c r="T54" s="68" t="str">
        <f>'36. Generic chemical products'!T3</f>
        <v>79-06-1</v>
      </c>
      <c r="U54" s="68">
        <f>'36. Generic chemical products'!U3</f>
        <v>3.0023364753950555E-5</v>
      </c>
      <c r="V54" s="68">
        <f>'36. Generic chemical products'!V3</f>
        <v>1.2481126126868064E-4</v>
      </c>
      <c r="W54" s="68">
        <f>'36. Generic chemical products'!W3</f>
        <v>1.1959264101490567E-5</v>
      </c>
      <c r="X54" s="68">
        <f>'36. Generic chemical products'!X3</f>
        <v>4.9716307568620708E-5</v>
      </c>
      <c r="Y54" s="68">
        <f>'36. Generic chemical products'!Y3</f>
        <v>10.037499181426883</v>
      </c>
      <c r="Z54" s="68">
        <f>'36. Generic chemical products'!Z3</f>
        <v>119.14199796898779</v>
      </c>
      <c r="AA54" s="68" t="str">
        <f>'36. Generic chemical products'!AA3</f>
        <v>USEtox</v>
      </c>
      <c r="AB54" s="300">
        <f>$C$17*I54</f>
        <v>2.4000000000000003E-7</v>
      </c>
      <c r="AC54" s="301">
        <f>$C$27*O54</f>
        <v>2.4000000000000003E-6</v>
      </c>
      <c r="AD54" s="302">
        <f t="shared" ref="AD54:AD78" si="1">AB54*U54+AC54*W54</f>
        <v>3.5907841384525496E-11</v>
      </c>
      <c r="AE54" s="302">
        <f t="shared" ref="AE54:AE78" si="2">AB54*V54+AC54*X54</f>
        <v>1.4927384086917307E-10</v>
      </c>
      <c r="AF54" s="303">
        <f t="shared" ref="AF54:AF78" si="3">AB54*Y54+AC54*Z54</f>
        <v>2.8834979492911318E-4</v>
      </c>
      <c r="AG54" s="303">
        <f t="shared" ref="AG54:AG78" si="4">AB54*U54</f>
        <v>7.2056075409481337E-12</v>
      </c>
      <c r="AH54" s="303">
        <f t="shared" ref="AH54:AH78" si="5">AB54*V54</f>
        <v>2.9954702704483359E-11</v>
      </c>
      <c r="AI54" s="303">
        <f t="shared" ref="AI54:AI78" si="6">AB54*Y54</f>
        <v>2.4089998035424521E-6</v>
      </c>
      <c r="AJ54" s="303">
        <f t="shared" ref="AJ54:AJ78" si="7">AC54*W54</f>
        <v>2.8702233843577363E-11</v>
      </c>
      <c r="AK54" s="303">
        <f t="shared" ref="AK54:AK78" si="8">AC54*X54</f>
        <v>1.1931913816468971E-10</v>
      </c>
      <c r="AL54" s="303">
        <f t="shared" ref="AL54:AL78" si="9">AC54*Z54</f>
        <v>2.8594079512557074E-4</v>
      </c>
      <c r="AM54" s="304">
        <f t="shared" ref="AM54:AO78" si="10">AG54+AJ54</f>
        <v>3.5907841384525496E-11</v>
      </c>
      <c r="AN54" s="305">
        <f t="shared" si="0"/>
        <v>1.4927384086917307E-10</v>
      </c>
      <c r="AO54" s="306">
        <f t="shared" si="0"/>
        <v>2.8834979492911318E-4</v>
      </c>
    </row>
    <row r="55" spans="1:41" s="139" customFormat="1" ht="15" customHeight="1" x14ac:dyDescent="0.2">
      <c r="A55" s="193" t="str">
        <f>'36. Generic chemical products'!A4</f>
        <v>Lubricant, average (Albafluid CD)</v>
      </c>
      <c r="B55" s="193">
        <f>'36. Generic chemical products'!B4</f>
        <v>0</v>
      </c>
      <c r="C55" s="193">
        <f>'36. Generic chemical products'!C4</f>
        <v>0</v>
      </c>
      <c r="D55" s="193">
        <f>'36. Generic chemical products'!D4</f>
        <v>0</v>
      </c>
      <c r="E55" s="193" t="str">
        <f>'36. Generic chemical products'!E4</f>
        <v>Common breakdown product of of acrylics, 0.001 % assumed</v>
      </c>
      <c r="F55" s="193"/>
      <c r="G55" s="193" t="str">
        <f>'36. Generic chemical products'!G4</f>
        <v>Formaldehyde</v>
      </c>
      <c r="H55" s="193" t="str">
        <f>'36. Generic chemical products'!H4</f>
        <v>high. pop.</v>
      </c>
      <c r="I55" s="193">
        <f>'36. Generic chemical products'!I4</f>
        <v>2.9999999999999999E-7</v>
      </c>
      <c r="J55" s="193" t="str">
        <f>'36. Generic chemical products'!J4</f>
        <v>kg</v>
      </c>
      <c r="K55" s="193">
        <f>'36. Generic chemical products'!K4</f>
        <v>0</v>
      </c>
      <c r="L55" s="193"/>
      <c r="M55" s="193" t="str">
        <f>'36. Generic chemical products'!M4</f>
        <v>Formaldehyde</v>
      </c>
      <c r="N55" s="193" t="str">
        <f>'36. Generic chemical products'!N4</f>
        <v>river</v>
      </c>
      <c r="O55" s="193">
        <f>'36. Generic chemical products'!O4</f>
        <v>3.0000000000000001E-6</v>
      </c>
      <c r="P55" s="193" t="str">
        <f>'36. Generic chemical products'!P4</f>
        <v>kg</v>
      </c>
      <c r="Q55" s="193" t="str">
        <f>'36. Generic chemical products'!Q4</f>
        <v xml:space="preserve">0.1 % of the content is degraded to common breakdown products. 90% of reactive chemicals are degraded during operations. </v>
      </c>
      <c r="R55" s="193">
        <f>'36. Generic chemical products'!R4</f>
        <v>0</v>
      </c>
      <c r="S55" s="193">
        <f>'36. Generic chemical products'!S4</f>
        <v>0</v>
      </c>
      <c r="T55" s="193" t="str">
        <f>'36. Generic chemical products'!T4</f>
        <v>50-00-0</v>
      </c>
      <c r="U55" s="193">
        <f>'36. Generic chemical products'!U4</f>
        <v>2.5208446330720887E-5</v>
      </c>
      <c r="V55" s="193">
        <f>'36. Generic chemical products'!V4</f>
        <v>2.6504960021309262E-7</v>
      </c>
      <c r="W55" s="193">
        <f>'36. Generic chemical products'!W4</f>
        <v>1.4222228897488039E-7</v>
      </c>
      <c r="X55" s="193">
        <f>'36. Generic chemical products'!X4</f>
        <v>3.170874313501273E-7</v>
      </c>
      <c r="Y55" s="193">
        <f>'36. Generic chemical products'!Y4</f>
        <v>17.989178582912412</v>
      </c>
      <c r="Z55" s="193">
        <f>'36. Generic chemical products'!Z4</f>
        <v>290.05086067463066</v>
      </c>
      <c r="AA55" s="193" t="str">
        <f>'36. Generic chemical products'!AA4</f>
        <v>USEtox</v>
      </c>
      <c r="AB55" s="307">
        <f>$C$17*I55</f>
        <v>2.4E-8</v>
      </c>
      <c r="AC55" s="308">
        <f>$C$27*O55</f>
        <v>2.4000000000000003E-7</v>
      </c>
      <c r="AD55" s="309">
        <f t="shared" si="1"/>
        <v>6.3913606129127263E-13</v>
      </c>
      <c r="AE55" s="309">
        <f t="shared" si="2"/>
        <v>8.2462173929144788E-14</v>
      </c>
      <c r="AF55" s="310">
        <f t="shared" si="3"/>
        <v>7.0043946847901266E-5</v>
      </c>
      <c r="AG55" s="310">
        <f t="shared" si="4"/>
        <v>6.050027119373013E-13</v>
      </c>
      <c r="AH55" s="310">
        <f t="shared" si="5"/>
        <v>6.3611904051142226E-15</v>
      </c>
      <c r="AI55" s="310">
        <f t="shared" si="6"/>
        <v>4.3174028598989792E-7</v>
      </c>
      <c r="AJ55" s="310">
        <f t="shared" si="7"/>
        <v>3.4133349353971296E-14</v>
      </c>
      <c r="AK55" s="310">
        <f t="shared" si="8"/>
        <v>7.610098352403056E-14</v>
      </c>
      <c r="AL55" s="310">
        <f t="shared" si="9"/>
        <v>6.9612206561911371E-5</v>
      </c>
      <c r="AM55" s="311">
        <f t="shared" si="10"/>
        <v>6.3913606129127263E-13</v>
      </c>
      <c r="AN55" s="312">
        <f t="shared" si="0"/>
        <v>8.2462173929144788E-14</v>
      </c>
      <c r="AO55" s="313">
        <f t="shared" si="0"/>
        <v>7.0043946847901266E-5</v>
      </c>
    </row>
    <row r="56" spans="1:41" s="51" customFormat="1" ht="15" customHeight="1" x14ac:dyDescent="0.2">
      <c r="A56" s="54" t="str">
        <f>'36. Generic chemical products'!A5</f>
        <v>Detergent, average (Ultravon EL)</v>
      </c>
      <c r="B56" s="54" t="str">
        <f>'36. Generic chemical products'!B5</f>
        <v>Polyacrylic acid, sodium salt</v>
      </c>
      <c r="C56" s="54">
        <f>'36. Generic chemical products'!C5</f>
        <v>0.1</v>
      </c>
      <c r="D56" s="54" t="str">
        <f>'36. Generic chemical products'!D5</f>
        <v>kg</v>
      </c>
      <c r="E56" s="54" t="str">
        <f>'36. Generic chemical products'!E5</f>
        <v>MSDS</v>
      </c>
      <c r="F56" s="54"/>
      <c r="G56" s="54" t="str">
        <f>'36. Generic chemical products'!G5</f>
        <v>-</v>
      </c>
      <c r="H56" s="54">
        <f>'36. Generic chemical products'!H5</f>
        <v>0</v>
      </c>
      <c r="I56" s="54">
        <f>'36. Generic chemical products'!I5</f>
        <v>0</v>
      </c>
      <c r="J56" s="54">
        <f>'36. Generic chemical products'!J5</f>
        <v>0</v>
      </c>
      <c r="K56" s="54">
        <f>'36. Generic chemical products'!K5</f>
        <v>0</v>
      </c>
      <c r="L56" s="54"/>
      <c r="M56" s="54" t="str">
        <f>'36. Generic chemical products'!M5</f>
        <v>Polyacrylic acid, sodium salt</v>
      </c>
      <c r="N56" s="54" t="str">
        <f>'36. Generic chemical products'!N5</f>
        <v>river</v>
      </c>
      <c r="O56" s="54">
        <f>'36. Generic chemical products'!O5</f>
        <v>9.9000000000000008E-3</v>
      </c>
      <c r="P56" s="54" t="str">
        <f>'36. Generic chemical products'!P5</f>
        <v>kg</v>
      </c>
      <c r="Q56" s="54" t="str">
        <f>'36. Generic chemical products'!Q5</f>
        <v>1% of polymer content remains as monomers from the production process.</v>
      </c>
      <c r="R56" s="54">
        <f>'36. Generic chemical products'!R5</f>
        <v>0</v>
      </c>
      <c r="S56" s="54">
        <f>'36. Generic chemical products'!S5</f>
        <v>0</v>
      </c>
      <c r="T56" s="54" t="str">
        <f>'36. Generic chemical products'!T5</f>
        <v>9003-04-7</v>
      </c>
      <c r="U56" s="54">
        <f>'36. Generic chemical products'!U5</f>
        <v>0</v>
      </c>
      <c r="V56" s="54">
        <f>'36. Generic chemical products'!V5</f>
        <v>0</v>
      </c>
      <c r="W56" s="54">
        <f>'36. Generic chemical products'!W5</f>
        <v>0</v>
      </c>
      <c r="X56" s="54">
        <f>'36. Generic chemical products'!X5</f>
        <v>0</v>
      </c>
      <c r="Y56" s="54">
        <f>'36. Generic chemical products'!Y5</f>
        <v>7.06</v>
      </c>
      <c r="Z56" s="54">
        <f>'36. Generic chemical products'!Z5</f>
        <v>78.599999999999994</v>
      </c>
      <c r="AA56" s="54" t="str">
        <f>'36. Generic chemical products'!AA5</f>
        <v>COSMEDE</v>
      </c>
      <c r="AB56" s="300">
        <f t="shared" ref="AB56:AB61" si="11">$C$18*I56</f>
        <v>0</v>
      </c>
      <c r="AC56" s="301">
        <f t="shared" ref="AC56:AC61" si="12">$C$28*O56</f>
        <v>3.9600000000000003E-4</v>
      </c>
      <c r="AD56" s="302">
        <f t="shared" si="1"/>
        <v>0</v>
      </c>
      <c r="AE56" s="302">
        <f t="shared" si="2"/>
        <v>0</v>
      </c>
      <c r="AF56" s="303">
        <f t="shared" si="3"/>
        <v>3.11256E-2</v>
      </c>
      <c r="AG56" s="303">
        <f t="shared" si="4"/>
        <v>0</v>
      </c>
      <c r="AH56" s="303">
        <f t="shared" si="5"/>
        <v>0</v>
      </c>
      <c r="AI56" s="303">
        <f t="shared" si="6"/>
        <v>0</v>
      </c>
      <c r="AJ56" s="303">
        <f t="shared" si="7"/>
        <v>0</v>
      </c>
      <c r="AK56" s="303">
        <f t="shared" si="8"/>
        <v>0</v>
      </c>
      <c r="AL56" s="303">
        <f t="shared" si="9"/>
        <v>3.11256E-2</v>
      </c>
      <c r="AM56" s="304">
        <f t="shared" si="10"/>
        <v>0</v>
      </c>
      <c r="AN56" s="305">
        <f t="shared" si="0"/>
        <v>0</v>
      </c>
      <c r="AO56" s="306">
        <f t="shared" si="0"/>
        <v>3.11256E-2</v>
      </c>
    </row>
    <row r="57" spans="1:41" s="51" customFormat="1" ht="15" customHeight="1" x14ac:dyDescent="0.2">
      <c r="A57" s="54" t="str">
        <f>'36. Generic chemical products'!A6</f>
        <v>Detergent, average (Ultravon EL)</v>
      </c>
      <c r="B57" s="54" t="str">
        <f>'36. Generic chemical products'!B6</f>
        <v>Oxirane, methyl-, polymer with oxirane, decyl ether</v>
      </c>
      <c r="C57" s="54">
        <f>'36. Generic chemical products'!C6</f>
        <v>0.25</v>
      </c>
      <c r="D57" s="54" t="str">
        <f>'36. Generic chemical products'!D6</f>
        <v>kg</v>
      </c>
      <c r="E57" s="54" t="str">
        <f>'36. Generic chemical products'!E6</f>
        <v>MSDS</v>
      </c>
      <c r="F57" s="54"/>
      <c r="G57" s="54" t="str">
        <f>'36. Generic chemical products'!G6</f>
        <v>-</v>
      </c>
      <c r="H57" s="54">
        <f>'36. Generic chemical products'!H6</f>
        <v>0</v>
      </c>
      <c r="I57" s="54">
        <f>'36. Generic chemical products'!I6</f>
        <v>0</v>
      </c>
      <c r="J57" s="54">
        <f>'36. Generic chemical products'!J6</f>
        <v>0</v>
      </c>
      <c r="K57" s="54">
        <f>'36. Generic chemical products'!K6</f>
        <v>0</v>
      </c>
      <c r="L57" s="54"/>
      <c r="M57" s="54" t="str">
        <f>'36. Generic chemical products'!M6</f>
        <v>Oxirane, methyl-, polymer with oxirane, decyl ether</v>
      </c>
      <c r="N57" s="54" t="str">
        <f>'36. Generic chemical products'!N6</f>
        <v>river</v>
      </c>
      <c r="O57" s="54">
        <f>'36. Generic chemical products'!O6</f>
        <v>2.5000000000000001E-2</v>
      </c>
      <c r="P57" s="54" t="str">
        <f>'36. Generic chemical products'!P6</f>
        <v>kg</v>
      </c>
      <c r="Q57" s="54">
        <f>'36. Generic chemical products'!Q6</f>
        <v>0</v>
      </c>
      <c r="R57" s="54">
        <f>'36. Generic chemical products'!R6</f>
        <v>0</v>
      </c>
      <c r="S57" s="54">
        <f>'36. Generic chemical products'!S6</f>
        <v>0</v>
      </c>
      <c r="T57" s="54" t="str">
        <f>'36. Generic chemical products'!T6</f>
        <v>37251-67-5</v>
      </c>
      <c r="U57" s="54">
        <f>'36. Generic chemical products'!U6</f>
        <v>0</v>
      </c>
      <c r="V57" s="54">
        <f>'36. Generic chemical products'!V6</f>
        <v>1.2009414857886904E-7</v>
      </c>
      <c r="W57" s="54">
        <f>'36. Generic chemical products'!W6</f>
        <v>0</v>
      </c>
      <c r="X57" s="54">
        <f>'36. Generic chemical products'!X6</f>
        <v>3.2843909509658706E-7</v>
      </c>
      <c r="Y57" s="54">
        <f>'36. Generic chemical products'!Y6</f>
        <v>14.526941022240393</v>
      </c>
      <c r="Z57" s="54">
        <f>'36. Generic chemical products'!Z6</f>
        <v>111.251141519207</v>
      </c>
      <c r="AA57" s="54" t="str">
        <f>'36. Generic chemical products'!AA6</f>
        <v>Roos 2017</v>
      </c>
      <c r="AB57" s="300">
        <f t="shared" si="11"/>
        <v>0</v>
      </c>
      <c r="AC57" s="301">
        <f t="shared" si="12"/>
        <v>1E-3</v>
      </c>
      <c r="AD57" s="302">
        <f t="shared" si="1"/>
        <v>0</v>
      </c>
      <c r="AE57" s="302">
        <f t="shared" si="2"/>
        <v>3.2843909509658704E-10</v>
      </c>
      <c r="AF57" s="303">
        <f t="shared" si="3"/>
        <v>0.11125114151920699</v>
      </c>
      <c r="AG57" s="303">
        <f t="shared" si="4"/>
        <v>0</v>
      </c>
      <c r="AH57" s="303">
        <f t="shared" si="5"/>
        <v>0</v>
      </c>
      <c r="AI57" s="303">
        <f t="shared" si="6"/>
        <v>0</v>
      </c>
      <c r="AJ57" s="303">
        <f t="shared" si="7"/>
        <v>0</v>
      </c>
      <c r="AK57" s="303">
        <f t="shared" si="8"/>
        <v>3.2843909509658704E-10</v>
      </c>
      <c r="AL57" s="303">
        <f t="shared" si="9"/>
        <v>0.11125114151920699</v>
      </c>
      <c r="AM57" s="304">
        <f t="shared" si="10"/>
        <v>0</v>
      </c>
      <c r="AN57" s="305">
        <f t="shared" si="0"/>
        <v>3.2843909509658704E-10</v>
      </c>
      <c r="AO57" s="306">
        <f t="shared" si="0"/>
        <v>0.11125114151920699</v>
      </c>
    </row>
    <row r="58" spans="1:41" s="51" customFormat="1" ht="15" customHeight="1" x14ac:dyDescent="0.2">
      <c r="A58" s="54" t="str">
        <f>'36. Generic chemical products'!A7</f>
        <v>Detergent, average (Ultravon EL)</v>
      </c>
      <c r="B58" s="54" t="str">
        <f>'36. Generic chemical products'!B7</f>
        <v>Ethoxylated fatty alcohol (&gt;6 EO)</v>
      </c>
      <c r="C58" s="54">
        <f>'36. Generic chemical products'!C7</f>
        <v>0.1</v>
      </c>
      <c r="D58" s="54" t="str">
        <f>'36. Generic chemical products'!D7</f>
        <v>kg</v>
      </c>
      <c r="E58" s="54" t="str">
        <f>'36. Generic chemical products'!E7</f>
        <v>MSDS</v>
      </c>
      <c r="F58" s="54"/>
      <c r="G58" s="54" t="str">
        <f>'36. Generic chemical products'!G7</f>
        <v>-</v>
      </c>
      <c r="H58" s="54">
        <f>'36. Generic chemical products'!H7</f>
        <v>0</v>
      </c>
      <c r="I58" s="54">
        <f>'36. Generic chemical products'!I7</f>
        <v>0</v>
      </c>
      <c r="J58" s="54">
        <f>'36. Generic chemical products'!J7</f>
        <v>0</v>
      </c>
      <c r="K58" s="54">
        <f>'36. Generic chemical products'!K7</f>
        <v>0</v>
      </c>
      <c r="L58" s="54"/>
      <c r="M58" s="54" t="str">
        <f>'36. Generic chemical products'!M7</f>
        <v>Alcohols, c12-14, ethoxylated</v>
      </c>
      <c r="N58" s="54" t="str">
        <f>'36. Generic chemical products'!N7</f>
        <v>river</v>
      </c>
      <c r="O58" s="54">
        <f>'36. Generic chemical products'!O7</f>
        <v>1.0000000000000002E-2</v>
      </c>
      <c r="P58" s="54" t="str">
        <f>'36. Generic chemical products'!P7</f>
        <v>kg</v>
      </c>
      <c r="Q58" s="54">
        <f>'36. Generic chemical products'!Q7</f>
        <v>0</v>
      </c>
      <c r="R58" s="54">
        <f>'36. Generic chemical products'!R7</f>
        <v>0</v>
      </c>
      <c r="S58" s="54">
        <f>'36. Generic chemical products'!S7</f>
        <v>0</v>
      </c>
      <c r="T58" s="54" t="str">
        <f>'36. Generic chemical products'!T7</f>
        <v>69011-36-5</v>
      </c>
      <c r="U58" s="54">
        <f>'36. Generic chemical products'!U7</f>
        <v>0</v>
      </c>
      <c r="V58" s="54">
        <f>'36. Generic chemical products'!V7</f>
        <v>0</v>
      </c>
      <c r="W58" s="54">
        <f>'36. Generic chemical products'!W7</f>
        <v>0</v>
      </c>
      <c r="X58" s="54">
        <f>'36. Generic chemical products'!X7</f>
        <v>0</v>
      </c>
      <c r="Y58" s="54">
        <f>'36. Generic chemical products'!Y7</f>
        <v>47</v>
      </c>
      <c r="Z58" s="54">
        <f>'36. Generic chemical products'!Z7</f>
        <v>913</v>
      </c>
      <c r="AA58" s="54" t="str">
        <f>'36. Generic chemical products'!AA7</f>
        <v>COSMEDE</v>
      </c>
      <c r="AB58" s="300">
        <f t="shared" si="11"/>
        <v>0</v>
      </c>
      <c r="AC58" s="301">
        <f t="shared" si="12"/>
        <v>4.0000000000000007E-4</v>
      </c>
      <c r="AD58" s="302">
        <f t="shared" si="1"/>
        <v>0</v>
      </c>
      <c r="AE58" s="302">
        <f t="shared" si="2"/>
        <v>0</v>
      </c>
      <c r="AF58" s="303">
        <f t="shared" si="3"/>
        <v>0.36520000000000008</v>
      </c>
      <c r="AG58" s="303">
        <f t="shared" si="4"/>
        <v>0</v>
      </c>
      <c r="AH58" s="303">
        <f t="shared" si="5"/>
        <v>0</v>
      </c>
      <c r="AI58" s="303">
        <f t="shared" si="6"/>
        <v>0</v>
      </c>
      <c r="AJ58" s="303">
        <f t="shared" si="7"/>
        <v>0</v>
      </c>
      <c r="AK58" s="303">
        <f t="shared" si="8"/>
        <v>0</v>
      </c>
      <c r="AL58" s="303">
        <f t="shared" si="9"/>
        <v>0.36520000000000008</v>
      </c>
      <c r="AM58" s="304">
        <f t="shared" si="10"/>
        <v>0</v>
      </c>
      <c r="AN58" s="305">
        <f t="shared" si="0"/>
        <v>0</v>
      </c>
      <c r="AO58" s="306">
        <f t="shared" si="0"/>
        <v>0.36520000000000008</v>
      </c>
    </row>
    <row r="59" spans="1:41" s="51" customFormat="1" ht="15" customHeight="1" x14ac:dyDescent="0.2">
      <c r="A59" s="54" t="str">
        <f>'36. Generic chemical products'!A8</f>
        <v>Detergent, average (Ultravon EL)</v>
      </c>
      <c r="B59" s="54" t="str">
        <f>'36. Generic chemical products'!B8</f>
        <v>Sodium mono(2-ethylhexyl)estersulfate</v>
      </c>
      <c r="C59" s="54">
        <f>'36. Generic chemical products'!C8</f>
        <v>0.05</v>
      </c>
      <c r="D59" s="54" t="str">
        <f>'36. Generic chemical products'!D8</f>
        <v>kg</v>
      </c>
      <c r="E59" s="54" t="str">
        <f>'36. Generic chemical products'!E8</f>
        <v>MSDS</v>
      </c>
      <c r="F59" s="54"/>
      <c r="G59" s="54" t="str">
        <f>'36. Generic chemical products'!G8</f>
        <v>-</v>
      </c>
      <c r="H59" s="54">
        <f>'36. Generic chemical products'!H8</f>
        <v>0</v>
      </c>
      <c r="I59" s="54">
        <f>'36. Generic chemical products'!I8</f>
        <v>0</v>
      </c>
      <c r="J59" s="54">
        <f>'36. Generic chemical products'!J8</f>
        <v>0</v>
      </c>
      <c r="K59" s="54">
        <f>'36. Generic chemical products'!K8</f>
        <v>0</v>
      </c>
      <c r="L59" s="54"/>
      <c r="M59" s="54" t="str">
        <f>'36. Generic chemical products'!M8</f>
        <v>Sodium mono(2-ethylhexyl)estersulfate</v>
      </c>
      <c r="N59" s="54" t="str">
        <f>'36. Generic chemical products'!N8</f>
        <v>river</v>
      </c>
      <c r="O59" s="54">
        <f>'36. Generic chemical products'!O8</f>
        <v>5.000000000000001E-3</v>
      </c>
      <c r="P59" s="54" t="str">
        <f>'36. Generic chemical products'!P8</f>
        <v>kg</v>
      </c>
      <c r="Q59" s="54">
        <f>'36. Generic chemical products'!Q8</f>
        <v>0</v>
      </c>
      <c r="R59" s="54">
        <f>'36. Generic chemical products'!R8</f>
        <v>0</v>
      </c>
      <c r="S59" s="54">
        <f>'36. Generic chemical products'!S8</f>
        <v>0</v>
      </c>
      <c r="T59" s="54" t="str">
        <f>'36. Generic chemical products'!T8</f>
        <v>126-92-1</v>
      </c>
      <c r="U59" s="54">
        <f>'36. Generic chemical products'!U8</f>
        <v>0</v>
      </c>
      <c r="V59" s="54">
        <f>'36. Generic chemical products'!V8</f>
        <v>0</v>
      </c>
      <c r="W59" s="54">
        <f>'36. Generic chemical products'!W8</f>
        <v>0</v>
      </c>
      <c r="X59" s="54">
        <f>'36. Generic chemical products'!X8</f>
        <v>0</v>
      </c>
      <c r="Y59" s="54">
        <f>'36. Generic chemical products'!Y8</f>
        <v>109.72</v>
      </c>
      <c r="Z59" s="54">
        <f>'36. Generic chemical products'!Z8</f>
        <v>110</v>
      </c>
      <c r="AA59" s="54" t="str">
        <f>'36. Generic chemical products'!AA8</f>
        <v>COSMEDE</v>
      </c>
      <c r="AB59" s="300">
        <f t="shared" si="11"/>
        <v>0</v>
      </c>
      <c r="AC59" s="301">
        <f t="shared" si="12"/>
        <v>2.0000000000000004E-4</v>
      </c>
      <c r="AD59" s="302">
        <f t="shared" si="1"/>
        <v>0</v>
      </c>
      <c r="AE59" s="302">
        <f t="shared" si="2"/>
        <v>0</v>
      </c>
      <c r="AF59" s="303">
        <f t="shared" si="3"/>
        <v>2.2000000000000006E-2</v>
      </c>
      <c r="AG59" s="303">
        <f t="shared" si="4"/>
        <v>0</v>
      </c>
      <c r="AH59" s="303">
        <f t="shared" si="5"/>
        <v>0</v>
      </c>
      <c r="AI59" s="303">
        <f t="shared" si="6"/>
        <v>0</v>
      </c>
      <c r="AJ59" s="303">
        <f t="shared" si="7"/>
        <v>0</v>
      </c>
      <c r="AK59" s="303">
        <f t="shared" si="8"/>
        <v>0</v>
      </c>
      <c r="AL59" s="303">
        <f t="shared" si="9"/>
        <v>2.2000000000000006E-2</v>
      </c>
      <c r="AM59" s="304">
        <f t="shared" si="10"/>
        <v>0</v>
      </c>
      <c r="AN59" s="305">
        <f t="shared" si="0"/>
        <v>0</v>
      </c>
      <c r="AO59" s="306">
        <f t="shared" si="0"/>
        <v>2.2000000000000006E-2</v>
      </c>
    </row>
    <row r="60" spans="1:41" s="51" customFormat="1" ht="15" customHeight="1" x14ac:dyDescent="0.2">
      <c r="A60" s="54" t="str">
        <f>'36. Generic chemical products'!A9</f>
        <v>Detergent, average (Ultravon EL)</v>
      </c>
      <c r="B60" s="54" t="str">
        <f>'36. Generic chemical products'!B9</f>
        <v>Ethylene oxide</v>
      </c>
      <c r="C60" s="54">
        <f>'36. Generic chemical products'!C9</f>
        <v>0</v>
      </c>
      <c r="D60" s="54">
        <f>'36. Generic chemical products'!D9</f>
        <v>0</v>
      </c>
      <c r="E60" s="54" t="str">
        <f>'36. Generic chemical products'!E9</f>
        <v>&lt;= 0.1% in alcohol ethoxylates</v>
      </c>
      <c r="F60" s="54"/>
      <c r="G60" s="54" t="str">
        <f>'36. Generic chemical products'!G9</f>
        <v>Ethylene oxide</v>
      </c>
      <c r="H60" s="54" t="str">
        <f>'36. Generic chemical products'!H9</f>
        <v>high. pop.</v>
      </c>
      <c r="I60" s="54">
        <f>'36. Generic chemical products'!I9</f>
        <v>1.0000000000000001E-7</v>
      </c>
      <c r="J60" s="54" t="str">
        <f>'36. Generic chemical products'!J9</f>
        <v>kg</v>
      </c>
      <c r="K60" s="54">
        <f>'36. Generic chemical products'!K9</f>
        <v>0</v>
      </c>
      <c r="L60" s="54"/>
      <c r="M60" s="54" t="str">
        <f>'36. Generic chemical products'!M9</f>
        <v>Ethylene oxide</v>
      </c>
      <c r="N60" s="54" t="str">
        <f>'36. Generic chemical products'!N9</f>
        <v>river</v>
      </c>
      <c r="O60" s="54">
        <f>'36. Generic chemical products'!O9</f>
        <v>1.0000000000000001E-5</v>
      </c>
      <c r="P60" s="54" t="str">
        <f>'36. Generic chemical products'!P9</f>
        <v>kg</v>
      </c>
      <c r="Q60" s="54" t="str">
        <f>'36. Generic chemical products'!Q9</f>
        <v>&lt;= 0.001 in alcohol ethoxylates</v>
      </c>
      <c r="R60" s="54">
        <f>'36. Generic chemical products'!R9</f>
        <v>0</v>
      </c>
      <c r="S60" s="54">
        <f>'36. Generic chemical products'!S9</f>
        <v>0</v>
      </c>
      <c r="T60" s="54" t="str">
        <f>'36. Generic chemical products'!T9</f>
        <v>75-21-8</v>
      </c>
      <c r="U60" s="54">
        <f>'36. Generic chemical products'!U9</f>
        <v>1.0252176328593382E-6</v>
      </c>
      <c r="V60" s="54">
        <f>'36. Generic chemical products'!V9</f>
        <v>0</v>
      </c>
      <c r="W60" s="54">
        <f>'36. Generic chemical products'!W9</f>
        <v>8.6533271568247147E-7</v>
      </c>
      <c r="X60" s="54">
        <f>'36. Generic chemical products'!X9</f>
        <v>0</v>
      </c>
      <c r="Y60" s="54">
        <f>'36. Generic chemical products'!Y9</f>
        <v>0.65406517859613422</v>
      </c>
      <c r="Z60" s="54">
        <f>'36. Generic chemical products'!Z9</f>
        <v>11.248588270889815</v>
      </c>
      <c r="AA60" s="54" t="str">
        <f>'36. Generic chemical products'!AA9</f>
        <v>USEtox</v>
      </c>
      <c r="AB60" s="300">
        <f t="shared" si="11"/>
        <v>4.0000000000000002E-9</v>
      </c>
      <c r="AC60" s="301">
        <f t="shared" si="12"/>
        <v>4.0000000000000003E-7</v>
      </c>
      <c r="AD60" s="303">
        <f>AB60*U60+AC60*W60</f>
        <v>3.5023395680442596E-13</v>
      </c>
      <c r="AE60" s="302">
        <f t="shared" si="2"/>
        <v>0</v>
      </c>
      <c r="AF60" s="303">
        <f t="shared" si="3"/>
        <v>4.5020515690703118E-6</v>
      </c>
      <c r="AG60" s="303">
        <f t="shared" si="4"/>
        <v>4.1008705314373533E-15</v>
      </c>
      <c r="AH60" s="303">
        <f t="shared" si="5"/>
        <v>0</v>
      </c>
      <c r="AI60" s="303">
        <f t="shared" si="6"/>
        <v>2.6162607143845369E-9</v>
      </c>
      <c r="AJ60" s="303">
        <f t="shared" si="7"/>
        <v>3.4613308627298861E-13</v>
      </c>
      <c r="AK60" s="303">
        <f t="shared" si="8"/>
        <v>0</v>
      </c>
      <c r="AL60" s="303">
        <f t="shared" si="9"/>
        <v>4.4994353083559269E-6</v>
      </c>
      <c r="AM60" s="304">
        <f t="shared" si="10"/>
        <v>3.5023395680442596E-13</v>
      </c>
      <c r="AN60" s="305">
        <f t="shared" si="0"/>
        <v>0</v>
      </c>
      <c r="AO60" s="306">
        <f t="shared" si="0"/>
        <v>4.5020515690703118E-6</v>
      </c>
    </row>
    <row r="61" spans="1:41" s="139" customFormat="1" ht="15" customHeight="1" x14ac:dyDescent="0.2">
      <c r="A61" s="141" t="str">
        <f>'36. Generic chemical products'!A10</f>
        <v>Detergent, average (Ultravon EL)</v>
      </c>
      <c r="B61" s="141" t="str">
        <f>'36. Generic chemical products'!B10</f>
        <v xml:space="preserve"> </v>
      </c>
      <c r="C61" s="141">
        <f>'36. Generic chemical products'!C10</f>
        <v>0</v>
      </c>
      <c r="D61" s="141">
        <f>'36. Generic chemical products'!D10</f>
        <v>0</v>
      </c>
      <c r="E61" s="141" t="str">
        <f>'36. Generic chemical products'!E10</f>
        <v>Common breakdown product of of acrylics, 0.001 % assumed</v>
      </c>
      <c r="F61" s="141"/>
      <c r="G61" s="141" t="str">
        <f>'36. Generic chemical products'!G10</f>
        <v>Formaldehyde</v>
      </c>
      <c r="H61" s="141" t="str">
        <f>'36. Generic chemical products'!H10</f>
        <v>high. pop.</v>
      </c>
      <c r="I61" s="141">
        <f>'36. Generic chemical products'!I10</f>
        <v>1.0000000000000001E-7</v>
      </c>
      <c r="J61" s="141" t="str">
        <f>'36. Generic chemical products'!J10</f>
        <v>kg</v>
      </c>
      <c r="K61" s="141">
        <f>'36. Generic chemical products'!K10</f>
        <v>0</v>
      </c>
      <c r="L61" s="141"/>
      <c r="M61" s="141" t="str">
        <f>'36. Generic chemical products'!M10</f>
        <v>Formaldehyde</v>
      </c>
      <c r="N61" s="141" t="str">
        <f>'36. Generic chemical products'!N10</f>
        <v>river</v>
      </c>
      <c r="O61" s="141">
        <f>'36. Generic chemical products'!O10</f>
        <v>1.0000000000000002E-6</v>
      </c>
      <c r="P61" s="141" t="str">
        <f>'36. Generic chemical products'!P10</f>
        <v>kg</v>
      </c>
      <c r="Q61" s="141" t="str">
        <f>'36. Generic chemical products'!Q10</f>
        <v xml:space="preserve">0.1 % of the content is degraded to common breakdown products. 90% of reactive chemicals are degraded during operations. </v>
      </c>
      <c r="R61" s="141">
        <f>'36. Generic chemical products'!R10</f>
        <v>0</v>
      </c>
      <c r="S61" s="141">
        <f>'36. Generic chemical products'!S10</f>
        <v>0</v>
      </c>
      <c r="T61" s="141" t="str">
        <f>'36. Generic chemical products'!T10</f>
        <v>50-00-0</v>
      </c>
      <c r="U61" s="141">
        <f>'36. Generic chemical products'!U10</f>
        <v>2.5208446330720887E-5</v>
      </c>
      <c r="V61" s="141">
        <f>'36. Generic chemical products'!V10</f>
        <v>2.6504960021309262E-7</v>
      </c>
      <c r="W61" s="141">
        <f>'36. Generic chemical products'!W10</f>
        <v>1.4222228897488039E-7</v>
      </c>
      <c r="X61" s="141">
        <f>'36. Generic chemical products'!X10</f>
        <v>3.170874313501273E-7</v>
      </c>
      <c r="Y61" s="141">
        <f>'36. Generic chemical products'!Y10</f>
        <v>17.989178582912412</v>
      </c>
      <c r="Z61" s="141">
        <f>'36. Generic chemical products'!Z10</f>
        <v>290.05086067463066</v>
      </c>
      <c r="AA61" s="141" t="str">
        <f>'36. Generic chemical products'!AA10</f>
        <v>USEtox</v>
      </c>
      <c r="AB61" s="307">
        <f t="shared" si="11"/>
        <v>4.0000000000000002E-9</v>
      </c>
      <c r="AC61" s="308">
        <f t="shared" si="12"/>
        <v>4.0000000000000007E-8</v>
      </c>
      <c r="AD61" s="309">
        <f t="shared" ref="AD61" si="13">AB61*U61+AC61*W61</f>
        <v>1.0652267688187877E-13</v>
      </c>
      <c r="AE61" s="309">
        <f t="shared" ref="AE61" si="14">AB61*V61+AC61*X61</f>
        <v>1.3743695654857465E-14</v>
      </c>
      <c r="AF61" s="310">
        <f t="shared" ref="AF61" si="15">AB61*Y61+AC61*Z61</f>
        <v>1.1673991141316879E-5</v>
      </c>
      <c r="AG61" s="310">
        <f t="shared" ref="AG61" si="16">AB61*U61</f>
        <v>1.0083378532288355E-13</v>
      </c>
      <c r="AH61" s="310">
        <f t="shared" ref="AH61" si="17">AB61*V61</f>
        <v>1.0601984008523706E-15</v>
      </c>
      <c r="AI61" s="310">
        <f t="shared" ref="AI61" si="18">AB61*Y61</f>
        <v>7.1956714331649658E-8</v>
      </c>
      <c r="AJ61" s="310">
        <f t="shared" ref="AJ61" si="19">AC61*W61</f>
        <v>5.6888915589952166E-15</v>
      </c>
      <c r="AK61" s="310">
        <f t="shared" ref="AK61" si="20">AC61*X61</f>
        <v>1.2683497254005095E-14</v>
      </c>
      <c r="AL61" s="310">
        <f t="shared" ref="AL61" si="21">AC61*Z61</f>
        <v>1.1602034426985229E-5</v>
      </c>
      <c r="AM61" s="311">
        <f t="shared" ref="AM61" si="22">AG61+AJ61</f>
        <v>1.0652267688187877E-13</v>
      </c>
      <c r="AN61" s="312">
        <f t="shared" ref="AN61" si="23">AH61+AK61</f>
        <v>1.3743695654857465E-14</v>
      </c>
      <c r="AO61" s="313">
        <f t="shared" ref="AO61" si="24">AI61+AL61</f>
        <v>1.1673991141316879E-5</v>
      </c>
    </row>
    <row r="62" spans="1:41" s="51" customFormat="1" ht="15" customHeight="1" x14ac:dyDescent="0.2">
      <c r="A62" s="68" t="str">
        <f>'36. Generic chemical products'!A12</f>
        <v>Peroxide stabilizer, average (Clarite 3X)</v>
      </c>
      <c r="B62" s="68" t="str">
        <f>'36. Generic chemical products'!B12</f>
        <v>Polyacrylic acid, sodium salt</v>
      </c>
      <c r="C62" s="68">
        <f>'36. Generic chemical products'!C12</f>
        <v>0.1</v>
      </c>
      <c r="D62" s="68" t="str">
        <f>'36. Generic chemical products'!D12</f>
        <v>kg</v>
      </c>
      <c r="E62" s="68" t="str">
        <f>'36. Generic chemical products'!E12</f>
        <v>MSDS + Expert estimation for concentration</v>
      </c>
      <c r="F62" s="68"/>
      <c r="G62" s="68" t="str">
        <f>'36. Generic chemical products'!G12</f>
        <v>-</v>
      </c>
      <c r="H62" s="68">
        <f>'36. Generic chemical products'!H12</f>
        <v>0</v>
      </c>
      <c r="I62" s="68">
        <f>'36. Generic chemical products'!I12</f>
        <v>0</v>
      </c>
      <c r="J62" s="68">
        <f>'36. Generic chemical products'!J12</f>
        <v>0</v>
      </c>
      <c r="K62" s="68">
        <f>'36. Generic chemical products'!K12</f>
        <v>0</v>
      </c>
      <c r="L62" s="68"/>
      <c r="M62" s="68" t="str">
        <f>'36. Generic chemical products'!M12</f>
        <v>Polyacrylic acid, sodium salt</v>
      </c>
      <c r="N62" s="68" t="str">
        <f>'36. Generic chemical products'!N12</f>
        <v>river</v>
      </c>
      <c r="O62" s="68">
        <f>'36. Generic chemical products'!O12</f>
        <v>1.0000000000000002E-2</v>
      </c>
      <c r="P62" s="68" t="str">
        <f>'36. Generic chemical products'!P12</f>
        <v>kg</v>
      </c>
      <c r="Q62" s="68">
        <f>'36. Generic chemical products'!Q12</f>
        <v>0</v>
      </c>
      <c r="R62" s="68">
        <f>'36. Generic chemical products'!R12</f>
        <v>0</v>
      </c>
      <c r="S62" s="68">
        <f>'36. Generic chemical products'!S12</f>
        <v>0</v>
      </c>
      <c r="T62" s="68" t="str">
        <f>'36. Generic chemical products'!T12</f>
        <v>9003-04-7</v>
      </c>
      <c r="U62" s="68">
        <f>'36. Generic chemical products'!U12</f>
        <v>0</v>
      </c>
      <c r="V62" s="68">
        <f>'36. Generic chemical products'!V12</f>
        <v>0</v>
      </c>
      <c r="W62" s="68">
        <f>'36. Generic chemical products'!W12</f>
        <v>0</v>
      </c>
      <c r="X62" s="68">
        <f>'36. Generic chemical products'!X12</f>
        <v>0</v>
      </c>
      <c r="Y62" s="68">
        <f>'36. Generic chemical products'!Y12</f>
        <v>7.06</v>
      </c>
      <c r="Z62" s="68">
        <f>'36. Generic chemical products'!Z12</f>
        <v>78.599999999999994</v>
      </c>
      <c r="AA62" s="68" t="str">
        <f>'36. Generic chemical products'!AA12</f>
        <v>COSMEDE</v>
      </c>
      <c r="AB62" s="300">
        <f>$C$19*I62</f>
        <v>0</v>
      </c>
      <c r="AC62" s="301">
        <f>$C$29*O62</f>
        <v>2.0000000000000005E-5</v>
      </c>
      <c r="AD62" s="302">
        <f>AB62*U62+AC62*W62</f>
        <v>0</v>
      </c>
      <c r="AE62" s="302">
        <f>AB62*V62+AC62*X62</f>
        <v>0</v>
      </c>
      <c r="AF62" s="303">
        <f>AB62*Y62+AC62*Z62</f>
        <v>1.5720000000000003E-3</v>
      </c>
      <c r="AG62" s="303">
        <f>AB62*U62</f>
        <v>0</v>
      </c>
      <c r="AH62" s="303">
        <f>AB62*V62</f>
        <v>0</v>
      </c>
      <c r="AI62" s="303">
        <f>AB62*Y62</f>
        <v>0</v>
      </c>
      <c r="AJ62" s="303">
        <f>AC62*W62</f>
        <v>0</v>
      </c>
      <c r="AK62" s="303">
        <f>AC62*X62</f>
        <v>0</v>
      </c>
      <c r="AL62" s="303">
        <f>AC62*Z62</f>
        <v>1.5720000000000003E-3</v>
      </c>
      <c r="AM62" s="304">
        <f t="shared" ref="AM62:AO66" si="25">AG62+AJ62</f>
        <v>0</v>
      </c>
      <c r="AN62" s="305">
        <f t="shared" si="25"/>
        <v>0</v>
      </c>
      <c r="AO62" s="306">
        <f t="shared" si="25"/>
        <v>1.5720000000000003E-3</v>
      </c>
    </row>
    <row r="63" spans="1:41" s="51" customFormat="1" ht="15" customHeight="1" x14ac:dyDescent="0.2">
      <c r="A63" s="68" t="str">
        <f>'36. Generic chemical products'!A13</f>
        <v>Peroxide stabilizer, average (Clarite 3X)</v>
      </c>
      <c r="B63" s="68" t="str">
        <f>'36. Generic chemical products'!B13</f>
        <v>Phosphonic acid, disodium salt</v>
      </c>
      <c r="C63" s="68">
        <f>'36. Generic chemical products'!C13</f>
        <v>0.1</v>
      </c>
      <c r="D63" s="68" t="str">
        <f>'36. Generic chemical products'!D13</f>
        <v>kg</v>
      </c>
      <c r="E63" s="68" t="str">
        <f>'36. Generic chemical products'!E13</f>
        <v>MSDS + Expert estimation for concentration</v>
      </c>
      <c r="F63" s="68"/>
      <c r="G63" s="68" t="str">
        <f>'36. Generic chemical products'!G13</f>
        <v>-</v>
      </c>
      <c r="H63" s="68">
        <f>'36. Generic chemical products'!H13</f>
        <v>0</v>
      </c>
      <c r="I63" s="68">
        <f>'36. Generic chemical products'!I13</f>
        <v>0</v>
      </c>
      <c r="J63" s="68">
        <f>'36. Generic chemical products'!J13</f>
        <v>0</v>
      </c>
      <c r="K63" s="68">
        <f>'36. Generic chemical products'!K13</f>
        <v>0</v>
      </c>
      <c r="L63" s="68"/>
      <c r="M63" s="68" t="str">
        <f>'36. Generic chemical products'!M13</f>
        <v>Phosphonic acid</v>
      </c>
      <c r="N63" s="68" t="str">
        <f>'36. Generic chemical products'!N13</f>
        <v>river</v>
      </c>
      <c r="O63" s="68">
        <f>'36. Generic chemical products'!O13</f>
        <v>1.0000000000000002E-2</v>
      </c>
      <c r="P63" s="68" t="str">
        <f>'36. Generic chemical products'!P13</f>
        <v>kg</v>
      </c>
      <c r="Q63" s="68">
        <f>'36. Generic chemical products'!Q13</f>
        <v>0</v>
      </c>
      <c r="R63" s="68">
        <f>'36. Generic chemical products'!R13</f>
        <v>0</v>
      </c>
      <c r="S63" s="68">
        <f>'36. Generic chemical products'!S13</f>
        <v>0</v>
      </c>
      <c r="T63" s="68" t="str">
        <f>'36. Generic chemical products'!T13</f>
        <v>13708-85-5</v>
      </c>
      <c r="U63" s="68">
        <f>'36. Generic chemical products'!U13</f>
        <v>0</v>
      </c>
      <c r="V63" s="68">
        <f>'36. Generic chemical products'!V13</f>
        <v>2.5624272316803493E-8</v>
      </c>
      <c r="W63" s="68">
        <f>'36. Generic chemical products'!W13</f>
        <v>0</v>
      </c>
      <c r="X63" s="68">
        <f>'36. Generic chemical products'!X13</f>
        <v>6.1179997974786175E-9</v>
      </c>
      <c r="Y63" s="68">
        <f>'36. Generic chemical products'!Y13</f>
        <v>95.727827940780713</v>
      </c>
      <c r="Z63" s="68">
        <f>'36. Generic chemical products'!Z13</f>
        <v>451.93033608164546</v>
      </c>
      <c r="AA63" s="68" t="str">
        <f>'36. Generic chemical products'!AA13</f>
        <v>Roos 2017</v>
      </c>
      <c r="AB63" s="300">
        <f>$C$19*I63</f>
        <v>0</v>
      </c>
      <c r="AC63" s="301">
        <f>$C$29*O63</f>
        <v>2.0000000000000005E-5</v>
      </c>
      <c r="AD63" s="302">
        <f>AB63*U63+AC63*W63</f>
        <v>0</v>
      </c>
      <c r="AE63" s="302">
        <f>AB63*V63+AC63*X63</f>
        <v>1.2235999594957237E-13</v>
      </c>
      <c r="AF63" s="303">
        <f>AB63*Y63+AC63*Z63</f>
        <v>9.0386067216329108E-3</v>
      </c>
      <c r="AG63" s="303">
        <f>AB63*U63</f>
        <v>0</v>
      </c>
      <c r="AH63" s="303">
        <f>AB63*V63</f>
        <v>0</v>
      </c>
      <c r="AI63" s="303">
        <f>AB63*Y63</f>
        <v>0</v>
      </c>
      <c r="AJ63" s="303">
        <f>AC63*W63</f>
        <v>0</v>
      </c>
      <c r="AK63" s="303">
        <f>AC63*X63</f>
        <v>1.2235999594957237E-13</v>
      </c>
      <c r="AL63" s="303">
        <f>AC63*Z63</f>
        <v>9.0386067216329108E-3</v>
      </c>
      <c r="AM63" s="304">
        <f t="shared" si="25"/>
        <v>0</v>
      </c>
      <c r="AN63" s="305">
        <f t="shared" si="25"/>
        <v>1.2235999594957237E-13</v>
      </c>
      <c r="AO63" s="306">
        <f t="shared" si="25"/>
        <v>9.0386067216329108E-3</v>
      </c>
    </row>
    <row r="64" spans="1:41" s="51" customFormat="1" ht="15" customHeight="1" x14ac:dyDescent="0.2">
      <c r="A64" s="68" t="str">
        <f>'36. Generic chemical products'!A14</f>
        <v>Peroxide stabilizer, average (Clarite 3X)</v>
      </c>
      <c r="B64" s="68" t="str">
        <f>'36. Generic chemical products'!B14</f>
        <v>Magnesium chloride</v>
      </c>
      <c r="C64" s="68">
        <f>'36. Generic chemical products'!C14</f>
        <v>5.0000000000000001E-3</v>
      </c>
      <c r="D64" s="68" t="str">
        <f>'36. Generic chemical products'!D14</f>
        <v>kg</v>
      </c>
      <c r="E64" s="68" t="str">
        <f>'36. Generic chemical products'!E14</f>
        <v>MSDS + Expert estimation for concentration</v>
      </c>
      <c r="F64" s="68"/>
      <c r="G64" s="68" t="str">
        <f>'36. Generic chemical products'!G14</f>
        <v>-</v>
      </c>
      <c r="H64" s="68">
        <f>'36. Generic chemical products'!H14</f>
        <v>0</v>
      </c>
      <c r="I64" s="68">
        <f>'36. Generic chemical products'!I14</f>
        <v>0</v>
      </c>
      <c r="J64" s="68">
        <f>'36. Generic chemical products'!J14</f>
        <v>0</v>
      </c>
      <c r="K64" s="68" t="str">
        <f>'36. Generic chemical products'!K14</f>
        <v>Worst case - mist carries substance</v>
      </c>
      <c r="L64" s="68"/>
      <c r="M64" s="68" t="str">
        <f>'36. Generic chemical products'!M14</f>
        <v>Magnesium chloride</v>
      </c>
      <c r="N64" s="68" t="str">
        <f>'36. Generic chemical products'!N14</f>
        <v>river</v>
      </c>
      <c r="O64" s="68">
        <f>'36. Generic chemical products'!O14</f>
        <v>5.0000000000000001E-4</v>
      </c>
      <c r="P64" s="68" t="str">
        <f>'36. Generic chemical products'!P14</f>
        <v>kg</v>
      </c>
      <c r="Q64" s="68">
        <f>'36. Generic chemical products'!Q14</f>
        <v>0</v>
      </c>
      <c r="R64" s="68">
        <f>'36. Generic chemical products'!R14</f>
        <v>0</v>
      </c>
      <c r="S64" s="68">
        <f>'36. Generic chemical products'!S14</f>
        <v>0</v>
      </c>
      <c r="T64" s="68" t="str">
        <f>'36. Generic chemical products'!T14</f>
        <v>7786-30-3</v>
      </c>
      <c r="U64" s="68">
        <f>'36. Generic chemical products'!U14</f>
        <v>0</v>
      </c>
      <c r="V64" s="68">
        <f>'36. Generic chemical products'!V14</f>
        <v>0</v>
      </c>
      <c r="W64" s="68">
        <f>'36. Generic chemical products'!W14</f>
        <v>0</v>
      </c>
      <c r="X64" s="68">
        <f>'36. Generic chemical products'!X14</f>
        <v>0</v>
      </c>
      <c r="Y64" s="68">
        <f>'36. Generic chemical products'!Y14</f>
        <v>7.4</v>
      </c>
      <c r="Z64" s="68">
        <f>'36. Generic chemical products'!Z14</f>
        <v>17.7</v>
      </c>
      <c r="AA64" s="68" t="str">
        <f>'36. Generic chemical products'!AA14</f>
        <v>COSMEDE</v>
      </c>
      <c r="AB64" s="300">
        <f>$C$19*I64</f>
        <v>0</v>
      </c>
      <c r="AC64" s="301">
        <f>$C$29*O64</f>
        <v>9.9999999999999995E-7</v>
      </c>
      <c r="AD64" s="302">
        <f>AB64*U64+AC64*W64</f>
        <v>0</v>
      </c>
      <c r="AE64" s="302">
        <f>AB64*V64+AC64*X64</f>
        <v>0</v>
      </c>
      <c r="AF64" s="303">
        <f>AB64*Y64+AC64*Z64</f>
        <v>1.77E-5</v>
      </c>
      <c r="AG64" s="303">
        <f>AB64*U64</f>
        <v>0</v>
      </c>
      <c r="AH64" s="303">
        <f>AB64*V64</f>
        <v>0</v>
      </c>
      <c r="AI64" s="303">
        <f>AB64*Y64</f>
        <v>0</v>
      </c>
      <c r="AJ64" s="303">
        <f>AC64*W64</f>
        <v>0</v>
      </c>
      <c r="AK64" s="303">
        <f>AC64*X64</f>
        <v>0</v>
      </c>
      <c r="AL64" s="303">
        <f>AC64*Z64</f>
        <v>1.77E-5</v>
      </c>
      <c r="AM64" s="304">
        <f t="shared" si="25"/>
        <v>0</v>
      </c>
      <c r="AN64" s="305">
        <f t="shared" si="25"/>
        <v>0</v>
      </c>
      <c r="AO64" s="306">
        <f t="shared" si="25"/>
        <v>1.77E-5</v>
      </c>
    </row>
    <row r="65" spans="1:41" s="139" customFormat="1" ht="15" customHeight="1" x14ac:dyDescent="0.2">
      <c r="A65" s="68" t="str">
        <f>'36. Generic chemical products'!A15</f>
        <v>Peroxide stabilizer, average (Clarite 3X)</v>
      </c>
      <c r="B65" s="68" t="str">
        <f>'36. Generic chemical products'!B15</f>
        <v xml:space="preserve"> </v>
      </c>
      <c r="C65" s="68">
        <f>'36. Generic chemical products'!C15</f>
        <v>0</v>
      </c>
      <c r="D65" s="68">
        <f>'36. Generic chemical products'!D15</f>
        <v>0</v>
      </c>
      <c r="E65" s="68" t="str">
        <f>'36. Generic chemical products'!E15</f>
        <v>Common breakdown product of of acrylics, 0.001 % assumed</v>
      </c>
      <c r="F65" s="68"/>
      <c r="G65" s="68" t="str">
        <f>'36. Generic chemical products'!G15</f>
        <v>Formaldehyde</v>
      </c>
      <c r="H65" s="68" t="str">
        <f>'36. Generic chemical products'!H15</f>
        <v>high. pop.</v>
      </c>
      <c r="I65" s="68">
        <f>'36. Generic chemical products'!I15</f>
        <v>1.0000000000000001E-7</v>
      </c>
      <c r="J65" s="68" t="str">
        <f>'36. Generic chemical products'!J15</f>
        <v>kg</v>
      </c>
      <c r="K65" s="68">
        <f>'36. Generic chemical products'!K15</f>
        <v>0</v>
      </c>
      <c r="L65" s="68"/>
      <c r="M65" s="68" t="str">
        <f>'36. Generic chemical products'!M15</f>
        <v>Formaldehyde</v>
      </c>
      <c r="N65" s="68" t="str">
        <f>'36. Generic chemical products'!N15</f>
        <v>river</v>
      </c>
      <c r="O65" s="68">
        <f>'36. Generic chemical products'!O15</f>
        <v>1.0000000000000002E-6</v>
      </c>
      <c r="P65" s="68" t="str">
        <f>'36. Generic chemical products'!P15</f>
        <v>kg</v>
      </c>
      <c r="Q65" s="68" t="str">
        <f>'36. Generic chemical products'!Q15</f>
        <v xml:space="preserve">0.1 % of the content is degraded to common breakdown products. 90% of reactive chemicals are degraded during operations. </v>
      </c>
      <c r="R65" s="68">
        <f>'36. Generic chemical products'!R15</f>
        <v>0</v>
      </c>
      <c r="S65" s="68">
        <f>'36. Generic chemical products'!S15</f>
        <v>0</v>
      </c>
      <c r="T65" s="68" t="str">
        <f>'36. Generic chemical products'!T15</f>
        <v>50-00-0</v>
      </c>
      <c r="U65" s="68">
        <f>'36. Generic chemical products'!U15</f>
        <v>2.5208446330720887E-5</v>
      </c>
      <c r="V65" s="68">
        <f>'36. Generic chemical products'!V15</f>
        <v>2.6504960021309262E-7</v>
      </c>
      <c r="W65" s="68">
        <f>'36. Generic chemical products'!W15</f>
        <v>1.4222228897488039E-7</v>
      </c>
      <c r="X65" s="68">
        <f>'36. Generic chemical products'!X15</f>
        <v>3.170874313501273E-7</v>
      </c>
      <c r="Y65" s="68">
        <f>'36. Generic chemical products'!Y15</f>
        <v>17.989178582912412</v>
      </c>
      <c r="Z65" s="68">
        <f>'36. Generic chemical products'!Z15</f>
        <v>290.05086067463066</v>
      </c>
      <c r="AA65" s="68" t="str">
        <f>'36. Generic chemical products'!AA15</f>
        <v>USEtox</v>
      </c>
      <c r="AB65" s="307">
        <f>$C$19*I65</f>
        <v>2.0000000000000003E-10</v>
      </c>
      <c r="AC65" s="308">
        <f>$C$29*O65</f>
        <v>2.0000000000000005E-9</v>
      </c>
      <c r="AD65" s="309">
        <f>AB65*U65+AC65*W65</f>
        <v>5.3261338440939393E-15</v>
      </c>
      <c r="AE65" s="309">
        <f>AB65*V65+AC65*X65</f>
        <v>6.8718478274287339E-16</v>
      </c>
      <c r="AF65" s="310">
        <f>AB65*Y65+AC65*Z65</f>
        <v>5.83699557065844E-7</v>
      </c>
      <c r="AG65" s="310">
        <f>AB65*U65</f>
        <v>5.0416892661441783E-15</v>
      </c>
      <c r="AH65" s="310">
        <f>AB65*V65</f>
        <v>5.3009920042618531E-17</v>
      </c>
      <c r="AI65" s="310">
        <f>AB65*Y65</f>
        <v>3.5978357165824831E-9</v>
      </c>
      <c r="AJ65" s="310">
        <f>AC65*W65</f>
        <v>2.8444457794976087E-16</v>
      </c>
      <c r="AK65" s="310">
        <f>AC65*X65</f>
        <v>6.3417486270025483E-16</v>
      </c>
      <c r="AL65" s="310">
        <f>AC65*Z65</f>
        <v>5.801017213492615E-7</v>
      </c>
      <c r="AM65" s="311">
        <f t="shared" si="25"/>
        <v>5.3261338440939393E-15</v>
      </c>
      <c r="AN65" s="312">
        <f t="shared" si="25"/>
        <v>6.8718478274287339E-16</v>
      </c>
      <c r="AO65" s="313">
        <f t="shared" si="25"/>
        <v>5.83699557065844E-7</v>
      </c>
    </row>
    <row r="66" spans="1:41" s="195" customFormat="1" ht="15" customHeight="1" x14ac:dyDescent="0.2">
      <c r="A66" s="194" t="str">
        <f>'36. Generic chemical products'!A16</f>
        <v>Base (alkali) (NaOH), average</v>
      </c>
      <c r="B66" s="194" t="str">
        <f>'36. Generic chemical products'!B16</f>
        <v>Sodium hydroxide</v>
      </c>
      <c r="C66" s="194">
        <f>'36. Generic chemical products'!C16</f>
        <v>1</v>
      </c>
      <c r="D66" s="194" t="str">
        <f>'36. Generic chemical products'!D16</f>
        <v>kg</v>
      </c>
      <c r="E66" s="194">
        <f>'36. Generic chemical products'!E16</f>
        <v>1</v>
      </c>
      <c r="F66" s="194"/>
      <c r="G66" s="194" t="str">
        <f>'36. Generic chemical products'!G16</f>
        <v>-</v>
      </c>
      <c r="H66" s="194">
        <f>'36. Generic chemical products'!H16</f>
        <v>0</v>
      </c>
      <c r="I66" s="194">
        <f>'36. Generic chemical products'!I16</f>
        <v>0</v>
      </c>
      <c r="J66" s="194">
        <f>'36. Generic chemical products'!J16</f>
        <v>0</v>
      </c>
      <c r="K66" s="194" t="str">
        <f>'36. Generic chemical products'!K16</f>
        <v>Worst case - mist carries substance</v>
      </c>
      <c r="L66" s="194"/>
      <c r="M66" s="194" t="str">
        <f>'36. Generic chemical products'!M16</f>
        <v>Sodium hydroxide</v>
      </c>
      <c r="N66" s="194" t="str">
        <f>'36. Generic chemical products'!N16</f>
        <v>river</v>
      </c>
      <c r="O66" s="194">
        <f>'36. Generic chemical products'!O16</f>
        <v>0.1</v>
      </c>
      <c r="P66" s="194" t="str">
        <f>'36. Generic chemical products'!P16</f>
        <v>kg</v>
      </c>
      <c r="Q66" s="194">
        <f>'36. Generic chemical products'!Q16</f>
        <v>0</v>
      </c>
      <c r="R66" s="194">
        <f>'36. Generic chemical products'!R16</f>
        <v>0</v>
      </c>
      <c r="S66" s="194">
        <f>'36. Generic chemical products'!S16</f>
        <v>0</v>
      </c>
      <c r="T66" s="194" t="str">
        <f>'36. Generic chemical products'!T16</f>
        <v>1310-73-2</v>
      </c>
      <c r="U66" s="194">
        <f>'36. Generic chemical products'!U16</f>
        <v>0</v>
      </c>
      <c r="V66" s="194">
        <f>'36. Generic chemical products'!V16</f>
        <v>0</v>
      </c>
      <c r="W66" s="194">
        <f>'36. Generic chemical products'!W16</f>
        <v>0</v>
      </c>
      <c r="X66" s="194">
        <f>'36. Generic chemical products'!X16</f>
        <v>0</v>
      </c>
      <c r="Y66" s="194">
        <f>'36. Generic chemical products'!Y16</f>
        <v>164.24</v>
      </c>
      <c r="Z66" s="194">
        <f>'36. Generic chemical products'!Z16</f>
        <v>400.09</v>
      </c>
      <c r="AA66" s="194" t="str">
        <f>'36. Generic chemical products'!AA16</f>
        <v>COSMEDE</v>
      </c>
      <c r="AB66" s="327">
        <f>$C$20*I66</f>
        <v>0</v>
      </c>
      <c r="AC66" s="328">
        <f>$C$30*O66</f>
        <v>2.5000000000000005E-3</v>
      </c>
      <c r="AD66" s="329">
        <f>AB66*U66+AC66*W66</f>
        <v>0</v>
      </c>
      <c r="AE66" s="329">
        <f>AB66*V66+AC66*X66</f>
        <v>0</v>
      </c>
      <c r="AF66" s="330">
        <f>AB66*Y66+AC66*Z66</f>
        <v>1.0002250000000001</v>
      </c>
      <c r="AG66" s="330">
        <f>AB66*U66</f>
        <v>0</v>
      </c>
      <c r="AH66" s="330">
        <f>AB66*V66</f>
        <v>0</v>
      </c>
      <c r="AI66" s="330">
        <f>AB66*Y66</f>
        <v>0</v>
      </c>
      <c r="AJ66" s="330">
        <f>AC66*W66</f>
        <v>0</v>
      </c>
      <c r="AK66" s="330">
        <f>AC66*X66</f>
        <v>0</v>
      </c>
      <c r="AL66" s="330">
        <f>AC66*Z66</f>
        <v>1.0002250000000001</v>
      </c>
      <c r="AM66" s="331">
        <f t="shared" si="25"/>
        <v>0</v>
      </c>
      <c r="AN66" s="332">
        <f t="shared" si="25"/>
        <v>0</v>
      </c>
      <c r="AO66" s="333">
        <f t="shared" si="25"/>
        <v>1.0002250000000001</v>
      </c>
    </row>
    <row r="67" spans="1:41" s="195" customFormat="1" ht="15" customHeight="1" x14ac:dyDescent="0.2">
      <c r="A67" s="196" t="str">
        <f>'36. Generic chemical products'!A11</f>
        <v>Acid, formic acid, average</v>
      </c>
      <c r="B67" s="196" t="str">
        <f>'36. Generic chemical products'!B11</f>
        <v>Formic acid</v>
      </c>
      <c r="C67" s="196">
        <f>'36. Generic chemical products'!C11</f>
        <v>1</v>
      </c>
      <c r="D67" s="196" t="str">
        <f>'36. Generic chemical products'!D11</f>
        <v>kg</v>
      </c>
      <c r="E67" s="196">
        <f>'36. Generic chemical products'!E11</f>
        <v>1</v>
      </c>
      <c r="F67" s="196"/>
      <c r="G67" s="196" t="str">
        <f>'36. Generic chemical products'!G11</f>
        <v>Formic acid</v>
      </c>
      <c r="H67" s="196" t="str">
        <f>'36. Generic chemical products'!H11</f>
        <v>high. pop.</v>
      </c>
      <c r="I67" s="196">
        <f>'36. Generic chemical products'!I11</f>
        <v>1E-3</v>
      </c>
      <c r="J67" s="196" t="str">
        <f>'36. Generic chemical products'!J11</f>
        <v>kg</v>
      </c>
      <c r="K67" s="196">
        <f>'36. Generic chemical products'!K11</f>
        <v>0</v>
      </c>
      <c r="L67" s="196"/>
      <c r="M67" s="196" t="str">
        <f>'36. Generic chemical products'!M11</f>
        <v>Formic acid</v>
      </c>
      <c r="N67" s="196" t="str">
        <f>'36. Generic chemical products'!N11</f>
        <v>river</v>
      </c>
      <c r="O67" s="196">
        <f>'36. Generic chemical products'!O11</f>
        <v>0.1</v>
      </c>
      <c r="P67" s="196" t="str">
        <f>'36. Generic chemical products'!P11</f>
        <v>kg</v>
      </c>
      <c r="Q67" s="196">
        <f>'36. Generic chemical products'!Q11</f>
        <v>0</v>
      </c>
      <c r="R67" s="196">
        <f>'36. Generic chemical products'!R11</f>
        <v>0</v>
      </c>
      <c r="S67" s="196">
        <f>'36. Generic chemical products'!S11</f>
        <v>0</v>
      </c>
      <c r="T67" s="196" t="str">
        <f>'36. Generic chemical products'!T11</f>
        <v>64-18-6</v>
      </c>
      <c r="U67" s="196">
        <f>'36. Generic chemical products'!U11</f>
        <v>0</v>
      </c>
      <c r="V67" s="196">
        <f>'36. Generic chemical products'!V11</f>
        <v>0</v>
      </c>
      <c r="W67" s="196">
        <f>'36. Generic chemical products'!W11</f>
        <v>0</v>
      </c>
      <c r="X67" s="196">
        <f>'36. Generic chemical products'!X11</f>
        <v>0</v>
      </c>
      <c r="Y67" s="196">
        <f>'36. Generic chemical products'!Y11</f>
        <v>2.8072892978694037</v>
      </c>
      <c r="Z67" s="196">
        <f>'36. Generic chemical products'!Z11</f>
        <v>44.680467206809801</v>
      </c>
      <c r="AA67" s="196" t="str">
        <f>'36. Generic chemical products'!AA11</f>
        <v>USEtox</v>
      </c>
      <c r="AB67" s="327">
        <f>$C$21*I67</f>
        <v>1.0000000000000001E-5</v>
      </c>
      <c r="AC67" s="328">
        <f>$C$31*O67</f>
        <v>1E-3</v>
      </c>
      <c r="AD67" s="329">
        <f t="shared" si="1"/>
        <v>0</v>
      </c>
      <c r="AE67" s="329">
        <f t="shared" si="2"/>
        <v>0</v>
      </c>
      <c r="AF67" s="330">
        <f t="shared" si="3"/>
        <v>4.4708540099788495E-2</v>
      </c>
      <c r="AG67" s="330">
        <f t="shared" si="4"/>
        <v>0</v>
      </c>
      <c r="AH67" s="330">
        <f t="shared" si="5"/>
        <v>0</v>
      </c>
      <c r="AI67" s="330">
        <f t="shared" si="6"/>
        <v>2.8072892978694039E-5</v>
      </c>
      <c r="AJ67" s="330">
        <f t="shared" si="7"/>
        <v>0</v>
      </c>
      <c r="AK67" s="330">
        <f t="shared" si="8"/>
        <v>0</v>
      </c>
      <c r="AL67" s="330">
        <f t="shared" si="9"/>
        <v>4.46804672068098E-2</v>
      </c>
      <c r="AM67" s="331">
        <f t="shared" si="10"/>
        <v>0</v>
      </c>
      <c r="AN67" s="332">
        <f t="shared" si="0"/>
        <v>0</v>
      </c>
      <c r="AO67" s="333">
        <f t="shared" si="0"/>
        <v>4.4708540099788495E-2</v>
      </c>
    </row>
    <row r="68" spans="1:41" s="195" customFormat="1" ht="15" customHeight="1" x14ac:dyDescent="0.2">
      <c r="A68" s="194" t="str">
        <f>'36. Generic chemical products'!A17</f>
        <v>Bleach, hydrogen peroxide, BAT</v>
      </c>
      <c r="B68" s="194" t="str">
        <f>'36. Generic chemical products'!B17</f>
        <v>Hydrogen peroxide</v>
      </c>
      <c r="C68" s="194">
        <f>'36. Generic chemical products'!C17</f>
        <v>1</v>
      </c>
      <c r="D68" s="194" t="str">
        <f>'36. Generic chemical products'!D17</f>
        <v>kg</v>
      </c>
      <c r="E68" s="194">
        <f>'36. Generic chemical products'!E17</f>
        <v>1</v>
      </c>
      <c r="F68" s="194"/>
      <c r="G68" s="194" t="str">
        <f>'36. Generic chemical products'!G17</f>
        <v>Hydrogen peroxide</v>
      </c>
      <c r="H68" s="194" t="str">
        <f>'36. Generic chemical products'!H17</f>
        <v>high. pop.</v>
      </c>
      <c r="I68" s="194">
        <f>'36. Generic chemical products'!I17</f>
        <v>1E-3</v>
      </c>
      <c r="J68" s="194" t="str">
        <f>'36. Generic chemical products'!J17</f>
        <v>kg</v>
      </c>
      <c r="K68" s="194">
        <f>'36. Generic chemical products'!K17</f>
        <v>0</v>
      </c>
      <c r="L68" s="194"/>
      <c r="M68" s="194" t="str">
        <f>'36. Generic chemical products'!M17</f>
        <v>Hydrogen peroxide</v>
      </c>
      <c r="N68" s="194" t="str">
        <f>'36. Generic chemical products'!N17</f>
        <v>river</v>
      </c>
      <c r="O68" s="194">
        <f>'36. Generic chemical products'!O17</f>
        <v>1.0000000000000002E-2</v>
      </c>
      <c r="P68" s="194" t="str">
        <f>'36. Generic chemical products'!P17</f>
        <v>kg</v>
      </c>
      <c r="Q68" s="194" t="str">
        <f>'36. Generic chemical products'!Q17</f>
        <v xml:space="preserve">90% of reactive chemicals are degraded during operations. </v>
      </c>
      <c r="R68" s="194">
        <f>'36. Generic chemical products'!R17</f>
        <v>0</v>
      </c>
      <c r="S68" s="194">
        <f>'36. Generic chemical products'!S17</f>
        <v>0</v>
      </c>
      <c r="T68" s="194" t="str">
        <f>'36. Generic chemical products'!T17</f>
        <v>7722-84-1</v>
      </c>
      <c r="U68" s="194">
        <f>'36. Generic chemical products'!U17</f>
        <v>0</v>
      </c>
      <c r="V68" s="194">
        <f>'36. Generic chemical products'!V17</f>
        <v>0</v>
      </c>
      <c r="W68" s="194">
        <f>'36. Generic chemical products'!W17</f>
        <v>0</v>
      </c>
      <c r="X68" s="194">
        <f>'36. Generic chemical products'!X17</f>
        <v>0</v>
      </c>
      <c r="Y68" s="194">
        <f>'36. Generic chemical products'!Y17</f>
        <v>220</v>
      </c>
      <c r="Z68" s="194">
        <f>'36. Generic chemical products'!Z17</f>
        <v>532</v>
      </c>
      <c r="AA68" s="194" t="str">
        <f>'36. Generic chemical products'!AA17</f>
        <v>COSMEDE</v>
      </c>
      <c r="AB68" s="354">
        <f>$C$22*I68</f>
        <v>7.0000000000000007E-5</v>
      </c>
      <c r="AC68" s="355">
        <f>$C$32*O68</f>
        <v>7.0000000000000021E-4</v>
      </c>
      <c r="AD68" s="356">
        <f t="shared" si="1"/>
        <v>0</v>
      </c>
      <c r="AE68" s="356">
        <f t="shared" si="2"/>
        <v>0</v>
      </c>
      <c r="AF68" s="330">
        <f t="shared" si="3"/>
        <v>0.38780000000000014</v>
      </c>
      <c r="AG68" s="330">
        <f t="shared" si="4"/>
        <v>0</v>
      </c>
      <c r="AH68" s="330">
        <f t="shared" si="5"/>
        <v>0</v>
      </c>
      <c r="AI68" s="330">
        <f t="shared" si="6"/>
        <v>1.5400000000000002E-2</v>
      </c>
      <c r="AJ68" s="330">
        <f t="shared" si="7"/>
        <v>0</v>
      </c>
      <c r="AK68" s="330">
        <f t="shared" si="8"/>
        <v>0</v>
      </c>
      <c r="AL68" s="330">
        <f t="shared" si="9"/>
        <v>0.37240000000000012</v>
      </c>
      <c r="AM68" s="331">
        <f t="shared" si="10"/>
        <v>0</v>
      </c>
      <c r="AN68" s="332">
        <f t="shared" si="0"/>
        <v>0</v>
      </c>
      <c r="AO68" s="333">
        <f t="shared" si="0"/>
        <v>0.38780000000000014</v>
      </c>
    </row>
    <row r="69" spans="1:41" s="51" customFormat="1" ht="15" customHeight="1" x14ac:dyDescent="0.2">
      <c r="A69" s="68" t="str">
        <f>'36. Generic chemical products'!A78</f>
        <v>Wetting agent/Penetration agent, BAT (Albaflow SF plus)</v>
      </c>
      <c r="B69" s="68" t="str">
        <f>'36. Generic chemical products'!B78</f>
        <v>Maleinsyra, bis(2-etylhexyl)ester</v>
      </c>
      <c r="C69" s="68">
        <f>'36. Generic chemical products'!C78</f>
        <v>0.15</v>
      </c>
      <c r="D69" s="68" t="str">
        <f>'36. Generic chemical products'!D78</f>
        <v>kg</v>
      </c>
      <c r="E69" s="68" t="str">
        <f>'36. Generic chemical products'!E78</f>
        <v>MSDS</v>
      </c>
      <c r="F69" s="68"/>
      <c r="G69" s="68" t="str">
        <f>'36. Generic chemical products'!G78</f>
        <v>Maleinsyra, bis(2-etylhexyl)ester</v>
      </c>
      <c r="H69" s="68" t="str">
        <f>'36. Generic chemical products'!H78</f>
        <v>high. pop.</v>
      </c>
      <c r="I69" s="68">
        <f>'36. Generic chemical products'!I78</f>
        <v>1.4999999999999999E-4</v>
      </c>
      <c r="J69" s="68" t="str">
        <f>'36. Generic chemical products'!J78</f>
        <v>kg</v>
      </c>
      <c r="K69" s="68">
        <f>'36. Generic chemical products'!K78</f>
        <v>0</v>
      </c>
      <c r="L69" s="68"/>
      <c r="M69" s="68" t="str">
        <f>'36. Generic chemical products'!M78</f>
        <v>Maleinsyra, bis(2-etylhexyl)ester</v>
      </c>
      <c r="N69" s="68" t="str">
        <f>'36. Generic chemical products'!N78</f>
        <v>river</v>
      </c>
      <c r="O69" s="68">
        <f>'36. Generic chemical products'!O78</f>
        <v>1.4999999999999999E-2</v>
      </c>
      <c r="P69" s="68" t="str">
        <f>'36. Generic chemical products'!P78</f>
        <v>kg</v>
      </c>
      <c r="Q69" s="68">
        <f>'36. Generic chemical products'!Q78</f>
        <v>0</v>
      </c>
      <c r="R69" s="68">
        <f>'36. Generic chemical products'!R78</f>
        <v>0</v>
      </c>
      <c r="S69" s="68">
        <f>'36. Generic chemical products'!S78</f>
        <v>0</v>
      </c>
      <c r="T69" s="68" t="str">
        <f>'36. Generic chemical products'!T78</f>
        <v>142-16-5</v>
      </c>
      <c r="U69" s="68">
        <f>'36. Generic chemical products'!U78</f>
        <v>0</v>
      </c>
      <c r="V69" s="68">
        <f>'36. Generic chemical products'!V78</f>
        <v>0</v>
      </c>
      <c r="W69" s="68">
        <f>'36. Generic chemical products'!W78</f>
        <v>0</v>
      </c>
      <c r="X69" s="68">
        <f>'36. Generic chemical products'!X78</f>
        <v>0</v>
      </c>
      <c r="Y69" s="68">
        <f>'36. Generic chemical products'!Y78</f>
        <v>0.16</v>
      </c>
      <c r="Z69" s="68">
        <f>'36. Generic chemical products'!Z78</f>
        <v>16.600000000000001</v>
      </c>
      <c r="AA69" s="68" t="str">
        <f>'36. Generic chemical products'!AA78</f>
        <v>COSMEDE</v>
      </c>
      <c r="AB69" s="300">
        <f>$C$23*I69</f>
        <v>2.9999999999999997E-6</v>
      </c>
      <c r="AC69" s="301">
        <f>$C$33*O69</f>
        <v>2.9999999999999997E-4</v>
      </c>
      <c r="AD69" s="302">
        <f>AB69*U69+AC69*W69</f>
        <v>0</v>
      </c>
      <c r="AE69" s="302">
        <f t="shared" ref="AE69:AE71" si="26">AB69*V69+AC69*X69</f>
        <v>0</v>
      </c>
      <c r="AF69" s="330">
        <f t="shared" ref="AF69:AF71" si="27">AB69*Y69+AC69*Z69</f>
        <v>4.9804799999999998E-3</v>
      </c>
      <c r="AG69" s="330">
        <f t="shared" ref="AG69:AG71" si="28">AB69*U69</f>
        <v>0</v>
      </c>
      <c r="AH69" s="330">
        <f t="shared" ref="AH69:AH71" si="29">AB69*V69</f>
        <v>0</v>
      </c>
      <c r="AI69" s="330">
        <f t="shared" ref="AI69:AI71" si="30">AB69*Y69</f>
        <v>4.7999999999999996E-7</v>
      </c>
      <c r="AJ69" s="330">
        <f t="shared" ref="AJ69:AJ71" si="31">AC69*W69</f>
        <v>0</v>
      </c>
      <c r="AK69" s="330">
        <f t="shared" ref="AK69:AK71" si="32">AC69*X69</f>
        <v>0</v>
      </c>
      <c r="AL69" s="330">
        <f t="shared" ref="AL69:AL71" si="33">AC69*Z69</f>
        <v>4.9800000000000001E-3</v>
      </c>
      <c r="AM69" s="331">
        <f t="shared" ref="AM69:AM71" si="34">AG69+AJ69</f>
        <v>0</v>
      </c>
      <c r="AN69" s="332">
        <f t="shared" ref="AN69:AN71" si="35">AH69+AK69</f>
        <v>0</v>
      </c>
      <c r="AO69" s="333">
        <f t="shared" ref="AO69:AO71" si="36">AI69+AL69</f>
        <v>4.9804799999999998E-3</v>
      </c>
    </row>
    <row r="70" spans="1:41" s="139" customFormat="1" ht="15" customHeight="1" x14ac:dyDescent="0.2">
      <c r="A70" s="193" t="str">
        <f>'36. Generic chemical products'!A79</f>
        <v>Wetting agent/Penetration agent, BAT (Albaflow SF plus)</v>
      </c>
      <c r="B70" s="193" t="str">
        <f>'36. Generic chemical products'!B79</f>
        <v>Decane and other higher alkanes</v>
      </c>
      <c r="C70" s="193">
        <f>'36. Generic chemical products'!C79</f>
        <v>0.5</v>
      </c>
      <c r="D70" s="193" t="str">
        <f>'36. Generic chemical products'!D79</f>
        <v>kg</v>
      </c>
      <c r="E70" s="193" t="str">
        <f>'36. Generic chemical products'!E79</f>
        <v>assumption oil. Self-emulsifying preparation of organic oil, carboxylic acid esters and special additives.</v>
      </c>
      <c r="F70" s="193"/>
      <c r="G70" s="193" t="str">
        <f>'36. Generic chemical products'!G79</f>
        <v>Decane and other higher alkanes</v>
      </c>
      <c r="H70" s="193" t="str">
        <f>'36. Generic chemical products'!H79</f>
        <v>high. pop.</v>
      </c>
      <c r="I70" s="193">
        <f>'36. Generic chemical products'!I79</f>
        <v>5.0000000000000001E-4</v>
      </c>
      <c r="J70" s="193" t="str">
        <f>'36. Generic chemical products'!J79</f>
        <v>kg</v>
      </c>
      <c r="K70" s="193">
        <f>'36. Generic chemical products'!K79</f>
        <v>0</v>
      </c>
      <c r="L70" s="193"/>
      <c r="M70" s="193" t="str">
        <f>'36. Generic chemical products'!M79</f>
        <v>Decane and other higher alkanes</v>
      </c>
      <c r="N70" s="193" t="str">
        <f>'36. Generic chemical products'!N79</f>
        <v>river</v>
      </c>
      <c r="O70" s="193">
        <f>'36. Generic chemical products'!O79</f>
        <v>0.05</v>
      </c>
      <c r="P70" s="193" t="str">
        <f>'36. Generic chemical products'!P79</f>
        <v>kg</v>
      </c>
      <c r="Q70" s="193">
        <f>'36. Generic chemical products'!Q79</f>
        <v>0</v>
      </c>
      <c r="R70" s="193">
        <f>'36. Generic chemical products'!R79</f>
        <v>0</v>
      </c>
      <c r="S70" s="193">
        <f>'36. Generic chemical products'!S79</f>
        <v>0</v>
      </c>
      <c r="T70" s="193" t="str">
        <f>'36. Generic chemical products'!T79</f>
        <v>64742-47-8</v>
      </c>
      <c r="U70" s="193">
        <f>'36. Generic chemical products'!U79</f>
        <v>0</v>
      </c>
      <c r="V70" s="193">
        <f>'36. Generic chemical products'!V79</f>
        <v>0</v>
      </c>
      <c r="W70" s="193">
        <f>'36. Generic chemical products'!W79</f>
        <v>0</v>
      </c>
      <c r="X70" s="193">
        <f>'36. Generic chemical products'!X79</f>
        <v>0</v>
      </c>
      <c r="Y70" s="193">
        <f>'36. Generic chemical products'!Y79</f>
        <v>2.8999999999999998E-3</v>
      </c>
      <c r="Z70" s="193">
        <f>'36. Generic chemical products'!Z79</f>
        <v>194</v>
      </c>
      <c r="AA70" s="193" t="str">
        <f>'36. Generic chemical products'!AA79</f>
        <v>COSMEDE</v>
      </c>
      <c r="AB70" s="307">
        <f t="shared" ref="AB70" si="37">$C$22*I70</f>
        <v>3.5000000000000004E-5</v>
      </c>
      <c r="AC70" s="308">
        <f>$C$33*O70</f>
        <v>1E-3</v>
      </c>
      <c r="AD70" s="309">
        <f t="shared" ref="AD70:AD71" si="38">AB70*U70+AC70*W70</f>
        <v>0</v>
      </c>
      <c r="AE70" s="309">
        <f t="shared" si="26"/>
        <v>0</v>
      </c>
      <c r="AF70" s="330">
        <f t="shared" si="27"/>
        <v>0.19400010149999999</v>
      </c>
      <c r="AG70" s="330">
        <f t="shared" si="28"/>
        <v>0</v>
      </c>
      <c r="AH70" s="330">
        <f t="shared" si="29"/>
        <v>0</v>
      </c>
      <c r="AI70" s="330">
        <f t="shared" si="30"/>
        <v>1.015E-7</v>
      </c>
      <c r="AJ70" s="330">
        <f t="shared" si="31"/>
        <v>0</v>
      </c>
      <c r="AK70" s="330">
        <f t="shared" si="32"/>
        <v>0</v>
      </c>
      <c r="AL70" s="330">
        <f t="shared" si="33"/>
        <v>0.19400000000000001</v>
      </c>
      <c r="AM70" s="331">
        <f t="shared" si="34"/>
        <v>0</v>
      </c>
      <c r="AN70" s="332">
        <f t="shared" si="35"/>
        <v>0</v>
      </c>
      <c r="AO70" s="333">
        <f t="shared" si="36"/>
        <v>0.19400010149999999</v>
      </c>
    </row>
    <row r="71" spans="1:41" s="195" customFormat="1" ht="15" customHeight="1" x14ac:dyDescent="0.2">
      <c r="A71" s="194" t="str">
        <f>'36. Generic chemical products'!A113</f>
        <v>Blue disperse dyestuff PA, BAT (Eriofast Blue 3G)</v>
      </c>
      <c r="B71" s="194" t="str">
        <f>'36. Generic chemical products'!B113</f>
        <v>Reactive Blue 4</v>
      </c>
      <c r="C71" s="194">
        <f>'36. Generic chemical products'!C113</f>
        <v>0.75</v>
      </c>
      <c r="D71" s="194" t="str">
        <f>'36. Generic chemical products'!D113</f>
        <v>kg</v>
      </c>
      <c r="E71" s="194" t="str">
        <f>'36. Generic chemical products'!E113</f>
        <v>MSDS, replaces 500717-36-2</v>
      </c>
      <c r="F71" s="194"/>
      <c r="G71" s="194" t="str">
        <f>'36. Generic chemical products'!G113</f>
        <v>2-Anthracenesulfonic acid, 1-amino-4-[(4-amino-2-
sulfophenyl)amino]-9,10-dihydro-9,10-dioxo-,
disodium salt, reaction product with 2-[[3-[(4,6-
dichloro-1,3,5-triazin-2-yl)ethylamino]phenyl]sulfonyl
]ethyl hydrogen sulfate, sodium salts</v>
      </c>
      <c r="H71" s="194" t="str">
        <f>'36. Generic chemical products'!H113</f>
        <v>high. pop.</v>
      </c>
      <c r="I71" s="194">
        <f>'36. Generic chemical products'!I113</f>
        <v>7.5000000000000002E-4</v>
      </c>
      <c r="J71" s="194" t="str">
        <f>'36. Generic chemical products'!J113</f>
        <v>kg</v>
      </c>
      <c r="K71" s="194">
        <f>'36. Generic chemical products'!K113</f>
        <v>0</v>
      </c>
      <c r="L71" s="194"/>
      <c r="M71" s="194" t="str">
        <f>'36. Generic chemical products'!M113</f>
        <v>2-Anthracenesulfonic acid, 1-amino-4-[(4-amino-2-
sulfophenyl)amino]-9,10-dihydro-9,10-dioxo-,
disodium salt, reaction product with 2-[[3-[(4,6-
dichloro-1,3,5-triazin-2-yl)ethylamino]phenyl]sulfonyl
]ethyl hydrogen sulfate, sodium salts</v>
      </c>
      <c r="N71" s="194" t="str">
        <f>'36. Generic chemical products'!N113</f>
        <v>river</v>
      </c>
      <c r="O71" s="194">
        <f>'36. Generic chemical products'!O113</f>
        <v>3.7500000000000007E-3</v>
      </c>
      <c r="P71" s="194" t="str">
        <f>'36. Generic chemical products'!P113</f>
        <v>kg</v>
      </c>
      <c r="Q71" s="194" t="str">
        <f>'36. Generic chemical products'!Q113</f>
        <v>95% on fabric</v>
      </c>
      <c r="R71" s="194">
        <f>'36. Generic chemical products'!R113</f>
        <v>0</v>
      </c>
      <c r="S71" s="194">
        <f>'36. Generic chemical products'!S113</f>
        <v>0</v>
      </c>
      <c r="T71" s="194" t="str">
        <f>'36. Generic chemical products'!T113</f>
        <v>13324-20-4</v>
      </c>
      <c r="U71" s="194">
        <f>'36. Generic chemical products'!U113</f>
        <v>2.3250974052490423E-6</v>
      </c>
      <c r="V71" s="194">
        <f>'36. Generic chemical products'!V113</f>
        <v>3.6419621494691573E-7</v>
      </c>
      <c r="W71" s="194">
        <f>'36. Generic chemical products'!W113</f>
        <v>1.7961299223192751E-6</v>
      </c>
      <c r="X71" s="194">
        <f>'36. Generic chemical products'!X113</f>
        <v>2.8134035063856268E-7</v>
      </c>
      <c r="Y71" s="194">
        <f>'36. Generic chemical products'!Y113</f>
        <v>10.290742530418507</v>
      </c>
      <c r="Z71" s="194">
        <f>'36. Generic chemical products'!Z113</f>
        <v>34.995514714186051</v>
      </c>
      <c r="AA71" s="194" t="str">
        <f>'36. Generic chemical products'!AA113</f>
        <v>Roos 2017</v>
      </c>
      <c r="AB71" s="327">
        <f>$C$24*I71</f>
        <v>3.7500000000000003E-5</v>
      </c>
      <c r="AC71" s="328">
        <f>$C$34*O71</f>
        <v>1.8750000000000006E-4</v>
      </c>
      <c r="AD71" s="329">
        <f t="shared" si="38"/>
        <v>4.2396551313170326E-10</v>
      </c>
      <c r="AE71" s="329">
        <f t="shared" si="26"/>
        <v>6.6408673805239863E-11</v>
      </c>
      <c r="AF71" s="330">
        <f t="shared" si="27"/>
        <v>6.9475618538005811E-3</v>
      </c>
      <c r="AG71" s="330">
        <f t="shared" si="28"/>
        <v>8.7191152696839092E-11</v>
      </c>
      <c r="AH71" s="330">
        <f t="shared" si="29"/>
        <v>1.3657358060509341E-11</v>
      </c>
      <c r="AI71" s="330">
        <f t="shared" si="30"/>
        <v>3.8590284489069406E-4</v>
      </c>
      <c r="AJ71" s="330">
        <f t="shared" si="31"/>
        <v>3.3677436043486415E-10</v>
      </c>
      <c r="AK71" s="330">
        <f t="shared" si="32"/>
        <v>5.2751315744730521E-11</v>
      </c>
      <c r="AL71" s="330">
        <f t="shared" si="33"/>
        <v>6.5616590089098868E-3</v>
      </c>
      <c r="AM71" s="331">
        <f t="shared" si="34"/>
        <v>4.2396551313170326E-10</v>
      </c>
      <c r="AN71" s="332">
        <f t="shared" si="35"/>
        <v>6.6408673805239863E-11</v>
      </c>
      <c r="AO71" s="333">
        <f t="shared" si="36"/>
        <v>6.9475618538005811E-3</v>
      </c>
    </row>
    <row r="72" spans="1:41" s="51" customFormat="1" ht="15" customHeight="1" x14ac:dyDescent="0.2">
      <c r="A72" s="68" t="str">
        <f>'36. Generic chemical products'!A5</f>
        <v>Detergent, average (Ultravon EL)</v>
      </c>
      <c r="B72" s="68" t="str">
        <f>'36. Generic chemical products'!B5</f>
        <v>Polyacrylic acid, sodium salt</v>
      </c>
      <c r="C72" s="68">
        <f>'36. Generic chemical products'!C5</f>
        <v>0.1</v>
      </c>
      <c r="D72" s="68" t="str">
        <f>'36. Generic chemical products'!D5</f>
        <v>kg</v>
      </c>
      <c r="E72" s="68" t="str">
        <f>'36. Generic chemical products'!E5</f>
        <v>MSDS</v>
      </c>
      <c r="F72" s="68"/>
      <c r="G72" s="68" t="str">
        <f>'36. Generic chemical products'!G5</f>
        <v>-</v>
      </c>
      <c r="H72" s="68">
        <f>'36. Generic chemical products'!H5</f>
        <v>0</v>
      </c>
      <c r="I72" s="68">
        <f>'36. Generic chemical products'!I5</f>
        <v>0</v>
      </c>
      <c r="J72" s="68">
        <f>'36. Generic chemical products'!J5</f>
        <v>0</v>
      </c>
      <c r="K72" s="68">
        <f>'36. Generic chemical products'!K5</f>
        <v>0</v>
      </c>
      <c r="L72" s="68"/>
      <c r="M72" s="68" t="str">
        <f>'36. Generic chemical products'!M5</f>
        <v>Polyacrylic acid, sodium salt</v>
      </c>
      <c r="N72" s="68" t="str">
        <f>'36. Generic chemical products'!N5</f>
        <v>river</v>
      </c>
      <c r="O72" s="68">
        <f>'36. Generic chemical products'!O5</f>
        <v>9.9000000000000008E-3</v>
      </c>
      <c r="P72" s="68" t="str">
        <f>'36. Generic chemical products'!P5</f>
        <v>kg</v>
      </c>
      <c r="Q72" s="68" t="str">
        <f>'36. Generic chemical products'!Q5</f>
        <v>1% of polymer content remains as monomers from the production process.</v>
      </c>
      <c r="R72" s="68">
        <f>'36. Generic chemical products'!R5</f>
        <v>0</v>
      </c>
      <c r="S72" s="68">
        <f>'36. Generic chemical products'!S5</f>
        <v>0</v>
      </c>
      <c r="T72" s="68" t="str">
        <f>'36. Generic chemical products'!T5</f>
        <v>9003-04-7</v>
      </c>
      <c r="U72" s="68">
        <f>'36. Generic chemical products'!U5</f>
        <v>0</v>
      </c>
      <c r="V72" s="68">
        <f>'36. Generic chemical products'!V5</f>
        <v>0</v>
      </c>
      <c r="W72" s="68">
        <f>'36. Generic chemical products'!W5</f>
        <v>0</v>
      </c>
      <c r="X72" s="68">
        <f>'36. Generic chemical products'!X5</f>
        <v>0</v>
      </c>
      <c r="Y72" s="68">
        <f>'36. Generic chemical products'!Y5</f>
        <v>7.06</v>
      </c>
      <c r="Z72" s="68">
        <f>'36. Generic chemical products'!Z5</f>
        <v>78.599999999999994</v>
      </c>
      <c r="AA72" s="68" t="str">
        <f>'36. Generic chemical products'!AA5</f>
        <v>COSMEDE</v>
      </c>
      <c r="AB72" s="300">
        <f>$C$25*I72</f>
        <v>0</v>
      </c>
      <c r="AC72" s="301">
        <f>$C$35*O72</f>
        <v>7.9200000000000006E-4</v>
      </c>
      <c r="AD72" s="302">
        <f t="shared" ref="AD72:AD76" si="39">AB72*U72+AC72*W72</f>
        <v>0</v>
      </c>
      <c r="AE72" s="302">
        <f t="shared" ref="AE72:AE76" si="40">AB72*V72+AC72*X72</f>
        <v>0</v>
      </c>
      <c r="AF72" s="303">
        <f t="shared" ref="AF72:AF76" si="41">AB72*Y72+AC72*Z72</f>
        <v>6.22512E-2</v>
      </c>
      <c r="AG72" s="303">
        <f t="shared" ref="AG72:AG76" si="42">AB72*U72</f>
        <v>0</v>
      </c>
      <c r="AH72" s="303">
        <f t="shared" ref="AH72:AH76" si="43">AB72*V72</f>
        <v>0</v>
      </c>
      <c r="AI72" s="303">
        <f t="shared" ref="AI72:AI76" si="44">AB72*Y72</f>
        <v>0</v>
      </c>
      <c r="AJ72" s="303">
        <f t="shared" ref="AJ72:AJ76" si="45">AC72*W72</f>
        <v>0</v>
      </c>
      <c r="AK72" s="303">
        <f t="shared" ref="AK72:AK76" si="46">AC72*X72</f>
        <v>0</v>
      </c>
      <c r="AL72" s="303">
        <f t="shared" ref="AL72:AL76" si="47">AC72*Z72</f>
        <v>6.22512E-2</v>
      </c>
      <c r="AM72" s="304">
        <f t="shared" ref="AM72:AM76" si="48">AG72+AJ72</f>
        <v>0</v>
      </c>
      <c r="AN72" s="305">
        <f t="shared" ref="AN72:AN76" si="49">AH72+AK72</f>
        <v>0</v>
      </c>
      <c r="AO72" s="306">
        <f t="shared" ref="AO72:AO76" si="50">AI72+AL72</f>
        <v>6.22512E-2</v>
      </c>
    </row>
    <row r="73" spans="1:41" s="51" customFormat="1" ht="15" customHeight="1" x14ac:dyDescent="0.2">
      <c r="A73" s="68" t="str">
        <f>'36. Generic chemical products'!A6</f>
        <v>Detergent, average (Ultravon EL)</v>
      </c>
      <c r="B73" s="68" t="str">
        <f>'36. Generic chemical products'!B6</f>
        <v>Oxirane, methyl-, polymer with oxirane, decyl ether</v>
      </c>
      <c r="C73" s="68">
        <f>'36. Generic chemical products'!C6</f>
        <v>0.25</v>
      </c>
      <c r="D73" s="68" t="str">
        <f>'36. Generic chemical products'!D6</f>
        <v>kg</v>
      </c>
      <c r="E73" s="68" t="str">
        <f>'36. Generic chemical products'!E6</f>
        <v>MSDS</v>
      </c>
      <c r="F73" s="68"/>
      <c r="G73" s="68" t="str">
        <f>'36. Generic chemical products'!G6</f>
        <v>-</v>
      </c>
      <c r="H73" s="68">
        <f>'36. Generic chemical products'!H6</f>
        <v>0</v>
      </c>
      <c r="I73" s="68">
        <f>'36. Generic chemical products'!I6</f>
        <v>0</v>
      </c>
      <c r="J73" s="68">
        <f>'36. Generic chemical products'!J6</f>
        <v>0</v>
      </c>
      <c r="K73" s="68">
        <f>'36. Generic chemical products'!K6</f>
        <v>0</v>
      </c>
      <c r="L73" s="68"/>
      <c r="M73" s="68" t="str">
        <f>'36. Generic chemical products'!M6</f>
        <v>Oxirane, methyl-, polymer with oxirane, decyl ether</v>
      </c>
      <c r="N73" s="68" t="str">
        <f>'36. Generic chemical products'!N6</f>
        <v>river</v>
      </c>
      <c r="O73" s="68">
        <f>'36. Generic chemical products'!O6</f>
        <v>2.5000000000000001E-2</v>
      </c>
      <c r="P73" s="68" t="str">
        <f>'36. Generic chemical products'!P6</f>
        <v>kg</v>
      </c>
      <c r="Q73" s="68">
        <f>'36. Generic chemical products'!Q6</f>
        <v>0</v>
      </c>
      <c r="R73" s="68">
        <f>'36. Generic chemical products'!R6</f>
        <v>0</v>
      </c>
      <c r="S73" s="68">
        <f>'36. Generic chemical products'!S6</f>
        <v>0</v>
      </c>
      <c r="T73" s="68" t="str">
        <f>'36. Generic chemical products'!T6</f>
        <v>37251-67-5</v>
      </c>
      <c r="U73" s="68">
        <f>'36. Generic chemical products'!U6</f>
        <v>0</v>
      </c>
      <c r="V73" s="68">
        <f>'36. Generic chemical products'!V6</f>
        <v>1.2009414857886904E-7</v>
      </c>
      <c r="W73" s="68">
        <f>'36. Generic chemical products'!W6</f>
        <v>0</v>
      </c>
      <c r="X73" s="68">
        <f>'36. Generic chemical products'!X6</f>
        <v>3.2843909509658706E-7</v>
      </c>
      <c r="Y73" s="68">
        <f>'36. Generic chemical products'!Y6</f>
        <v>14.526941022240393</v>
      </c>
      <c r="Z73" s="68">
        <f>'36. Generic chemical products'!Z6</f>
        <v>111.251141519207</v>
      </c>
      <c r="AA73" s="68" t="str">
        <f>'36. Generic chemical products'!AA6</f>
        <v>Roos 2017</v>
      </c>
      <c r="AB73" s="300">
        <f>$C$25*I73</f>
        <v>0</v>
      </c>
      <c r="AC73" s="301">
        <f>$C$35*O73</f>
        <v>2E-3</v>
      </c>
      <c r="AD73" s="302">
        <f t="shared" si="39"/>
        <v>0</v>
      </c>
      <c r="AE73" s="302">
        <f t="shared" si="40"/>
        <v>6.5687819019317409E-10</v>
      </c>
      <c r="AF73" s="303">
        <f t="shared" si="41"/>
        <v>0.22250228303841399</v>
      </c>
      <c r="AG73" s="303">
        <f t="shared" si="42"/>
        <v>0</v>
      </c>
      <c r="AH73" s="303">
        <f t="shared" si="43"/>
        <v>0</v>
      </c>
      <c r="AI73" s="303">
        <f t="shared" si="44"/>
        <v>0</v>
      </c>
      <c r="AJ73" s="303">
        <f t="shared" si="45"/>
        <v>0</v>
      </c>
      <c r="AK73" s="303">
        <f t="shared" si="46"/>
        <v>6.5687819019317409E-10</v>
      </c>
      <c r="AL73" s="303">
        <f t="shared" si="47"/>
        <v>0.22250228303841399</v>
      </c>
      <c r="AM73" s="304">
        <f t="shared" si="48"/>
        <v>0</v>
      </c>
      <c r="AN73" s="305">
        <f t="shared" si="49"/>
        <v>6.5687819019317409E-10</v>
      </c>
      <c r="AO73" s="306">
        <f t="shared" si="50"/>
        <v>0.22250228303841399</v>
      </c>
    </row>
    <row r="74" spans="1:41" s="51" customFormat="1" ht="15" customHeight="1" x14ac:dyDescent="0.2">
      <c r="A74" s="68" t="str">
        <f>'36. Generic chemical products'!A7</f>
        <v>Detergent, average (Ultravon EL)</v>
      </c>
      <c r="B74" s="68" t="str">
        <f>'36. Generic chemical products'!B7</f>
        <v>Ethoxylated fatty alcohol (&gt;6 EO)</v>
      </c>
      <c r="C74" s="68">
        <f>'36. Generic chemical products'!C7</f>
        <v>0.1</v>
      </c>
      <c r="D74" s="68" t="str">
        <f>'36. Generic chemical products'!D7</f>
        <v>kg</v>
      </c>
      <c r="E74" s="68" t="str">
        <f>'36. Generic chemical products'!E7</f>
        <v>MSDS</v>
      </c>
      <c r="F74" s="68"/>
      <c r="G74" s="68" t="str">
        <f>'36. Generic chemical products'!G7</f>
        <v>-</v>
      </c>
      <c r="H74" s="68">
        <f>'36. Generic chemical products'!H7</f>
        <v>0</v>
      </c>
      <c r="I74" s="68">
        <f>'36. Generic chemical products'!I7</f>
        <v>0</v>
      </c>
      <c r="J74" s="68">
        <f>'36. Generic chemical products'!J7</f>
        <v>0</v>
      </c>
      <c r="K74" s="68">
        <f>'36. Generic chemical products'!K7</f>
        <v>0</v>
      </c>
      <c r="L74" s="68"/>
      <c r="M74" s="68" t="str">
        <f>'36. Generic chemical products'!M7</f>
        <v>Alcohols, c12-14, ethoxylated</v>
      </c>
      <c r="N74" s="68" t="str">
        <f>'36. Generic chemical products'!N7</f>
        <v>river</v>
      </c>
      <c r="O74" s="68">
        <f>'36. Generic chemical products'!O7</f>
        <v>1.0000000000000002E-2</v>
      </c>
      <c r="P74" s="68" t="str">
        <f>'36. Generic chemical products'!P7</f>
        <v>kg</v>
      </c>
      <c r="Q74" s="68">
        <f>'36. Generic chemical products'!Q7</f>
        <v>0</v>
      </c>
      <c r="R74" s="68">
        <f>'36. Generic chemical products'!R7</f>
        <v>0</v>
      </c>
      <c r="S74" s="68">
        <f>'36. Generic chemical products'!S7</f>
        <v>0</v>
      </c>
      <c r="T74" s="68" t="str">
        <f>'36. Generic chemical products'!T7</f>
        <v>69011-36-5</v>
      </c>
      <c r="U74" s="68">
        <f>'36. Generic chemical products'!U7</f>
        <v>0</v>
      </c>
      <c r="V74" s="68">
        <f>'36. Generic chemical products'!V7</f>
        <v>0</v>
      </c>
      <c r="W74" s="68">
        <f>'36. Generic chemical products'!W7</f>
        <v>0</v>
      </c>
      <c r="X74" s="68">
        <f>'36. Generic chemical products'!X7</f>
        <v>0</v>
      </c>
      <c r="Y74" s="68">
        <f>'36. Generic chemical products'!Y7</f>
        <v>47</v>
      </c>
      <c r="Z74" s="68">
        <f>'36. Generic chemical products'!Z7</f>
        <v>913</v>
      </c>
      <c r="AA74" s="68" t="str">
        <f>'36. Generic chemical products'!AA7</f>
        <v>COSMEDE</v>
      </c>
      <c r="AB74" s="300">
        <f>$C$25*I74</f>
        <v>0</v>
      </c>
      <c r="AC74" s="301">
        <f>$C$35*O74</f>
        <v>8.0000000000000015E-4</v>
      </c>
      <c r="AD74" s="302">
        <f t="shared" si="39"/>
        <v>0</v>
      </c>
      <c r="AE74" s="302">
        <f t="shared" si="40"/>
        <v>0</v>
      </c>
      <c r="AF74" s="303">
        <f t="shared" si="41"/>
        <v>0.73040000000000016</v>
      </c>
      <c r="AG74" s="303">
        <f t="shared" si="42"/>
        <v>0</v>
      </c>
      <c r="AH74" s="303">
        <f t="shared" si="43"/>
        <v>0</v>
      </c>
      <c r="AI74" s="303">
        <f t="shared" si="44"/>
        <v>0</v>
      </c>
      <c r="AJ74" s="303">
        <f t="shared" si="45"/>
        <v>0</v>
      </c>
      <c r="AK74" s="303">
        <f t="shared" si="46"/>
        <v>0</v>
      </c>
      <c r="AL74" s="303">
        <f t="shared" si="47"/>
        <v>0.73040000000000016</v>
      </c>
      <c r="AM74" s="304">
        <f t="shared" si="48"/>
        <v>0</v>
      </c>
      <c r="AN74" s="305">
        <f t="shared" si="49"/>
        <v>0</v>
      </c>
      <c r="AO74" s="306">
        <f t="shared" si="50"/>
        <v>0.73040000000000016</v>
      </c>
    </row>
    <row r="75" spans="1:41" s="51" customFormat="1" ht="15" customHeight="1" x14ac:dyDescent="0.2">
      <c r="A75" s="68" t="str">
        <f>'36. Generic chemical products'!A8</f>
        <v>Detergent, average (Ultravon EL)</v>
      </c>
      <c r="B75" s="68" t="str">
        <f>'36. Generic chemical products'!B8</f>
        <v>Sodium mono(2-ethylhexyl)estersulfate</v>
      </c>
      <c r="C75" s="68">
        <f>'36. Generic chemical products'!C8</f>
        <v>0.05</v>
      </c>
      <c r="D75" s="68" t="str">
        <f>'36. Generic chemical products'!D8</f>
        <v>kg</v>
      </c>
      <c r="E75" s="68" t="str">
        <f>'36. Generic chemical products'!E8</f>
        <v>MSDS</v>
      </c>
      <c r="F75" s="68"/>
      <c r="G75" s="68" t="str">
        <f>'36. Generic chemical products'!G8</f>
        <v>-</v>
      </c>
      <c r="H75" s="68">
        <f>'36. Generic chemical products'!H8</f>
        <v>0</v>
      </c>
      <c r="I75" s="68">
        <f>'36. Generic chemical products'!I8</f>
        <v>0</v>
      </c>
      <c r="J75" s="68">
        <f>'36. Generic chemical products'!J8</f>
        <v>0</v>
      </c>
      <c r="K75" s="68">
        <f>'36. Generic chemical products'!K8</f>
        <v>0</v>
      </c>
      <c r="L75" s="68"/>
      <c r="M75" s="68" t="str">
        <f>'36. Generic chemical products'!M8</f>
        <v>Sodium mono(2-ethylhexyl)estersulfate</v>
      </c>
      <c r="N75" s="68" t="str">
        <f>'36. Generic chemical products'!N8</f>
        <v>river</v>
      </c>
      <c r="O75" s="68">
        <f>'36. Generic chemical products'!O8</f>
        <v>5.000000000000001E-3</v>
      </c>
      <c r="P75" s="68" t="str">
        <f>'36. Generic chemical products'!P8</f>
        <v>kg</v>
      </c>
      <c r="Q75" s="68">
        <f>'36. Generic chemical products'!Q8</f>
        <v>0</v>
      </c>
      <c r="R75" s="68">
        <f>'36. Generic chemical products'!R8</f>
        <v>0</v>
      </c>
      <c r="S75" s="68">
        <f>'36. Generic chemical products'!S8</f>
        <v>0</v>
      </c>
      <c r="T75" s="68" t="str">
        <f>'36. Generic chemical products'!T8</f>
        <v>126-92-1</v>
      </c>
      <c r="U75" s="68">
        <f>'36. Generic chemical products'!U8</f>
        <v>0</v>
      </c>
      <c r="V75" s="68">
        <f>'36. Generic chemical products'!V8</f>
        <v>0</v>
      </c>
      <c r="W75" s="68">
        <f>'36. Generic chemical products'!W8</f>
        <v>0</v>
      </c>
      <c r="X75" s="68">
        <f>'36. Generic chemical products'!X8</f>
        <v>0</v>
      </c>
      <c r="Y75" s="68">
        <f>'36. Generic chemical products'!Y8</f>
        <v>109.72</v>
      </c>
      <c r="Z75" s="68">
        <f>'36. Generic chemical products'!Z8</f>
        <v>110</v>
      </c>
      <c r="AA75" s="68" t="str">
        <f>'36. Generic chemical products'!AA8</f>
        <v>COSMEDE</v>
      </c>
      <c r="AB75" s="300">
        <f>$C$25*I75</f>
        <v>0</v>
      </c>
      <c r="AC75" s="301">
        <f>$C$35*O75</f>
        <v>4.0000000000000007E-4</v>
      </c>
      <c r="AD75" s="302">
        <f t="shared" si="39"/>
        <v>0</v>
      </c>
      <c r="AE75" s="302">
        <f t="shared" si="40"/>
        <v>0</v>
      </c>
      <c r="AF75" s="303">
        <f t="shared" si="41"/>
        <v>4.4000000000000011E-2</v>
      </c>
      <c r="AG75" s="303">
        <f t="shared" si="42"/>
        <v>0</v>
      </c>
      <c r="AH75" s="303">
        <f t="shared" si="43"/>
        <v>0</v>
      </c>
      <c r="AI75" s="303">
        <f t="shared" si="44"/>
        <v>0</v>
      </c>
      <c r="AJ75" s="303">
        <f t="shared" si="45"/>
        <v>0</v>
      </c>
      <c r="AK75" s="303">
        <f t="shared" si="46"/>
        <v>0</v>
      </c>
      <c r="AL75" s="303">
        <f t="shared" si="47"/>
        <v>4.4000000000000011E-2</v>
      </c>
      <c r="AM75" s="304">
        <f t="shared" si="48"/>
        <v>0</v>
      </c>
      <c r="AN75" s="305">
        <f t="shared" si="49"/>
        <v>0</v>
      </c>
      <c r="AO75" s="306">
        <f t="shared" si="50"/>
        <v>4.4000000000000011E-2</v>
      </c>
    </row>
    <row r="76" spans="1:41" s="139" customFormat="1" ht="15" customHeight="1" x14ac:dyDescent="0.2">
      <c r="A76" s="193" t="str">
        <f>'36. Generic chemical products'!A9</f>
        <v>Detergent, average (Ultravon EL)</v>
      </c>
      <c r="B76" s="193" t="str">
        <f>'36. Generic chemical products'!B9</f>
        <v>Ethylene oxide</v>
      </c>
      <c r="C76" s="193">
        <f>'36. Generic chemical products'!C9</f>
        <v>0</v>
      </c>
      <c r="D76" s="193">
        <f>'36. Generic chemical products'!D9</f>
        <v>0</v>
      </c>
      <c r="E76" s="193" t="str">
        <f>'36. Generic chemical products'!E9</f>
        <v>&lt;= 0.1% in alcohol ethoxylates</v>
      </c>
      <c r="F76" s="193"/>
      <c r="G76" s="193" t="str">
        <f>'36. Generic chemical products'!G9</f>
        <v>Ethylene oxide</v>
      </c>
      <c r="H76" s="193" t="str">
        <f>'36. Generic chemical products'!H9</f>
        <v>high. pop.</v>
      </c>
      <c r="I76" s="193">
        <f>'36. Generic chemical products'!I9</f>
        <v>1.0000000000000001E-7</v>
      </c>
      <c r="J76" s="193" t="str">
        <f>'36. Generic chemical products'!J9</f>
        <v>kg</v>
      </c>
      <c r="K76" s="193">
        <f>'36. Generic chemical products'!K9</f>
        <v>0</v>
      </c>
      <c r="L76" s="193"/>
      <c r="M76" s="193" t="str">
        <f>'36. Generic chemical products'!M9</f>
        <v>Ethylene oxide</v>
      </c>
      <c r="N76" s="193" t="str">
        <f>'36. Generic chemical products'!N9</f>
        <v>river</v>
      </c>
      <c r="O76" s="193">
        <f>'36. Generic chemical products'!O9</f>
        <v>1.0000000000000001E-5</v>
      </c>
      <c r="P76" s="193" t="str">
        <f>'36. Generic chemical products'!P9</f>
        <v>kg</v>
      </c>
      <c r="Q76" s="193" t="str">
        <f>'36. Generic chemical products'!Q9</f>
        <v>&lt;= 0.001 in alcohol ethoxylates</v>
      </c>
      <c r="R76" s="193">
        <f>'36. Generic chemical products'!R9</f>
        <v>0</v>
      </c>
      <c r="S76" s="193">
        <f>'36. Generic chemical products'!S9</f>
        <v>0</v>
      </c>
      <c r="T76" s="193" t="str">
        <f>'36. Generic chemical products'!T9</f>
        <v>75-21-8</v>
      </c>
      <c r="U76" s="193">
        <f>'36. Generic chemical products'!U9</f>
        <v>1.0252176328593382E-6</v>
      </c>
      <c r="V76" s="193">
        <f>'36. Generic chemical products'!V9</f>
        <v>0</v>
      </c>
      <c r="W76" s="193">
        <f>'36. Generic chemical products'!W9</f>
        <v>8.6533271568247147E-7</v>
      </c>
      <c r="X76" s="193">
        <f>'36. Generic chemical products'!X9</f>
        <v>0</v>
      </c>
      <c r="Y76" s="193">
        <f>'36. Generic chemical products'!Y9</f>
        <v>0.65406517859613422</v>
      </c>
      <c r="Z76" s="193">
        <f>'36. Generic chemical products'!Z9</f>
        <v>11.248588270889815</v>
      </c>
      <c r="AA76" s="193" t="str">
        <f>'36. Generic chemical products'!AA9</f>
        <v>USEtox</v>
      </c>
      <c r="AB76" s="307">
        <f>$C$25*I76</f>
        <v>8.0000000000000005E-9</v>
      </c>
      <c r="AC76" s="308">
        <f>$C$35*O76</f>
        <v>8.0000000000000007E-7</v>
      </c>
      <c r="AD76" s="309">
        <f t="shared" si="39"/>
        <v>7.0046791360885192E-13</v>
      </c>
      <c r="AE76" s="309">
        <f t="shared" si="40"/>
        <v>0</v>
      </c>
      <c r="AF76" s="310">
        <f t="shared" si="41"/>
        <v>9.0041031381406236E-6</v>
      </c>
      <c r="AG76" s="310">
        <f t="shared" si="42"/>
        <v>8.2017410628747066E-15</v>
      </c>
      <c r="AH76" s="310">
        <f t="shared" si="43"/>
        <v>0</v>
      </c>
      <c r="AI76" s="310">
        <f t="shared" si="44"/>
        <v>5.2325214287690738E-9</v>
      </c>
      <c r="AJ76" s="310">
        <f t="shared" si="45"/>
        <v>6.9226617254597722E-13</v>
      </c>
      <c r="AK76" s="310">
        <f t="shared" si="46"/>
        <v>0</v>
      </c>
      <c r="AL76" s="310">
        <f t="shared" si="47"/>
        <v>8.9988706167118538E-6</v>
      </c>
      <c r="AM76" s="311">
        <f t="shared" si="48"/>
        <v>7.0046791360885192E-13</v>
      </c>
      <c r="AN76" s="312">
        <f t="shared" si="49"/>
        <v>0</v>
      </c>
      <c r="AO76" s="313">
        <f t="shared" si="50"/>
        <v>9.0041031381406236E-6</v>
      </c>
    </row>
    <row r="77" spans="1:41" s="51" customFormat="1" ht="15" customHeight="1" x14ac:dyDescent="0.2">
      <c r="A77" s="70" t="str">
        <f>'36. Generic chemical products'!A20</f>
        <v>Softener, average (Sapamine SFC)</v>
      </c>
      <c r="B77" s="70" t="str">
        <f>'36. Generic chemical products'!B20</f>
        <v>Octadecanoic acid</v>
      </c>
      <c r="C77" s="70">
        <f>'36. Generic chemical products'!C20</f>
        <v>0.2</v>
      </c>
      <c r="D77" s="70" t="str">
        <f>'36. Generic chemical products'!D20</f>
        <v>kg</v>
      </c>
      <c r="E77" s="70" t="str">
        <f>'36. Generic chemical products'!E20</f>
        <v>MSDS</v>
      </c>
      <c r="F77" s="70"/>
      <c r="G77" s="70" t="str">
        <f>'36. Generic chemical products'!G20</f>
        <v>-</v>
      </c>
      <c r="H77" s="70">
        <f>'36. Generic chemical products'!H20</f>
        <v>0</v>
      </c>
      <c r="I77" s="70">
        <f>'36. Generic chemical products'!I20</f>
        <v>0</v>
      </c>
      <c r="J77" s="70">
        <f>'36. Generic chemical products'!J20</f>
        <v>0</v>
      </c>
      <c r="K77" s="70">
        <f>'36. Generic chemical products'!K20</f>
        <v>0</v>
      </c>
      <c r="L77" s="70"/>
      <c r="M77" s="70" t="str">
        <f>'36. Generic chemical products'!M20</f>
        <v>Octadecanoic acid</v>
      </c>
      <c r="N77" s="70" t="str">
        <f>'36. Generic chemical products'!N20</f>
        <v>river</v>
      </c>
      <c r="O77" s="70">
        <f>'36. Generic chemical products'!O20</f>
        <v>1.0000000000000002E-3</v>
      </c>
      <c r="P77" s="70" t="str">
        <f>'36. Generic chemical products'!P20</f>
        <v>kg</v>
      </c>
      <c r="Q77" s="70" t="str">
        <f>'36. Generic chemical products'!Q20</f>
        <v>95% on fabric</v>
      </c>
      <c r="R77" s="70">
        <f>'36. Generic chemical products'!R20</f>
        <v>0</v>
      </c>
      <c r="S77" s="70">
        <f>'36. Generic chemical products'!S20</f>
        <v>0</v>
      </c>
      <c r="T77" s="70" t="str">
        <f>'36. Generic chemical products'!T20</f>
        <v>57-11-4</v>
      </c>
      <c r="U77" s="70">
        <f>'36. Generic chemical products'!U20</f>
        <v>0</v>
      </c>
      <c r="V77" s="70">
        <f>'36. Generic chemical products'!V20</f>
        <v>0</v>
      </c>
      <c r="W77" s="70">
        <f>'36. Generic chemical products'!W20</f>
        <v>0</v>
      </c>
      <c r="X77" s="70">
        <f>'36. Generic chemical products'!X20</f>
        <v>0</v>
      </c>
      <c r="Y77" s="70">
        <f>'36. Generic chemical products'!Y20</f>
        <v>9.2999999999999999E-2</v>
      </c>
      <c r="Z77" s="70">
        <f>'36. Generic chemical products'!Z20</f>
        <v>33.799999999999997</v>
      </c>
      <c r="AA77" s="70" t="str">
        <f>'36. Generic chemical products'!AA20</f>
        <v>COSMEDE</v>
      </c>
      <c r="AB77" s="300">
        <f>$C$26*I77</f>
        <v>0</v>
      </c>
      <c r="AC77" s="301">
        <f>$C$36*O77</f>
        <v>3.0000000000000008E-5</v>
      </c>
      <c r="AD77" s="302">
        <f t="shared" si="1"/>
        <v>0</v>
      </c>
      <c r="AE77" s="302">
        <f t="shared" si="2"/>
        <v>0</v>
      </c>
      <c r="AF77" s="303">
        <f t="shared" si="3"/>
        <v>1.0140000000000001E-3</v>
      </c>
      <c r="AG77" s="303">
        <f t="shared" si="4"/>
        <v>0</v>
      </c>
      <c r="AH77" s="303">
        <f t="shared" si="5"/>
        <v>0</v>
      </c>
      <c r="AI77" s="303">
        <f t="shared" si="6"/>
        <v>0</v>
      </c>
      <c r="AJ77" s="303">
        <f t="shared" si="7"/>
        <v>0</v>
      </c>
      <c r="AK77" s="303">
        <f t="shared" si="8"/>
        <v>0</v>
      </c>
      <c r="AL77" s="303">
        <f t="shared" si="9"/>
        <v>1.0140000000000001E-3</v>
      </c>
      <c r="AM77" s="304">
        <f t="shared" si="10"/>
        <v>0</v>
      </c>
      <c r="AN77" s="305">
        <f t="shared" si="10"/>
        <v>0</v>
      </c>
      <c r="AO77" s="306">
        <f t="shared" si="10"/>
        <v>1.0140000000000001E-3</v>
      </c>
    </row>
    <row r="78" spans="1:41" s="139" customFormat="1" ht="15" customHeight="1" x14ac:dyDescent="0.2">
      <c r="A78" s="136" t="str">
        <f>'36. Generic chemical products'!A21</f>
        <v>Softener, average (Sapamine SFC)</v>
      </c>
      <c r="B78" s="136" t="str">
        <f>'36. Generic chemical products'!B21</f>
        <v>Diethanolamine</v>
      </c>
      <c r="C78" s="136">
        <f>'36. Generic chemical products'!C21</f>
        <v>0.03</v>
      </c>
      <c r="D78" s="136" t="str">
        <f>'36. Generic chemical products'!D21</f>
        <v>kg</v>
      </c>
      <c r="E78" s="136" t="str">
        <f>'36. Generic chemical products'!E21</f>
        <v>MSDS</v>
      </c>
      <c r="F78" s="136"/>
      <c r="G78" s="136" t="str">
        <f>'36. Generic chemical products'!G21</f>
        <v>-</v>
      </c>
      <c r="H78" s="136">
        <f>'36. Generic chemical products'!H21</f>
        <v>0</v>
      </c>
      <c r="I78" s="136">
        <f>'36. Generic chemical products'!I21</f>
        <v>0</v>
      </c>
      <c r="J78" s="136">
        <f>'36. Generic chemical products'!J21</f>
        <v>0</v>
      </c>
      <c r="K78" s="136">
        <f>'36. Generic chemical products'!K21</f>
        <v>0</v>
      </c>
      <c r="L78" s="136"/>
      <c r="M78" s="136" t="str">
        <f>'36. Generic chemical products'!M21</f>
        <v>Diethanolamine</v>
      </c>
      <c r="N78" s="136" t="str">
        <f>'36. Generic chemical products'!N21</f>
        <v>river</v>
      </c>
      <c r="O78" s="136">
        <f>'36. Generic chemical products'!O21</f>
        <v>1.5000000000000001E-4</v>
      </c>
      <c r="P78" s="136" t="str">
        <f>'36. Generic chemical products'!P21</f>
        <v>kg</v>
      </c>
      <c r="Q78" s="136" t="str">
        <f>'36. Generic chemical products'!Q21</f>
        <v>95% on fabric</v>
      </c>
      <c r="R78" s="136">
        <f>'36. Generic chemical products'!R21</f>
        <v>0</v>
      </c>
      <c r="S78" s="136">
        <f>'36. Generic chemical products'!S21</f>
        <v>0</v>
      </c>
      <c r="T78" s="136" t="str">
        <f>'36. Generic chemical products'!T21</f>
        <v>111-42-2</v>
      </c>
      <c r="U78" s="136">
        <f>'36. Generic chemical products'!U21</f>
        <v>0</v>
      </c>
      <c r="V78" s="136">
        <f>'36. Generic chemical products'!V21</f>
        <v>0</v>
      </c>
      <c r="W78" s="136">
        <f>'36. Generic chemical products'!W21</f>
        <v>0</v>
      </c>
      <c r="X78" s="136">
        <f>'36. Generic chemical products'!X21</f>
        <v>0</v>
      </c>
      <c r="Y78" s="136">
        <f>'36. Generic chemical products'!Y21</f>
        <v>0.92690099117499369</v>
      </c>
      <c r="Z78" s="136">
        <f>'36. Generic chemical products'!Z21</f>
        <v>47.139947928233759</v>
      </c>
      <c r="AA78" s="136" t="str">
        <f>'36. Generic chemical products'!AA21</f>
        <v>USEtox</v>
      </c>
      <c r="AB78" s="307">
        <f>$C$26*I78</f>
        <v>0</v>
      </c>
      <c r="AC78" s="308">
        <f>$C$36*O78</f>
        <v>4.5000000000000001E-6</v>
      </c>
      <c r="AD78" s="309">
        <f t="shared" si="1"/>
        <v>0</v>
      </c>
      <c r="AE78" s="309">
        <f t="shared" si="2"/>
        <v>0</v>
      </c>
      <c r="AF78" s="310">
        <f t="shared" si="3"/>
        <v>2.1212976567705193E-4</v>
      </c>
      <c r="AG78" s="310">
        <f t="shared" si="4"/>
        <v>0</v>
      </c>
      <c r="AH78" s="310">
        <f t="shared" si="5"/>
        <v>0</v>
      </c>
      <c r="AI78" s="310">
        <f t="shared" si="6"/>
        <v>0</v>
      </c>
      <c r="AJ78" s="310">
        <f t="shared" si="7"/>
        <v>0</v>
      </c>
      <c r="AK78" s="310">
        <f t="shared" si="8"/>
        <v>0</v>
      </c>
      <c r="AL78" s="310">
        <f t="shared" si="9"/>
        <v>2.1212976567705193E-4</v>
      </c>
      <c r="AM78" s="311">
        <f t="shared" si="10"/>
        <v>0</v>
      </c>
      <c r="AN78" s="312">
        <f t="shared" si="10"/>
        <v>0</v>
      </c>
      <c r="AO78" s="313">
        <f t="shared" si="10"/>
        <v>2.1212976567705193E-4</v>
      </c>
    </row>
    <row r="79" spans="1:41" s="51" customFormat="1" ht="15" customHeight="1" x14ac:dyDescent="0.2">
      <c r="A79" s="244"/>
      <c r="B79" s="54"/>
      <c r="C79" s="74"/>
      <c r="E79" s="64"/>
      <c r="H79" s="69"/>
      <c r="M79" s="69"/>
      <c r="P79" s="54"/>
      <c r="Q79" s="115"/>
      <c r="R79" s="115"/>
      <c r="S79" s="115"/>
      <c r="T79" s="115"/>
      <c r="U79" s="115"/>
      <c r="V79" s="115"/>
      <c r="W79" s="115"/>
      <c r="X79" s="283"/>
      <c r="Y79" s="314"/>
      <c r="Z79" s="315"/>
      <c r="AA79" s="315"/>
      <c r="AB79" s="283"/>
      <c r="AC79" s="283"/>
      <c r="AD79" s="177">
        <f>SUM(AD54:AD78)</f>
        <v>4.6167504125865925E-10</v>
      </c>
      <c r="AE79" s="177">
        <f t="shared" ref="AE79:AF79" si="51">SUM(AE54:AE78)</f>
        <v>1.2012190530144904E-9</v>
      </c>
      <c r="AF79" s="177">
        <f t="shared" si="51"/>
        <v>3.2396305020857037</v>
      </c>
      <c r="AG79" s="283"/>
      <c r="AH79" s="283"/>
      <c r="AI79" s="305"/>
      <c r="AJ79" s="305"/>
      <c r="AK79" s="305"/>
    </row>
    <row r="80" spans="1:41" x14ac:dyDescent="0.2">
      <c r="A80" s="259" t="s">
        <v>736</v>
      </c>
    </row>
    <row r="84" spans="1:1" x14ac:dyDescent="0.2">
      <c r="A84" s="35" t="s">
        <v>687</v>
      </c>
    </row>
    <row r="85" spans="1:1" x14ac:dyDescent="0.2">
      <c r="A85" s="244" t="s">
        <v>1102</v>
      </c>
    </row>
    <row r="86" spans="1:1" x14ac:dyDescent="0.2">
      <c r="A86" s="244" t="s">
        <v>1103</v>
      </c>
    </row>
    <row r="87" spans="1:1" x14ac:dyDescent="0.2">
      <c r="A87" t="s">
        <v>1068</v>
      </c>
    </row>
    <row r="88" spans="1:1" x14ac:dyDescent="0.2">
      <c r="A88" s="244" t="s">
        <v>1083</v>
      </c>
    </row>
    <row r="89" spans="1:1" x14ac:dyDescent="0.2">
      <c r="A89" s="244" t="s">
        <v>1104</v>
      </c>
    </row>
    <row r="90" spans="1:1" x14ac:dyDescent="0.2">
      <c r="A90" s="244" t="s">
        <v>1087</v>
      </c>
    </row>
    <row r="91" spans="1:1" x14ac:dyDescent="0.2">
      <c r="A91" s="244" t="s">
        <v>1105</v>
      </c>
    </row>
    <row r="92" spans="1:1" x14ac:dyDescent="0.2">
      <c r="A92" s="244" t="s">
        <v>1106</v>
      </c>
    </row>
    <row r="93" spans="1:1" x14ac:dyDescent="0.2">
      <c r="A93" s="244" t="s">
        <v>1097</v>
      </c>
    </row>
    <row r="94" spans="1:1" x14ac:dyDescent="0.2">
      <c r="A94" s="244" t="s">
        <v>1162</v>
      </c>
    </row>
    <row r="95" spans="1:1" x14ac:dyDescent="0.2">
      <c r="A95" s="244" t="s">
        <v>1091</v>
      </c>
    </row>
    <row r="96" spans="1:1" x14ac:dyDescent="0.2">
      <c r="A96" s="244" t="s">
        <v>1107</v>
      </c>
    </row>
    <row r="97" spans="1:1" x14ac:dyDescent="0.2">
      <c r="A97" t="s">
        <v>1098</v>
      </c>
    </row>
    <row r="98" spans="1:1" x14ac:dyDescent="0.2">
      <c r="A98" s="244" t="s">
        <v>1099</v>
      </c>
    </row>
    <row r="99" spans="1:1" x14ac:dyDescent="0.2">
      <c r="A99" s="244" t="s">
        <v>1070</v>
      </c>
    </row>
    <row r="100" spans="1:1" x14ac:dyDescent="0.2">
      <c r="A100" s="244" t="s">
        <v>1096</v>
      </c>
    </row>
    <row r="101" spans="1:1" x14ac:dyDescent="0.2">
      <c r="A101" s="244" t="s">
        <v>1108</v>
      </c>
    </row>
    <row r="102" spans="1:1" x14ac:dyDescent="0.2">
      <c r="A102" s="244" t="s">
        <v>1109</v>
      </c>
    </row>
    <row r="103" spans="1:1" x14ac:dyDescent="0.2">
      <c r="A103" s="244" t="s">
        <v>1072</v>
      </c>
    </row>
    <row r="104" spans="1:1" x14ac:dyDescent="0.2">
      <c r="A104" s="244" t="s">
        <v>1100</v>
      </c>
    </row>
    <row r="105" spans="1:1" x14ac:dyDescent="0.2">
      <c r="A105" s="244" t="s">
        <v>1101</v>
      </c>
    </row>
  </sheetData>
  <pageMargins left="0.7" right="0.7" top="0.75" bottom="0.75"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120"/>
  <sheetViews>
    <sheetView zoomScale="60" zoomScaleNormal="60" workbookViewId="0">
      <selection activeCell="G42" sqref="G42"/>
    </sheetView>
  </sheetViews>
  <sheetFormatPr defaultRowHeight="12.75" x14ac:dyDescent="0.2"/>
  <cols>
    <col min="1" max="1" width="56.85546875" style="244" customWidth="1"/>
    <col min="2" max="2" width="28.7109375" style="244" customWidth="1"/>
    <col min="3" max="3" width="14.7109375" style="244" customWidth="1"/>
    <col min="4" max="4" width="9.140625" style="244" customWidth="1"/>
    <col min="5" max="5" width="38.140625" style="244" customWidth="1"/>
    <col min="6" max="6" width="9.140625" style="244" customWidth="1"/>
    <col min="7" max="7" width="47.42578125" style="244" customWidth="1"/>
    <col min="8" max="8" width="28" style="244" customWidth="1"/>
    <col min="9" max="10" width="9.140625" style="244" customWidth="1"/>
    <col min="11" max="11" width="22.85546875" style="244" customWidth="1"/>
    <col min="12" max="12" width="9.140625" style="244" customWidth="1"/>
    <col min="13" max="13" width="47.7109375" style="244" customWidth="1"/>
    <col min="14" max="14" width="18.85546875" style="244" customWidth="1"/>
    <col min="15" max="15" width="9.5703125" style="244" customWidth="1"/>
    <col min="16" max="16" width="10" style="244" customWidth="1"/>
    <col min="17" max="17" width="27.140625" style="244" customWidth="1"/>
    <col min="18" max="18" width="20.140625" style="244" customWidth="1"/>
    <col min="19" max="19" width="35.7109375" style="244" customWidth="1"/>
    <col min="20" max="24" width="16.28515625" style="244" customWidth="1"/>
    <col min="25" max="25" width="15.85546875" style="260" customWidth="1"/>
    <col min="26" max="26" width="10.140625" style="260" customWidth="1"/>
    <col min="27" max="27" width="9.140625" style="260" customWidth="1"/>
    <col min="28" max="28" width="9.140625" style="260"/>
    <col min="29" max="29" width="11" style="260" customWidth="1"/>
    <col min="30" max="30" width="15.7109375" style="260" bestFit="1" customWidth="1"/>
    <col min="31" max="31" width="9.140625" style="260"/>
    <col min="32" max="32" width="13.5703125" style="260" customWidth="1"/>
    <col min="33" max="33" width="9.5703125" style="260" customWidth="1"/>
    <col min="34" max="37" width="9.140625" style="260"/>
    <col min="38" max="16384" width="9.140625" style="244"/>
  </cols>
  <sheetData>
    <row r="1" spans="1:37" ht="16.5" thickBot="1" x14ac:dyDescent="0.3">
      <c r="A1" s="37" t="s">
        <v>817</v>
      </c>
      <c r="B1" s="38"/>
      <c r="C1" s="38" t="s">
        <v>217</v>
      </c>
      <c r="D1" s="38" t="s">
        <v>11</v>
      </c>
      <c r="E1" s="39" t="s">
        <v>180</v>
      </c>
      <c r="G1" s="263" t="s">
        <v>818</v>
      </c>
      <c r="H1" s="264"/>
      <c r="I1" s="264" t="s">
        <v>217</v>
      </c>
      <c r="J1" s="264" t="s">
        <v>11</v>
      </c>
      <c r="K1" s="265" t="s">
        <v>180</v>
      </c>
      <c r="M1" s="266" t="s">
        <v>819</v>
      </c>
      <c r="N1" s="267"/>
      <c r="O1" s="268" t="s">
        <v>217</v>
      </c>
      <c r="P1" s="268" t="s">
        <v>11</v>
      </c>
      <c r="Q1" s="269" t="s">
        <v>180</v>
      </c>
      <c r="S1" s="270" t="s">
        <v>820</v>
      </c>
      <c r="T1" s="271"/>
      <c r="U1" s="271" t="s">
        <v>217</v>
      </c>
      <c r="V1" s="271" t="s">
        <v>11</v>
      </c>
      <c r="W1" s="272" t="s">
        <v>180</v>
      </c>
      <c r="Y1" s="273" t="s">
        <v>821</v>
      </c>
      <c r="Z1" s="274"/>
      <c r="AA1" s="274" t="s">
        <v>217</v>
      </c>
      <c r="AB1" s="274" t="s">
        <v>11</v>
      </c>
      <c r="AC1" s="275" t="s">
        <v>180</v>
      </c>
      <c r="AF1" s="276" t="s">
        <v>710</v>
      </c>
      <c r="AJ1" s="244"/>
      <c r="AK1" s="244"/>
    </row>
    <row r="2" spans="1:37" x14ac:dyDescent="0.2">
      <c r="A2" s="277" t="s">
        <v>218</v>
      </c>
      <c r="B2" s="278"/>
      <c r="C2" s="278"/>
      <c r="D2" s="278"/>
      <c r="E2" s="279"/>
      <c r="G2" s="277" t="s">
        <v>218</v>
      </c>
      <c r="H2" s="278"/>
      <c r="I2" s="278"/>
      <c r="J2" s="278"/>
      <c r="K2" s="279"/>
      <c r="M2" s="277" t="s">
        <v>218</v>
      </c>
      <c r="N2" s="278"/>
      <c r="O2" s="278"/>
      <c r="P2" s="278"/>
      <c r="Q2" s="279"/>
      <c r="S2" s="277" t="s">
        <v>218</v>
      </c>
      <c r="T2" s="278"/>
      <c r="U2" s="278"/>
      <c r="V2" s="278"/>
      <c r="W2" s="279"/>
      <c r="Y2" s="277" t="s">
        <v>218</v>
      </c>
      <c r="Z2" s="278"/>
      <c r="AA2" s="278"/>
      <c r="AB2" s="278"/>
      <c r="AC2" s="279"/>
      <c r="AF2" s="244" t="s">
        <v>938</v>
      </c>
      <c r="AG2" s="260" t="s">
        <v>709</v>
      </c>
      <c r="AI2" s="244"/>
      <c r="AJ2" s="244"/>
      <c r="AK2" s="244"/>
    </row>
    <row r="3" spans="1:37" x14ac:dyDescent="0.2">
      <c r="A3" s="280" t="s">
        <v>822</v>
      </c>
      <c r="B3" s="281"/>
      <c r="C3" s="281">
        <v>1</v>
      </c>
      <c r="D3" s="281" t="s">
        <v>2</v>
      </c>
      <c r="E3" s="282"/>
      <c r="G3" s="280" t="s">
        <v>822</v>
      </c>
      <c r="H3" s="281"/>
      <c r="I3" s="281">
        <v>1</v>
      </c>
      <c r="J3" s="281" t="s">
        <v>2</v>
      </c>
      <c r="K3" s="282"/>
      <c r="M3" s="280" t="s">
        <v>822</v>
      </c>
      <c r="N3" s="281"/>
      <c r="O3" s="281">
        <v>1</v>
      </c>
      <c r="P3" s="281" t="s">
        <v>2</v>
      </c>
      <c r="Q3" s="282"/>
      <c r="S3" s="280" t="s">
        <v>822</v>
      </c>
      <c r="T3" s="281"/>
      <c r="U3" s="281">
        <v>1</v>
      </c>
      <c r="V3" s="281" t="s">
        <v>2</v>
      </c>
      <c r="W3" s="282"/>
      <c r="Y3" s="280" t="s">
        <v>822</v>
      </c>
      <c r="Z3" s="281"/>
      <c r="AA3" s="281">
        <v>1</v>
      </c>
      <c r="AB3" s="281" t="s">
        <v>2</v>
      </c>
      <c r="AC3" s="282"/>
      <c r="AE3" s="260" t="s">
        <v>260</v>
      </c>
      <c r="AF3" s="283">
        <v>1.88673576039152</v>
      </c>
      <c r="AJ3" s="244"/>
      <c r="AK3" s="244"/>
    </row>
    <row r="4" spans="1:37" s="1" customFormat="1" x14ac:dyDescent="0.2">
      <c r="A4" s="277" t="s">
        <v>183</v>
      </c>
      <c r="B4" s="278"/>
      <c r="C4" s="278"/>
      <c r="D4" s="278"/>
      <c r="E4" s="279"/>
      <c r="G4" s="277" t="s">
        <v>183</v>
      </c>
      <c r="H4" s="278"/>
      <c r="I4" s="278"/>
      <c r="J4" s="278"/>
      <c r="K4" s="279"/>
      <c r="M4" s="277" t="s">
        <v>183</v>
      </c>
      <c r="N4" s="278"/>
      <c r="O4" s="278"/>
      <c r="P4" s="278"/>
      <c r="Q4" s="279"/>
      <c r="S4" s="277" t="s">
        <v>183</v>
      </c>
      <c r="T4" s="278"/>
      <c r="U4" s="278"/>
      <c r="V4" s="278"/>
      <c r="W4" s="279"/>
      <c r="Y4" s="277" t="s">
        <v>183</v>
      </c>
      <c r="Z4" s="278"/>
      <c r="AA4" s="278"/>
      <c r="AB4" s="278"/>
      <c r="AC4" s="279"/>
      <c r="AD4" s="18"/>
      <c r="AE4" s="260" t="s">
        <v>261</v>
      </c>
      <c r="AF4" s="284">
        <v>3.9650598239397499E-4</v>
      </c>
      <c r="AG4" s="18"/>
      <c r="AH4" s="18"/>
      <c r="AI4" s="18"/>
    </row>
    <row r="5" spans="1:37" x14ac:dyDescent="0.2">
      <c r="A5" s="280" t="s">
        <v>184</v>
      </c>
      <c r="B5" s="281"/>
      <c r="C5" s="281">
        <f>0.001*5*15</f>
        <v>7.4999999999999997E-2</v>
      </c>
      <c r="D5" s="281" t="s">
        <v>185</v>
      </c>
      <c r="E5" s="373" t="s">
        <v>1360</v>
      </c>
      <c r="F5" s="244" t="s">
        <v>179</v>
      </c>
      <c r="G5" s="280" t="s">
        <v>184</v>
      </c>
      <c r="H5" s="281"/>
      <c r="I5" s="281">
        <f>0.001*3*15</f>
        <v>4.4999999999999998E-2</v>
      </c>
      <c r="J5" s="281" t="s">
        <v>185</v>
      </c>
      <c r="K5" s="373" t="s">
        <v>1361</v>
      </c>
      <c r="L5" t="s">
        <v>87</v>
      </c>
      <c r="M5" s="280" t="s">
        <v>184</v>
      </c>
      <c r="N5" s="281"/>
      <c r="O5" s="281">
        <f>0.001*20*15</f>
        <v>0.3</v>
      </c>
      <c r="P5" s="281" t="s">
        <v>185</v>
      </c>
      <c r="Q5" s="373" t="s">
        <v>1362</v>
      </c>
      <c r="R5" t="s">
        <v>87</v>
      </c>
      <c r="S5" s="280" t="s">
        <v>184</v>
      </c>
      <c r="T5" s="281"/>
      <c r="U5" s="281">
        <f>0.001*5*15</f>
        <v>7.4999999999999997E-2</v>
      </c>
      <c r="V5" s="281" t="s">
        <v>185</v>
      </c>
      <c r="W5" s="373" t="s">
        <v>1360</v>
      </c>
      <c r="X5" t="s">
        <v>87</v>
      </c>
      <c r="Y5" s="280" t="s">
        <v>184</v>
      </c>
      <c r="Z5" s="281"/>
      <c r="AA5" s="281">
        <f>0.001*5*15</f>
        <v>7.4999999999999997E-2</v>
      </c>
      <c r="AB5" s="281" t="s">
        <v>185</v>
      </c>
      <c r="AC5" s="373" t="s">
        <v>1360</v>
      </c>
      <c r="AD5" s="3" t="s">
        <v>87</v>
      </c>
      <c r="AE5" s="260" t="s">
        <v>262</v>
      </c>
      <c r="AF5" s="283">
        <v>8.5036237715205697E-3</v>
      </c>
      <c r="AJ5" s="244"/>
      <c r="AK5" s="244"/>
    </row>
    <row r="6" spans="1:37" s="1" customFormat="1" x14ac:dyDescent="0.2">
      <c r="A6" s="277" t="s">
        <v>187</v>
      </c>
      <c r="B6" s="278"/>
      <c r="C6" s="278"/>
      <c r="D6" s="278"/>
      <c r="E6" s="279"/>
      <c r="G6" s="277" t="s">
        <v>187</v>
      </c>
      <c r="H6" s="278"/>
      <c r="I6" s="278"/>
      <c r="J6" s="278"/>
      <c r="K6" s="279"/>
      <c r="M6" s="277" t="s">
        <v>187</v>
      </c>
      <c r="N6" s="278"/>
      <c r="O6" s="278"/>
      <c r="P6" s="278"/>
      <c r="Q6" s="279"/>
      <c r="S6" s="277" t="s">
        <v>187</v>
      </c>
      <c r="T6" s="278"/>
      <c r="U6" s="278"/>
      <c r="V6" s="278"/>
      <c r="W6" s="279"/>
      <c r="Y6" s="277" t="s">
        <v>187</v>
      </c>
      <c r="Z6" s="278"/>
      <c r="AA6" s="278"/>
      <c r="AB6" s="278"/>
      <c r="AC6" s="279"/>
      <c r="AD6" s="18"/>
      <c r="AE6" s="260" t="s">
        <v>263</v>
      </c>
      <c r="AF6" s="284">
        <v>4.0446694420007501E-3</v>
      </c>
      <c r="AG6" s="18"/>
      <c r="AH6" s="18"/>
      <c r="AI6" s="18"/>
    </row>
    <row r="7" spans="1:37" ht="15" x14ac:dyDescent="0.2">
      <c r="A7" s="280" t="s">
        <v>45</v>
      </c>
      <c r="B7" s="281"/>
      <c r="C7" s="281">
        <v>0.1</v>
      </c>
      <c r="D7" s="281" t="s">
        <v>2</v>
      </c>
      <c r="E7" s="279"/>
      <c r="F7" s="244" t="s">
        <v>179</v>
      </c>
      <c r="G7" s="280" t="s">
        <v>45</v>
      </c>
      <c r="H7" s="281"/>
      <c r="I7" s="281">
        <v>0.1</v>
      </c>
      <c r="J7" s="281" t="s">
        <v>2</v>
      </c>
      <c r="K7" s="279"/>
      <c r="M7" s="280" t="s">
        <v>45</v>
      </c>
      <c r="N7" s="281"/>
      <c r="O7" s="281">
        <v>0.1</v>
      </c>
      <c r="P7" s="281" t="s">
        <v>2</v>
      </c>
      <c r="Q7" s="279"/>
      <c r="S7" s="280" t="s">
        <v>152</v>
      </c>
      <c r="T7" s="281"/>
      <c r="U7" s="281">
        <v>0.1</v>
      </c>
      <c r="V7" s="281" t="s">
        <v>2</v>
      </c>
      <c r="W7" s="279"/>
      <c r="Y7" s="280" t="s">
        <v>1136</v>
      </c>
      <c r="Z7" s="281"/>
      <c r="AA7" s="281">
        <v>0.1</v>
      </c>
      <c r="AB7" s="281" t="s">
        <v>2</v>
      </c>
      <c r="AC7" s="279"/>
      <c r="AE7" s="260" t="s">
        <v>675</v>
      </c>
      <c r="AF7" s="283">
        <v>1.5941649983768898E-2</v>
      </c>
      <c r="AJ7" s="244"/>
      <c r="AK7" s="244"/>
    </row>
    <row r="8" spans="1:37" x14ac:dyDescent="0.2">
      <c r="A8" s="280" t="s">
        <v>9</v>
      </c>
      <c r="B8" s="281"/>
      <c r="C8" s="281">
        <v>0.01</v>
      </c>
      <c r="D8" s="281" t="s">
        <v>2</v>
      </c>
      <c r="E8" s="279"/>
      <c r="F8" s="244" t="s">
        <v>179</v>
      </c>
      <c r="G8" s="280" t="s">
        <v>9</v>
      </c>
      <c r="H8" s="281"/>
      <c r="I8" s="281">
        <v>0.01</v>
      </c>
      <c r="J8" s="281" t="s">
        <v>2</v>
      </c>
      <c r="K8" s="279"/>
      <c r="M8" s="280" t="s">
        <v>9</v>
      </c>
      <c r="N8" s="281"/>
      <c r="O8" s="281">
        <v>0.01</v>
      </c>
      <c r="P8" s="281" t="s">
        <v>2</v>
      </c>
      <c r="Q8" s="279"/>
      <c r="S8" s="280" t="s">
        <v>9</v>
      </c>
      <c r="T8" s="281"/>
      <c r="U8" s="281">
        <v>0.01</v>
      </c>
      <c r="V8" s="281" t="s">
        <v>2</v>
      </c>
      <c r="W8" s="279"/>
      <c r="Y8" s="280" t="s">
        <v>9</v>
      </c>
      <c r="Z8" s="281"/>
      <c r="AA8" s="281">
        <v>0.01</v>
      </c>
      <c r="AB8" s="281" t="s">
        <v>2</v>
      </c>
      <c r="AC8" s="279"/>
      <c r="AE8" s="260" t="s">
        <v>264</v>
      </c>
      <c r="AF8" s="283">
        <v>1.7808001064043799</v>
      </c>
      <c r="AJ8" s="244"/>
      <c r="AK8" s="244"/>
    </row>
    <row r="9" spans="1:37" x14ac:dyDescent="0.2">
      <c r="A9" s="280" t="s">
        <v>910</v>
      </c>
      <c r="B9" s="281"/>
      <c r="C9" s="281">
        <v>4.0000000000000001E-3</v>
      </c>
      <c r="D9" s="281" t="s">
        <v>2</v>
      </c>
      <c r="E9" s="279"/>
      <c r="F9" s="244" t="s">
        <v>179</v>
      </c>
      <c r="G9" s="280" t="s">
        <v>910</v>
      </c>
      <c r="H9" s="281"/>
      <c r="I9" s="281">
        <v>4.0000000000000001E-3</v>
      </c>
      <c r="J9" s="281" t="s">
        <v>2</v>
      </c>
      <c r="K9" s="279"/>
      <c r="M9" s="280" t="s">
        <v>910</v>
      </c>
      <c r="N9" s="281"/>
      <c r="O9" s="281">
        <v>4.0000000000000001E-3</v>
      </c>
      <c r="P9" s="281" t="s">
        <v>2</v>
      </c>
      <c r="Q9" s="279"/>
      <c r="S9" s="280" t="s">
        <v>1342</v>
      </c>
      <c r="T9" s="281"/>
      <c r="U9" s="281">
        <v>4.0000000000000001E-3</v>
      </c>
      <c r="V9" s="281" t="s">
        <v>2</v>
      </c>
      <c r="W9" s="279"/>
      <c r="Y9" s="280" t="s">
        <v>1351</v>
      </c>
      <c r="Z9" s="281"/>
      <c r="AA9" s="281">
        <v>4.0000000000000001E-3</v>
      </c>
      <c r="AB9" s="281" t="s">
        <v>2</v>
      </c>
      <c r="AC9" s="279"/>
      <c r="AE9" s="260" t="s">
        <v>266</v>
      </c>
      <c r="AF9" s="283">
        <v>4.08041581807278E-7</v>
      </c>
      <c r="AG9" s="285">
        <f>AE95</f>
        <v>3.7897429979115289E-9</v>
      </c>
      <c r="AJ9" s="244"/>
      <c r="AK9" s="244"/>
    </row>
    <row r="10" spans="1:37" x14ac:dyDescent="0.2">
      <c r="A10" s="280" t="s">
        <v>913</v>
      </c>
      <c r="B10" s="281"/>
      <c r="C10" s="281">
        <v>6.0000000000000001E-3</v>
      </c>
      <c r="D10" s="281" t="s">
        <v>2</v>
      </c>
      <c r="E10" s="279"/>
      <c r="F10" s="244" t="s">
        <v>179</v>
      </c>
      <c r="G10" s="280" t="s">
        <v>913</v>
      </c>
      <c r="H10" s="281"/>
      <c r="I10" s="281">
        <v>6.0000000000000001E-3</v>
      </c>
      <c r="J10" s="281" t="s">
        <v>2</v>
      </c>
      <c r="K10" s="279"/>
      <c r="M10" s="280" t="s">
        <v>913</v>
      </c>
      <c r="N10" s="281"/>
      <c r="O10" s="281">
        <v>6.0000000000000001E-3</v>
      </c>
      <c r="P10" s="281" t="s">
        <v>2</v>
      </c>
      <c r="Q10" s="279"/>
      <c r="S10" s="280" t="s">
        <v>1343</v>
      </c>
      <c r="T10" s="281"/>
      <c r="U10" s="281">
        <v>6.0000000000000001E-3</v>
      </c>
      <c r="V10" s="281" t="s">
        <v>2</v>
      </c>
      <c r="W10" s="279"/>
      <c r="Y10" s="280" t="s">
        <v>1352</v>
      </c>
      <c r="Z10" s="281"/>
      <c r="AA10" s="281">
        <v>6.0000000000000001E-3</v>
      </c>
      <c r="AB10" s="281" t="s">
        <v>2</v>
      </c>
      <c r="AC10" s="279"/>
      <c r="AE10" s="260" t="s">
        <v>267</v>
      </c>
      <c r="AF10" s="283">
        <v>5.4867024665277099E-8</v>
      </c>
      <c r="AG10" s="285">
        <f>AD95</f>
        <v>1.9108804478860858E-10</v>
      </c>
      <c r="AJ10" s="244"/>
      <c r="AK10" s="244"/>
    </row>
    <row r="11" spans="1:37" x14ac:dyDescent="0.2">
      <c r="A11" s="280" t="s">
        <v>47</v>
      </c>
      <c r="B11" s="281"/>
      <c r="C11" s="281">
        <v>1.2E-2</v>
      </c>
      <c r="D11" s="281" t="s">
        <v>2</v>
      </c>
      <c r="E11" s="279"/>
      <c r="F11" s="244" t="s">
        <v>179</v>
      </c>
      <c r="G11" s="280" t="s">
        <v>47</v>
      </c>
      <c r="H11" s="281"/>
      <c r="I11" s="281">
        <v>1.2E-2</v>
      </c>
      <c r="J11" s="281" t="s">
        <v>2</v>
      </c>
      <c r="K11" s="279"/>
      <c r="M11" s="280" t="s">
        <v>47</v>
      </c>
      <c r="N11" s="281"/>
      <c r="O11" s="281">
        <v>1.2E-2</v>
      </c>
      <c r="P11" s="281" t="s">
        <v>2</v>
      </c>
      <c r="Q11" s="279"/>
      <c r="S11" s="280" t="s">
        <v>1113</v>
      </c>
      <c r="T11" s="281"/>
      <c r="U11" s="281">
        <v>1.2E-2</v>
      </c>
      <c r="V11" s="281" t="s">
        <v>2</v>
      </c>
      <c r="W11" s="279"/>
      <c r="Y11" s="280" t="s">
        <v>1139</v>
      </c>
      <c r="Z11" s="281"/>
      <c r="AA11" s="281">
        <v>1.2E-2</v>
      </c>
      <c r="AB11" s="281" t="s">
        <v>2</v>
      </c>
      <c r="AC11" s="279"/>
      <c r="AE11" s="260" t="s">
        <v>268</v>
      </c>
      <c r="AF11" s="283">
        <v>9.9068834047555701</v>
      </c>
      <c r="AG11" s="285">
        <f>AF95</f>
        <v>187.46493444377543</v>
      </c>
      <c r="AJ11" s="244"/>
      <c r="AK11" s="244"/>
    </row>
    <row r="12" spans="1:37" x14ac:dyDescent="0.2">
      <c r="A12" s="280" t="s">
        <v>428</v>
      </c>
      <c r="B12" s="281"/>
      <c r="C12" s="281">
        <v>5.1999999999999998E-2</v>
      </c>
      <c r="D12" s="281" t="s">
        <v>2</v>
      </c>
      <c r="E12" s="279"/>
      <c r="F12" s="244" t="s">
        <v>179</v>
      </c>
      <c r="G12" s="280" t="s">
        <v>428</v>
      </c>
      <c r="H12" s="281"/>
      <c r="I12" s="281">
        <v>5.1999999999999998E-2</v>
      </c>
      <c r="J12" s="281" t="s">
        <v>2</v>
      </c>
      <c r="K12" s="279"/>
      <c r="M12" s="280" t="s">
        <v>428</v>
      </c>
      <c r="N12" s="281"/>
      <c r="O12" s="281">
        <v>5.1999999999999998E-2</v>
      </c>
      <c r="P12" s="281" t="s">
        <v>2</v>
      </c>
      <c r="Q12" s="279"/>
      <c r="S12" s="280" t="s">
        <v>428</v>
      </c>
      <c r="T12" s="281"/>
      <c r="U12" s="281">
        <v>5.1999999999999998E-2</v>
      </c>
      <c r="V12" s="281" t="s">
        <v>2</v>
      </c>
      <c r="W12" s="279"/>
      <c r="Y12" s="280" t="s">
        <v>428</v>
      </c>
      <c r="Z12" s="281"/>
      <c r="AA12" s="281">
        <v>5.1999999999999998E-2</v>
      </c>
      <c r="AB12" s="281" t="s">
        <v>2</v>
      </c>
      <c r="AC12" s="279"/>
      <c r="AJ12" s="244"/>
      <c r="AK12" s="244"/>
    </row>
    <row r="13" spans="1:37" x14ac:dyDescent="0.2">
      <c r="A13" s="280" t="s">
        <v>45</v>
      </c>
      <c r="B13" s="281"/>
      <c r="C13" s="281">
        <v>0.08</v>
      </c>
      <c r="D13" s="281" t="s">
        <v>2</v>
      </c>
      <c r="E13" s="279"/>
      <c r="F13" s="244" t="s">
        <v>179</v>
      </c>
      <c r="G13" s="280" t="s">
        <v>45</v>
      </c>
      <c r="H13" s="281"/>
      <c r="I13" s="281">
        <v>0.08</v>
      </c>
      <c r="J13" s="281" t="s">
        <v>2</v>
      </c>
      <c r="K13" s="279"/>
      <c r="M13" s="280" t="s">
        <v>45</v>
      </c>
      <c r="N13" s="281"/>
      <c r="O13" s="281">
        <v>0.08</v>
      </c>
      <c r="P13" s="281" t="s">
        <v>2</v>
      </c>
      <c r="Q13" s="279"/>
      <c r="S13" s="280" t="s">
        <v>152</v>
      </c>
      <c r="T13" s="281"/>
      <c r="U13" s="281">
        <v>0.08</v>
      </c>
      <c r="V13" s="281" t="s">
        <v>2</v>
      </c>
      <c r="W13" s="279"/>
      <c r="Y13" s="280" t="s">
        <v>1136</v>
      </c>
      <c r="Z13" s="281"/>
      <c r="AA13" s="281">
        <v>0.08</v>
      </c>
      <c r="AB13" s="281" t="s">
        <v>2</v>
      </c>
      <c r="AC13" s="279"/>
      <c r="AJ13" s="244"/>
      <c r="AK13" s="244"/>
    </row>
    <row r="14" spans="1:37" x14ac:dyDescent="0.2">
      <c r="A14" s="280" t="s">
        <v>141</v>
      </c>
      <c r="B14" s="281"/>
      <c r="C14" s="281">
        <v>0.04</v>
      </c>
      <c r="D14" s="281" t="s">
        <v>2</v>
      </c>
      <c r="E14" s="282" t="s">
        <v>777</v>
      </c>
      <c r="F14" s="244" t="s">
        <v>179</v>
      </c>
      <c r="G14" s="280" t="s">
        <v>141</v>
      </c>
      <c r="H14" s="281"/>
      <c r="I14" s="281">
        <v>0.04</v>
      </c>
      <c r="J14" s="281" t="s">
        <v>2</v>
      </c>
      <c r="K14" s="282" t="s">
        <v>777</v>
      </c>
      <c r="M14" s="280" t="s">
        <v>141</v>
      </c>
      <c r="N14" s="281"/>
      <c r="O14" s="281">
        <v>0.04</v>
      </c>
      <c r="P14" s="281" t="s">
        <v>2</v>
      </c>
      <c r="Q14" s="282" t="s">
        <v>777</v>
      </c>
      <c r="S14" s="280" t="s">
        <v>1110</v>
      </c>
      <c r="T14" s="281"/>
      <c r="U14" s="281">
        <v>0.04</v>
      </c>
      <c r="V14" s="281" t="s">
        <v>2</v>
      </c>
      <c r="W14" s="282"/>
      <c r="Y14" s="280" t="s">
        <v>1135</v>
      </c>
      <c r="Z14" s="281"/>
      <c r="AA14" s="281">
        <v>0.04</v>
      </c>
      <c r="AB14" s="281" t="s">
        <v>2</v>
      </c>
      <c r="AC14" s="282"/>
      <c r="AJ14" s="244"/>
      <c r="AK14" s="244"/>
    </row>
    <row r="15" spans="1:37" x14ac:dyDescent="0.2">
      <c r="A15" s="280" t="s">
        <v>631</v>
      </c>
      <c r="B15" s="281"/>
      <c r="C15" s="281">
        <v>0.02</v>
      </c>
      <c r="D15" s="281" t="s">
        <v>2</v>
      </c>
      <c r="E15" s="279"/>
      <c r="F15" s="244" t="s">
        <v>179</v>
      </c>
      <c r="G15" s="280" t="s">
        <v>631</v>
      </c>
      <c r="H15" s="281"/>
      <c r="I15" s="281">
        <v>0.02</v>
      </c>
      <c r="J15" s="281" t="s">
        <v>2</v>
      </c>
      <c r="K15" s="279"/>
      <c r="M15" s="280" t="s">
        <v>631</v>
      </c>
      <c r="N15" s="281"/>
      <c r="O15" s="281">
        <v>0.02</v>
      </c>
      <c r="P15" s="281" t="s">
        <v>2</v>
      </c>
      <c r="Q15" s="279"/>
      <c r="S15" s="280" t="s">
        <v>631</v>
      </c>
      <c r="T15" s="281"/>
      <c r="U15" s="281">
        <v>0.02</v>
      </c>
      <c r="V15" s="281" t="s">
        <v>2</v>
      </c>
      <c r="W15" s="279"/>
      <c r="Y15" s="280" t="s">
        <v>631</v>
      </c>
      <c r="Z15" s="281"/>
      <c r="AA15" s="281">
        <v>0.02</v>
      </c>
      <c r="AB15" s="281" t="s">
        <v>2</v>
      </c>
      <c r="AC15" s="279"/>
      <c r="AJ15" s="244"/>
      <c r="AK15" s="244"/>
    </row>
    <row r="16" spans="1:37" x14ac:dyDescent="0.2">
      <c r="A16" s="280" t="s">
        <v>630</v>
      </c>
      <c r="B16" s="281"/>
      <c r="C16" s="281">
        <v>0.02</v>
      </c>
      <c r="D16" s="281" t="s">
        <v>2</v>
      </c>
      <c r="E16" s="279"/>
      <c r="F16" s="244" t="s">
        <v>179</v>
      </c>
      <c r="G16" s="280" t="s">
        <v>630</v>
      </c>
      <c r="H16" s="281"/>
      <c r="I16" s="281">
        <v>0.02</v>
      </c>
      <c r="J16" s="281" t="s">
        <v>2</v>
      </c>
      <c r="K16" s="279"/>
      <c r="M16" s="280" t="s">
        <v>630</v>
      </c>
      <c r="N16" s="281"/>
      <c r="O16" s="281">
        <v>0.02</v>
      </c>
      <c r="P16" s="281" t="s">
        <v>2</v>
      </c>
      <c r="Q16" s="279"/>
      <c r="S16" s="280" t="s">
        <v>1344</v>
      </c>
      <c r="T16" s="281"/>
      <c r="U16" s="281">
        <v>0.02</v>
      </c>
      <c r="V16" s="281" t="s">
        <v>2</v>
      </c>
      <c r="W16" s="279"/>
      <c r="Y16" s="280" t="s">
        <v>1353</v>
      </c>
      <c r="Z16" s="281"/>
      <c r="AA16" s="281">
        <v>0.02</v>
      </c>
      <c r="AB16" s="281" t="s">
        <v>2</v>
      </c>
      <c r="AC16" s="279"/>
      <c r="AJ16" s="244"/>
      <c r="AK16" s="244"/>
    </row>
    <row r="17" spans="1:37" x14ac:dyDescent="0.2">
      <c r="A17" s="280" t="s">
        <v>51</v>
      </c>
      <c r="B17" s="281"/>
      <c r="C17" s="281">
        <v>1.2E-2</v>
      </c>
      <c r="D17" s="281" t="s">
        <v>2</v>
      </c>
      <c r="E17" s="279"/>
      <c r="F17" s="244" t="s">
        <v>179</v>
      </c>
      <c r="G17" s="280" t="s">
        <v>51</v>
      </c>
      <c r="H17" s="281"/>
      <c r="I17" s="281">
        <v>1.2E-2</v>
      </c>
      <c r="J17" s="281" t="s">
        <v>2</v>
      </c>
      <c r="K17" s="279"/>
      <c r="M17" s="280" t="s">
        <v>51</v>
      </c>
      <c r="N17" s="281"/>
      <c r="O17" s="281">
        <v>1.2E-2</v>
      </c>
      <c r="P17" s="281" t="s">
        <v>2</v>
      </c>
      <c r="Q17" s="279"/>
      <c r="S17" s="280" t="s">
        <v>1187</v>
      </c>
      <c r="T17" s="281"/>
      <c r="U17" s="281">
        <v>1.2E-2</v>
      </c>
      <c r="V17" s="281" t="s">
        <v>2</v>
      </c>
      <c r="W17" s="279"/>
      <c r="Y17" s="280" t="s">
        <v>1213</v>
      </c>
      <c r="Z17" s="281"/>
      <c r="AA17" s="281">
        <v>1.2E-2</v>
      </c>
      <c r="AB17" s="281" t="s">
        <v>2</v>
      </c>
      <c r="AC17" s="279"/>
      <c r="AJ17" s="244"/>
      <c r="AK17" s="244"/>
    </row>
    <row r="18" spans="1:37" x14ac:dyDescent="0.2">
      <c r="A18" s="280" t="s">
        <v>45</v>
      </c>
      <c r="B18" s="281"/>
      <c r="C18" s="281">
        <v>0.06</v>
      </c>
      <c r="D18" s="281" t="s">
        <v>2</v>
      </c>
      <c r="E18" s="279"/>
      <c r="F18" s="244" t="s">
        <v>179</v>
      </c>
      <c r="G18" s="280" t="s">
        <v>45</v>
      </c>
      <c r="H18" s="281"/>
      <c r="I18" s="281">
        <v>0.06</v>
      </c>
      <c r="J18" s="281" t="s">
        <v>2</v>
      </c>
      <c r="K18" s="279"/>
      <c r="M18" s="280" t="s">
        <v>45</v>
      </c>
      <c r="N18" s="281"/>
      <c r="O18" s="281">
        <v>0.06</v>
      </c>
      <c r="P18" s="281" t="s">
        <v>2</v>
      </c>
      <c r="Q18" s="279"/>
      <c r="S18" s="280" t="s">
        <v>152</v>
      </c>
      <c r="T18" s="281"/>
      <c r="U18" s="281">
        <v>0.06</v>
      </c>
      <c r="V18" s="281" t="s">
        <v>2</v>
      </c>
      <c r="W18" s="279"/>
      <c r="Y18" s="280" t="s">
        <v>1136</v>
      </c>
      <c r="Z18" s="281"/>
      <c r="AA18" s="281">
        <v>0.06</v>
      </c>
      <c r="AB18" s="281" t="s">
        <v>2</v>
      </c>
      <c r="AC18" s="279"/>
      <c r="AJ18" s="244"/>
      <c r="AK18" s="244"/>
    </row>
    <row r="19" spans="1:37" x14ac:dyDescent="0.2">
      <c r="A19" s="280" t="s">
        <v>144</v>
      </c>
      <c r="B19" s="281"/>
      <c r="C19" s="281">
        <v>0.12</v>
      </c>
      <c r="D19" s="281" t="s">
        <v>2</v>
      </c>
      <c r="E19" s="279"/>
      <c r="F19" s="244" t="s">
        <v>179</v>
      </c>
      <c r="G19" s="280" t="s">
        <v>144</v>
      </c>
      <c r="H19" s="281"/>
      <c r="I19" s="281">
        <v>0.12</v>
      </c>
      <c r="J19" s="281" t="s">
        <v>2</v>
      </c>
      <c r="K19" s="279"/>
      <c r="M19" s="280" t="s">
        <v>144</v>
      </c>
      <c r="N19" s="281"/>
      <c r="O19" s="281">
        <v>0.12</v>
      </c>
      <c r="P19" s="281" t="s">
        <v>2</v>
      </c>
      <c r="Q19" s="279"/>
      <c r="S19" s="280" t="s">
        <v>1117</v>
      </c>
      <c r="T19" s="281"/>
      <c r="U19" s="281">
        <v>0.12</v>
      </c>
      <c r="V19" s="281" t="s">
        <v>2</v>
      </c>
      <c r="W19" s="279"/>
      <c r="Y19" s="280" t="s">
        <v>1143</v>
      </c>
      <c r="Z19" s="281"/>
      <c r="AA19" s="281">
        <v>0.12</v>
      </c>
      <c r="AB19" s="281" t="s">
        <v>2</v>
      </c>
      <c r="AC19" s="279"/>
      <c r="AJ19" s="244"/>
      <c r="AK19" s="244"/>
    </row>
    <row r="20" spans="1:37" x14ac:dyDescent="0.2">
      <c r="A20" s="280" t="s">
        <v>191</v>
      </c>
      <c r="B20" s="281"/>
      <c r="C20" s="281">
        <v>0.1</v>
      </c>
      <c r="D20" s="281" t="s">
        <v>2</v>
      </c>
      <c r="E20" s="279"/>
      <c r="F20" s="244" t="s">
        <v>179</v>
      </c>
      <c r="G20" s="280" t="s">
        <v>191</v>
      </c>
      <c r="H20" s="281"/>
      <c r="I20" s="281">
        <v>0.1</v>
      </c>
      <c r="J20" s="281" t="s">
        <v>2</v>
      </c>
      <c r="K20" s="279"/>
      <c r="M20" s="280" t="s">
        <v>191</v>
      </c>
      <c r="N20" s="281"/>
      <c r="O20" s="281">
        <v>0.1</v>
      </c>
      <c r="P20" s="281" t="s">
        <v>2</v>
      </c>
      <c r="Q20" s="324" t="s">
        <v>1237</v>
      </c>
      <c r="S20" s="280" t="s">
        <v>285</v>
      </c>
      <c r="T20" s="281"/>
      <c r="U20" s="281">
        <v>0.1</v>
      </c>
      <c r="V20" s="281" t="s">
        <v>2</v>
      </c>
      <c r="W20" s="279"/>
      <c r="Y20" s="280" t="s">
        <v>1145</v>
      </c>
      <c r="Z20" s="281"/>
      <c r="AA20" s="281">
        <v>0.1</v>
      </c>
      <c r="AB20" s="281" t="s">
        <v>2</v>
      </c>
      <c r="AC20" s="279"/>
      <c r="AJ20" s="244"/>
      <c r="AK20" s="244"/>
    </row>
    <row r="21" spans="1:37" x14ac:dyDescent="0.2">
      <c r="A21" s="280" t="s">
        <v>823</v>
      </c>
      <c r="B21" s="281"/>
      <c r="C21" s="281">
        <v>0.01</v>
      </c>
      <c r="D21" s="281" t="s">
        <v>2</v>
      </c>
      <c r="E21" s="279"/>
      <c r="F21" s="244" t="s">
        <v>179</v>
      </c>
      <c r="G21" s="280" t="s">
        <v>823</v>
      </c>
      <c r="H21" s="281"/>
      <c r="I21" s="281">
        <v>0.01</v>
      </c>
      <c r="J21" s="281" t="s">
        <v>2</v>
      </c>
      <c r="K21" s="279"/>
      <c r="M21" s="280" t="s">
        <v>823</v>
      </c>
      <c r="N21" s="281"/>
      <c r="O21" s="281">
        <v>0.01</v>
      </c>
      <c r="P21" s="281" t="s">
        <v>2</v>
      </c>
      <c r="Q21" s="324" t="s">
        <v>1237</v>
      </c>
      <c r="S21" s="280" t="s">
        <v>823</v>
      </c>
      <c r="T21" s="281"/>
      <c r="U21" s="281">
        <v>0.01</v>
      </c>
      <c r="V21" s="281" t="s">
        <v>2</v>
      </c>
      <c r="W21" s="279"/>
      <c r="Y21" s="280" t="s">
        <v>823</v>
      </c>
      <c r="Z21" s="281"/>
      <c r="AA21" s="281">
        <v>0.01</v>
      </c>
      <c r="AB21" s="281" t="s">
        <v>2</v>
      </c>
      <c r="AC21" s="279"/>
      <c r="AJ21" s="244"/>
      <c r="AK21" s="244"/>
    </row>
    <row r="22" spans="1:37" x14ac:dyDescent="0.2">
      <c r="A22" s="280" t="s">
        <v>911</v>
      </c>
      <c r="B22" s="281"/>
      <c r="C22" s="281">
        <v>4.0000000000000001E-3</v>
      </c>
      <c r="D22" s="281" t="s">
        <v>2</v>
      </c>
      <c r="E22" s="279"/>
      <c r="F22" s="244" t="s">
        <v>179</v>
      </c>
      <c r="G22" s="280" t="s">
        <v>911</v>
      </c>
      <c r="H22" s="281"/>
      <c r="I22" s="281">
        <v>4.0000000000000001E-3</v>
      </c>
      <c r="J22" s="281" t="s">
        <v>2</v>
      </c>
      <c r="K22" s="279"/>
      <c r="M22" s="280" t="s">
        <v>911</v>
      </c>
      <c r="N22" s="281"/>
      <c r="O22" s="281">
        <v>4.0000000000000001E-3</v>
      </c>
      <c r="P22" s="281" t="s">
        <v>2</v>
      </c>
      <c r="Q22" s="324" t="s">
        <v>1237</v>
      </c>
      <c r="S22" s="280" t="s">
        <v>1345</v>
      </c>
      <c r="T22" s="281"/>
      <c r="U22" s="281">
        <v>4.0000000000000001E-3</v>
      </c>
      <c r="V22" s="281" t="s">
        <v>2</v>
      </c>
      <c r="W22" s="279"/>
      <c r="Y22" s="280" t="s">
        <v>1354</v>
      </c>
      <c r="Z22" s="281"/>
      <c r="AA22" s="281">
        <v>4.0000000000000001E-3</v>
      </c>
      <c r="AB22" s="281" t="s">
        <v>2</v>
      </c>
      <c r="AC22" s="279"/>
      <c r="AJ22" s="244"/>
      <c r="AK22" s="244"/>
    </row>
    <row r="23" spans="1:37" x14ac:dyDescent="0.2">
      <c r="A23" s="280" t="s">
        <v>914</v>
      </c>
      <c r="B23" s="281"/>
      <c r="C23" s="281">
        <v>6.0000000000000001E-3</v>
      </c>
      <c r="D23" s="281" t="s">
        <v>2</v>
      </c>
      <c r="E23" s="279"/>
      <c r="F23" s="244" t="s">
        <v>179</v>
      </c>
      <c r="G23" s="280" t="s">
        <v>914</v>
      </c>
      <c r="H23" s="281"/>
      <c r="I23" s="281">
        <v>6.0000000000000001E-3</v>
      </c>
      <c r="J23" s="281" t="s">
        <v>2</v>
      </c>
      <c r="K23" s="279"/>
      <c r="M23" s="280" t="s">
        <v>914</v>
      </c>
      <c r="N23" s="281"/>
      <c r="O23" s="281">
        <v>6.0000000000000001E-3</v>
      </c>
      <c r="P23" s="281" t="s">
        <v>2</v>
      </c>
      <c r="Q23" s="324" t="s">
        <v>1237</v>
      </c>
      <c r="S23" s="280" t="s">
        <v>1346</v>
      </c>
      <c r="T23" s="281"/>
      <c r="U23" s="281">
        <v>6.0000000000000001E-3</v>
      </c>
      <c r="V23" s="281" t="s">
        <v>2</v>
      </c>
      <c r="W23" s="279"/>
      <c r="Y23" s="280" t="s">
        <v>1355</v>
      </c>
      <c r="Z23" s="281"/>
      <c r="AA23" s="281">
        <v>6.0000000000000001E-3</v>
      </c>
      <c r="AB23" s="281" t="s">
        <v>2</v>
      </c>
      <c r="AC23" s="279"/>
      <c r="AJ23" s="244"/>
      <c r="AK23" s="244"/>
    </row>
    <row r="24" spans="1:37" x14ac:dyDescent="0.2">
      <c r="A24" s="280" t="s">
        <v>703</v>
      </c>
      <c r="B24" s="281"/>
      <c r="C24" s="281">
        <v>0</v>
      </c>
      <c r="D24" s="281" t="s">
        <v>2</v>
      </c>
      <c r="E24" s="282" t="s">
        <v>271</v>
      </c>
      <c r="F24" s="244" t="s">
        <v>179</v>
      </c>
      <c r="G24" s="280" t="s">
        <v>703</v>
      </c>
      <c r="H24" s="281"/>
      <c r="I24" s="281">
        <v>0</v>
      </c>
      <c r="J24" s="281" t="s">
        <v>2</v>
      </c>
      <c r="K24" s="282" t="s">
        <v>271</v>
      </c>
      <c r="M24" s="280" t="s">
        <v>703</v>
      </c>
      <c r="N24" s="281"/>
      <c r="O24" s="281">
        <v>0</v>
      </c>
      <c r="P24" s="281" t="s">
        <v>2</v>
      </c>
      <c r="Q24" s="324" t="s">
        <v>1237</v>
      </c>
      <c r="S24" s="280" t="s">
        <v>1121</v>
      </c>
      <c r="T24" s="281"/>
      <c r="U24" s="281">
        <v>0</v>
      </c>
      <c r="V24" s="281" t="s">
        <v>2</v>
      </c>
      <c r="W24" s="282"/>
      <c r="Y24" s="280" t="s">
        <v>1148</v>
      </c>
      <c r="Z24" s="281"/>
      <c r="AA24" s="281">
        <v>0</v>
      </c>
      <c r="AB24" s="281" t="s">
        <v>2</v>
      </c>
      <c r="AC24" s="282"/>
      <c r="AJ24" s="244"/>
      <c r="AK24" s="244"/>
    </row>
    <row r="25" spans="1:37" x14ac:dyDescent="0.2">
      <c r="A25" s="280" t="s">
        <v>826</v>
      </c>
      <c r="B25" s="281"/>
      <c r="C25" s="281">
        <v>5.1999999999999998E-2</v>
      </c>
      <c r="D25" s="281" t="s">
        <v>2</v>
      </c>
      <c r="E25" s="279"/>
      <c r="F25" s="244" t="s">
        <v>179</v>
      </c>
      <c r="G25" s="280" t="s">
        <v>826</v>
      </c>
      <c r="H25" s="281"/>
      <c r="I25" s="281">
        <v>5.1999999999999998E-2</v>
      </c>
      <c r="J25" s="281" t="s">
        <v>2</v>
      </c>
      <c r="K25" s="279"/>
      <c r="M25" s="280" t="s">
        <v>826</v>
      </c>
      <c r="N25" s="281"/>
      <c r="O25" s="281">
        <v>5.1999999999999998E-2</v>
      </c>
      <c r="P25" s="281" t="s">
        <v>2</v>
      </c>
      <c r="Q25" s="324" t="s">
        <v>1237</v>
      </c>
      <c r="S25" s="280" t="s">
        <v>826</v>
      </c>
      <c r="T25" s="281"/>
      <c r="U25" s="281">
        <v>5.1999999999999998E-2</v>
      </c>
      <c r="V25" s="281" t="s">
        <v>2</v>
      </c>
      <c r="W25" s="279"/>
      <c r="Y25" s="280" t="s">
        <v>826</v>
      </c>
      <c r="Z25" s="281"/>
      <c r="AA25" s="281">
        <v>5.1999999999999998E-2</v>
      </c>
      <c r="AB25" s="281" t="s">
        <v>2</v>
      </c>
      <c r="AC25" s="279"/>
      <c r="AJ25" s="244"/>
      <c r="AK25" s="244"/>
    </row>
    <row r="26" spans="1:37" x14ac:dyDescent="0.2">
      <c r="A26" s="280" t="s">
        <v>191</v>
      </c>
      <c r="B26" s="281"/>
      <c r="C26" s="281">
        <v>0.08</v>
      </c>
      <c r="D26" s="281" t="s">
        <v>2</v>
      </c>
      <c r="E26" s="279"/>
      <c r="F26" s="244" t="s">
        <v>179</v>
      </c>
      <c r="G26" s="280" t="s">
        <v>191</v>
      </c>
      <c r="H26" s="281"/>
      <c r="I26" s="281">
        <v>0.08</v>
      </c>
      <c r="J26" s="281" t="s">
        <v>2</v>
      </c>
      <c r="K26" s="279"/>
      <c r="M26" s="280" t="s">
        <v>191</v>
      </c>
      <c r="N26" s="281"/>
      <c r="O26" s="281">
        <v>0.08</v>
      </c>
      <c r="P26" s="281" t="s">
        <v>2</v>
      </c>
      <c r="Q26" s="324" t="s">
        <v>1237</v>
      </c>
      <c r="S26" s="280" t="s">
        <v>285</v>
      </c>
      <c r="T26" s="281"/>
      <c r="U26" s="281">
        <v>0.08</v>
      </c>
      <c r="V26" s="281" t="s">
        <v>2</v>
      </c>
      <c r="W26" s="279"/>
      <c r="Y26" s="280" t="s">
        <v>1145</v>
      </c>
      <c r="Z26" s="281"/>
      <c r="AA26" s="281">
        <v>0.08</v>
      </c>
      <c r="AB26" s="281" t="s">
        <v>2</v>
      </c>
      <c r="AC26" s="279"/>
      <c r="AJ26" s="244"/>
      <c r="AK26" s="244"/>
    </row>
    <row r="27" spans="1:37" x14ac:dyDescent="0.2">
      <c r="A27" s="280" t="s">
        <v>190</v>
      </c>
      <c r="B27" s="281"/>
      <c r="C27" s="281">
        <v>0.04</v>
      </c>
      <c r="D27" s="281" t="s">
        <v>2</v>
      </c>
      <c r="E27" s="282"/>
      <c r="F27" s="244" t="s">
        <v>179</v>
      </c>
      <c r="G27" s="280" t="s">
        <v>190</v>
      </c>
      <c r="H27" s="281"/>
      <c r="I27" s="281">
        <v>0.04</v>
      </c>
      <c r="J27" s="281" t="s">
        <v>2</v>
      </c>
      <c r="K27" s="282"/>
      <c r="M27" s="280" t="s">
        <v>190</v>
      </c>
      <c r="N27" s="281"/>
      <c r="O27" s="281">
        <v>0.04</v>
      </c>
      <c r="P27" s="281" t="s">
        <v>2</v>
      </c>
      <c r="Q27" s="324" t="s">
        <v>1237</v>
      </c>
      <c r="S27" s="280" t="s">
        <v>1118</v>
      </c>
      <c r="T27" s="281"/>
      <c r="U27" s="281">
        <v>0.04</v>
      </c>
      <c r="V27" s="281" t="s">
        <v>2</v>
      </c>
      <c r="W27" s="282"/>
      <c r="Y27" s="280" t="s">
        <v>1144</v>
      </c>
      <c r="Z27" s="281"/>
      <c r="AA27" s="281">
        <v>0.04</v>
      </c>
      <c r="AB27" s="281" t="s">
        <v>2</v>
      </c>
      <c r="AC27" s="282"/>
      <c r="AJ27" s="244"/>
      <c r="AK27" s="244"/>
    </row>
    <row r="28" spans="1:37" x14ac:dyDescent="0.2">
      <c r="A28" s="280" t="s">
        <v>824</v>
      </c>
      <c r="B28" s="281"/>
      <c r="C28" s="281">
        <v>0.02</v>
      </c>
      <c r="D28" s="281" t="s">
        <v>2</v>
      </c>
      <c r="E28" s="279"/>
      <c r="F28" s="244" t="s">
        <v>179</v>
      </c>
      <c r="G28" s="280" t="s">
        <v>824</v>
      </c>
      <c r="H28" s="281"/>
      <c r="I28" s="281">
        <v>0.02</v>
      </c>
      <c r="J28" s="281" t="s">
        <v>2</v>
      </c>
      <c r="K28" s="279"/>
      <c r="M28" s="280" t="s">
        <v>824</v>
      </c>
      <c r="N28" s="281"/>
      <c r="O28" s="281">
        <v>0.02</v>
      </c>
      <c r="P28" s="281" t="s">
        <v>2</v>
      </c>
      <c r="Q28" s="324" t="s">
        <v>1237</v>
      </c>
      <c r="S28" s="280" t="s">
        <v>824</v>
      </c>
      <c r="T28" s="281"/>
      <c r="U28" s="281">
        <v>0.02</v>
      </c>
      <c r="V28" s="281" t="s">
        <v>2</v>
      </c>
      <c r="W28" s="279"/>
      <c r="Y28" s="280" t="s">
        <v>824</v>
      </c>
      <c r="Z28" s="281"/>
      <c r="AA28" s="281">
        <v>0.02</v>
      </c>
      <c r="AB28" s="281" t="s">
        <v>2</v>
      </c>
      <c r="AC28" s="279"/>
      <c r="AJ28" s="244"/>
      <c r="AK28" s="244"/>
    </row>
    <row r="29" spans="1:37" x14ac:dyDescent="0.2">
      <c r="A29" s="280" t="s">
        <v>825</v>
      </c>
      <c r="B29" s="281"/>
      <c r="C29" s="281">
        <v>0.02</v>
      </c>
      <c r="D29" s="281" t="s">
        <v>2</v>
      </c>
      <c r="E29" s="279"/>
      <c r="F29" s="244" t="s">
        <v>179</v>
      </c>
      <c r="G29" s="280" t="s">
        <v>825</v>
      </c>
      <c r="H29" s="281"/>
      <c r="I29" s="281">
        <v>0.02</v>
      </c>
      <c r="J29" s="281" t="s">
        <v>2</v>
      </c>
      <c r="K29" s="279"/>
      <c r="M29" s="280" t="s">
        <v>825</v>
      </c>
      <c r="N29" s="281"/>
      <c r="O29" s="281">
        <v>0.02</v>
      </c>
      <c r="P29" s="281" t="s">
        <v>2</v>
      </c>
      <c r="Q29" s="324" t="s">
        <v>1237</v>
      </c>
      <c r="S29" s="280" t="s">
        <v>1347</v>
      </c>
      <c r="T29" s="281"/>
      <c r="U29" s="281">
        <v>0.02</v>
      </c>
      <c r="V29" s="281" t="s">
        <v>2</v>
      </c>
      <c r="W29" s="279"/>
      <c r="Y29" s="280" t="s">
        <v>1356</v>
      </c>
      <c r="Z29" s="281"/>
      <c r="AA29" s="281">
        <v>0.02</v>
      </c>
      <c r="AB29" s="281" t="s">
        <v>2</v>
      </c>
      <c r="AC29" s="279"/>
      <c r="AJ29" s="244"/>
      <c r="AK29" s="244"/>
    </row>
    <row r="30" spans="1:37" x14ac:dyDescent="0.2">
      <c r="A30" s="280" t="s">
        <v>719</v>
      </c>
      <c r="B30" s="281"/>
      <c r="C30" s="281">
        <v>1.2E-2</v>
      </c>
      <c r="D30" s="281" t="s">
        <v>2</v>
      </c>
      <c r="E30" s="279"/>
      <c r="F30" s="244" t="s">
        <v>179</v>
      </c>
      <c r="G30" s="280" t="s">
        <v>719</v>
      </c>
      <c r="H30" s="281"/>
      <c r="I30" s="281">
        <v>1.2E-2</v>
      </c>
      <c r="J30" s="281" t="s">
        <v>2</v>
      </c>
      <c r="K30" s="279"/>
      <c r="M30" s="280" t="s">
        <v>719</v>
      </c>
      <c r="N30" s="281"/>
      <c r="O30" s="281">
        <v>1.2E-2</v>
      </c>
      <c r="P30" s="281" t="s">
        <v>2</v>
      </c>
      <c r="Q30" s="324" t="s">
        <v>1237</v>
      </c>
      <c r="S30" s="280" t="s">
        <v>1195</v>
      </c>
      <c r="T30" s="281"/>
      <c r="U30" s="281">
        <v>1.2E-2</v>
      </c>
      <c r="V30" s="281" t="s">
        <v>2</v>
      </c>
      <c r="W30" s="279"/>
      <c r="Y30" s="280" t="s">
        <v>1221</v>
      </c>
      <c r="Z30" s="281"/>
      <c r="AA30" s="281">
        <v>1.2E-2</v>
      </c>
      <c r="AB30" s="281" t="s">
        <v>2</v>
      </c>
      <c r="AC30" s="279"/>
      <c r="AJ30" s="244"/>
      <c r="AK30" s="244"/>
    </row>
    <row r="31" spans="1:37" x14ac:dyDescent="0.2">
      <c r="A31" s="280" t="s">
        <v>191</v>
      </c>
      <c r="B31" s="281"/>
      <c r="C31" s="281">
        <v>0.06</v>
      </c>
      <c r="D31" s="281" t="s">
        <v>2</v>
      </c>
      <c r="E31" s="279"/>
      <c r="F31" s="244" t="s">
        <v>179</v>
      </c>
      <c r="G31" s="280" t="s">
        <v>191</v>
      </c>
      <c r="H31" s="281"/>
      <c r="I31" s="281">
        <v>0.06</v>
      </c>
      <c r="J31" s="281" t="s">
        <v>2</v>
      </c>
      <c r="K31" s="279"/>
      <c r="M31" s="280" t="s">
        <v>191</v>
      </c>
      <c r="N31" s="281"/>
      <c r="O31" s="281">
        <v>0.06</v>
      </c>
      <c r="P31" s="281" t="s">
        <v>2</v>
      </c>
      <c r="Q31" s="324" t="s">
        <v>1237</v>
      </c>
      <c r="S31" s="280" t="s">
        <v>285</v>
      </c>
      <c r="T31" s="281"/>
      <c r="U31" s="281">
        <v>0.06</v>
      </c>
      <c r="V31" s="281" t="s">
        <v>2</v>
      </c>
      <c r="W31" s="279"/>
      <c r="Y31" s="280" t="s">
        <v>1145</v>
      </c>
      <c r="Z31" s="281"/>
      <c r="AA31" s="281">
        <v>0.06</v>
      </c>
      <c r="AB31" s="281" t="s">
        <v>2</v>
      </c>
      <c r="AC31" s="279"/>
      <c r="AJ31" s="244"/>
      <c r="AK31" s="244"/>
    </row>
    <row r="32" spans="1:37" x14ac:dyDescent="0.2">
      <c r="A32" s="280" t="s">
        <v>705</v>
      </c>
      <c r="B32" s="281"/>
      <c r="C32" s="281">
        <v>0.12</v>
      </c>
      <c r="D32" s="281" t="s">
        <v>2</v>
      </c>
      <c r="E32" s="279"/>
      <c r="F32" s="244" t="s">
        <v>179</v>
      </c>
      <c r="G32" s="280" t="s">
        <v>705</v>
      </c>
      <c r="H32" s="281"/>
      <c r="I32" s="281">
        <v>0.12</v>
      </c>
      <c r="J32" s="281" t="s">
        <v>2</v>
      </c>
      <c r="K32" s="279"/>
      <c r="M32" s="280" t="s">
        <v>705</v>
      </c>
      <c r="N32" s="281"/>
      <c r="O32" s="281">
        <v>0.12</v>
      </c>
      <c r="P32" s="281" t="s">
        <v>2</v>
      </c>
      <c r="Q32" s="324" t="s">
        <v>1237</v>
      </c>
      <c r="S32" s="280" t="s">
        <v>1125</v>
      </c>
      <c r="T32" s="281"/>
      <c r="U32" s="281">
        <v>0.12</v>
      </c>
      <c r="V32" s="281" t="s">
        <v>2</v>
      </c>
      <c r="W32" s="279"/>
      <c r="Y32" s="280" t="s">
        <v>1152</v>
      </c>
      <c r="Z32" s="281"/>
      <c r="AA32" s="281">
        <v>0.12</v>
      </c>
      <c r="AB32" s="281" t="s">
        <v>2</v>
      </c>
      <c r="AC32" s="279"/>
      <c r="AJ32" s="244"/>
      <c r="AK32" s="244"/>
    </row>
    <row r="33" spans="1:37" x14ac:dyDescent="0.2">
      <c r="A33" s="280" t="s">
        <v>706</v>
      </c>
      <c r="B33" s="281"/>
      <c r="C33" s="281">
        <v>0.1</v>
      </c>
      <c r="D33" s="281" t="s">
        <v>2</v>
      </c>
      <c r="E33" s="279"/>
      <c r="F33" s="244" t="s">
        <v>179</v>
      </c>
      <c r="G33" s="280" t="s">
        <v>706</v>
      </c>
      <c r="H33" s="281"/>
      <c r="I33" s="281">
        <v>0.1</v>
      </c>
      <c r="J33" s="281" t="s">
        <v>2</v>
      </c>
      <c r="K33" s="279"/>
      <c r="M33" s="280" t="s">
        <v>706</v>
      </c>
      <c r="N33" s="281"/>
      <c r="O33" s="281">
        <v>0.1</v>
      </c>
      <c r="P33" s="281" t="s">
        <v>2</v>
      </c>
      <c r="Q33" s="324" t="s">
        <v>1237</v>
      </c>
      <c r="S33" s="280" t="s">
        <v>753</v>
      </c>
      <c r="T33" s="281"/>
      <c r="U33" s="281">
        <v>0.1</v>
      </c>
      <c r="V33" s="281" t="s">
        <v>2</v>
      </c>
      <c r="W33" s="279"/>
      <c r="Y33" s="280" t="s">
        <v>1180</v>
      </c>
      <c r="Z33" s="281"/>
      <c r="AA33" s="281">
        <v>0.1</v>
      </c>
      <c r="AB33" s="281" t="s">
        <v>2</v>
      </c>
      <c r="AC33" s="279"/>
      <c r="AJ33" s="244"/>
      <c r="AK33" s="244"/>
    </row>
    <row r="34" spans="1:37" x14ac:dyDescent="0.2">
      <c r="A34" s="280" t="s">
        <v>827</v>
      </c>
      <c r="B34" s="281"/>
      <c r="C34" s="281">
        <v>0.01</v>
      </c>
      <c r="D34" s="281" t="s">
        <v>2</v>
      </c>
      <c r="E34" s="279"/>
      <c r="F34" s="244" t="s">
        <v>179</v>
      </c>
      <c r="G34" s="280" t="s">
        <v>827</v>
      </c>
      <c r="H34" s="281"/>
      <c r="I34" s="281">
        <v>0.01</v>
      </c>
      <c r="J34" s="281" t="s">
        <v>2</v>
      </c>
      <c r="K34" s="279"/>
      <c r="M34" s="280" t="s">
        <v>827</v>
      </c>
      <c r="N34" s="281"/>
      <c r="O34" s="281">
        <v>0.01</v>
      </c>
      <c r="P34" s="281" t="s">
        <v>2</v>
      </c>
      <c r="Q34" s="324" t="s">
        <v>1237</v>
      </c>
      <c r="S34" s="280" t="s">
        <v>827</v>
      </c>
      <c r="T34" s="281"/>
      <c r="U34" s="281">
        <v>0.01</v>
      </c>
      <c r="V34" s="281" t="s">
        <v>2</v>
      </c>
      <c r="W34" s="279"/>
      <c r="Y34" s="280" t="s">
        <v>827</v>
      </c>
      <c r="Z34" s="281"/>
      <c r="AA34" s="281">
        <v>0.01</v>
      </c>
      <c r="AB34" s="281" t="s">
        <v>2</v>
      </c>
      <c r="AC34" s="279"/>
      <c r="AJ34" s="244"/>
      <c r="AK34" s="244"/>
    </row>
    <row r="35" spans="1:37" x14ac:dyDescent="0.2">
      <c r="A35" s="280" t="s">
        <v>912</v>
      </c>
      <c r="B35" s="281"/>
      <c r="C35" s="281">
        <v>4.0000000000000001E-3</v>
      </c>
      <c r="D35" s="281" t="s">
        <v>2</v>
      </c>
      <c r="E35" s="279"/>
      <c r="F35" s="244" t="s">
        <v>179</v>
      </c>
      <c r="G35" s="280" t="s">
        <v>912</v>
      </c>
      <c r="H35" s="281"/>
      <c r="I35" s="281">
        <v>4.0000000000000001E-3</v>
      </c>
      <c r="J35" s="281" t="s">
        <v>2</v>
      </c>
      <c r="K35" s="279"/>
      <c r="M35" s="280" t="s">
        <v>912</v>
      </c>
      <c r="N35" s="281"/>
      <c r="O35" s="281">
        <v>4.0000000000000001E-3</v>
      </c>
      <c r="P35" s="281" t="s">
        <v>2</v>
      </c>
      <c r="Q35" s="324" t="s">
        <v>1237</v>
      </c>
      <c r="S35" s="280" t="s">
        <v>1348</v>
      </c>
      <c r="T35" s="281"/>
      <c r="U35" s="281">
        <v>4.0000000000000001E-3</v>
      </c>
      <c r="V35" s="281" t="s">
        <v>2</v>
      </c>
      <c r="W35" s="279"/>
      <c r="Y35" s="280" t="s">
        <v>1357</v>
      </c>
      <c r="Z35" s="281"/>
      <c r="AA35" s="281">
        <v>4.0000000000000001E-3</v>
      </c>
      <c r="AB35" s="281" t="s">
        <v>2</v>
      </c>
      <c r="AC35" s="279"/>
      <c r="AJ35" s="244"/>
      <c r="AK35" s="244"/>
    </row>
    <row r="36" spans="1:37" x14ac:dyDescent="0.2">
      <c r="A36" s="280" t="s">
        <v>915</v>
      </c>
      <c r="B36" s="281"/>
      <c r="C36" s="281">
        <v>6.0000000000000001E-3</v>
      </c>
      <c r="D36" s="281" t="s">
        <v>2</v>
      </c>
      <c r="E36" s="279"/>
      <c r="F36" s="244" t="s">
        <v>179</v>
      </c>
      <c r="G36" s="280" t="s">
        <v>915</v>
      </c>
      <c r="H36" s="281"/>
      <c r="I36" s="281">
        <v>6.0000000000000001E-3</v>
      </c>
      <c r="J36" s="281" t="s">
        <v>2</v>
      </c>
      <c r="K36" s="279"/>
      <c r="M36" s="280" t="s">
        <v>915</v>
      </c>
      <c r="N36" s="281"/>
      <c r="O36" s="281">
        <v>6.0000000000000001E-3</v>
      </c>
      <c r="P36" s="281" t="s">
        <v>2</v>
      </c>
      <c r="Q36" s="324" t="s">
        <v>1237</v>
      </c>
      <c r="S36" s="280" t="s">
        <v>1349</v>
      </c>
      <c r="T36" s="281"/>
      <c r="U36" s="281">
        <v>6.0000000000000001E-3</v>
      </c>
      <c r="V36" s="281" t="s">
        <v>2</v>
      </c>
      <c r="W36" s="279"/>
      <c r="Y36" s="280" t="s">
        <v>1358</v>
      </c>
      <c r="Z36" s="281"/>
      <c r="AA36" s="281">
        <v>6.0000000000000001E-3</v>
      </c>
      <c r="AB36" s="281" t="s">
        <v>2</v>
      </c>
      <c r="AC36" s="279"/>
      <c r="AJ36" s="244"/>
      <c r="AK36" s="244"/>
    </row>
    <row r="37" spans="1:37" x14ac:dyDescent="0.2">
      <c r="A37" s="280" t="s">
        <v>707</v>
      </c>
      <c r="B37" s="281"/>
      <c r="C37" s="281">
        <v>1.2E-2</v>
      </c>
      <c r="D37" s="281" t="s">
        <v>2</v>
      </c>
      <c r="E37" s="279"/>
      <c r="F37" s="244" t="s">
        <v>179</v>
      </c>
      <c r="G37" s="280" t="s">
        <v>707</v>
      </c>
      <c r="H37" s="281"/>
      <c r="I37" s="281">
        <v>1.2E-2</v>
      </c>
      <c r="J37" s="281" t="s">
        <v>2</v>
      </c>
      <c r="K37" s="279"/>
      <c r="M37" s="280" t="s">
        <v>707</v>
      </c>
      <c r="N37" s="281"/>
      <c r="O37" s="281">
        <v>1.2E-2</v>
      </c>
      <c r="P37" s="281" t="s">
        <v>2</v>
      </c>
      <c r="Q37" s="324" t="s">
        <v>1237</v>
      </c>
      <c r="S37" s="280" t="s">
        <v>1173</v>
      </c>
      <c r="T37" s="281"/>
      <c r="U37" s="281">
        <v>1.2E-2</v>
      </c>
      <c r="V37" s="281" t="s">
        <v>2</v>
      </c>
      <c r="W37" s="279"/>
      <c r="Y37" s="280" t="s">
        <v>1182</v>
      </c>
      <c r="Z37" s="281"/>
      <c r="AA37" s="281">
        <v>1.2E-2</v>
      </c>
      <c r="AB37" s="281" t="s">
        <v>2</v>
      </c>
      <c r="AC37" s="279"/>
      <c r="AJ37" s="244"/>
      <c r="AK37" s="244"/>
    </row>
    <row r="38" spans="1:37" x14ac:dyDescent="0.2">
      <c r="A38" s="280" t="s">
        <v>828</v>
      </c>
      <c r="B38" s="281"/>
      <c r="C38" s="281">
        <v>5.1999999999999998E-2</v>
      </c>
      <c r="D38" s="281" t="s">
        <v>2</v>
      </c>
      <c r="E38" s="279"/>
      <c r="F38" s="244" t="s">
        <v>179</v>
      </c>
      <c r="G38" s="280" t="s">
        <v>828</v>
      </c>
      <c r="H38" s="281"/>
      <c r="I38" s="281">
        <v>5.1999999999999998E-2</v>
      </c>
      <c r="J38" s="281" t="s">
        <v>2</v>
      </c>
      <c r="K38" s="279"/>
      <c r="M38" s="280" t="s">
        <v>828</v>
      </c>
      <c r="N38" s="281"/>
      <c r="O38" s="281">
        <v>5.1999999999999998E-2</v>
      </c>
      <c r="P38" s="281" t="s">
        <v>2</v>
      </c>
      <c r="Q38" s="324" t="s">
        <v>1237</v>
      </c>
      <c r="S38" s="280" t="s">
        <v>828</v>
      </c>
      <c r="T38" s="281"/>
      <c r="U38" s="281">
        <v>5.1999999999999998E-2</v>
      </c>
      <c r="V38" s="281" t="s">
        <v>2</v>
      </c>
      <c r="W38" s="279"/>
      <c r="Y38" s="280" t="s">
        <v>828</v>
      </c>
      <c r="Z38" s="281"/>
      <c r="AA38" s="281">
        <v>5.1999999999999998E-2</v>
      </c>
      <c r="AB38" s="281" t="s">
        <v>2</v>
      </c>
      <c r="AC38" s="279"/>
      <c r="AJ38" s="244"/>
      <c r="AK38" s="244"/>
    </row>
    <row r="39" spans="1:37" x14ac:dyDescent="0.2">
      <c r="A39" s="280" t="s">
        <v>706</v>
      </c>
      <c r="B39" s="281"/>
      <c r="C39" s="281">
        <v>0.08</v>
      </c>
      <c r="D39" s="281" t="s">
        <v>2</v>
      </c>
      <c r="E39" s="279"/>
      <c r="F39" s="244" t="s">
        <v>179</v>
      </c>
      <c r="G39" s="280" t="s">
        <v>706</v>
      </c>
      <c r="H39" s="281"/>
      <c r="I39" s="281">
        <v>0.08</v>
      </c>
      <c r="J39" s="281" t="s">
        <v>2</v>
      </c>
      <c r="K39" s="279"/>
      <c r="M39" s="280" t="s">
        <v>706</v>
      </c>
      <c r="N39" s="281"/>
      <c r="O39" s="281">
        <v>0.08</v>
      </c>
      <c r="P39" s="281" t="s">
        <v>2</v>
      </c>
      <c r="Q39" s="324" t="s">
        <v>1237</v>
      </c>
      <c r="S39" s="280" t="s">
        <v>753</v>
      </c>
      <c r="T39" s="281"/>
      <c r="U39" s="281">
        <v>0.08</v>
      </c>
      <c r="V39" s="281" t="s">
        <v>2</v>
      </c>
      <c r="W39" s="279"/>
      <c r="Y39" s="280" t="s">
        <v>1180</v>
      </c>
      <c r="Z39" s="281"/>
      <c r="AA39" s="281">
        <v>0.08</v>
      </c>
      <c r="AB39" s="281" t="s">
        <v>2</v>
      </c>
      <c r="AC39" s="279"/>
      <c r="AJ39" s="244"/>
      <c r="AK39" s="244"/>
    </row>
    <row r="40" spans="1:37" x14ac:dyDescent="0.2">
      <c r="A40" s="280" t="s">
        <v>196</v>
      </c>
      <c r="B40" s="281"/>
      <c r="C40" s="281">
        <v>0.04</v>
      </c>
      <c r="D40" s="281" t="s">
        <v>2</v>
      </c>
      <c r="E40" s="282"/>
      <c r="F40" s="244" t="s">
        <v>179</v>
      </c>
      <c r="G40" s="280" t="s">
        <v>196</v>
      </c>
      <c r="H40" s="281"/>
      <c r="I40" s="281">
        <v>0.04</v>
      </c>
      <c r="J40" s="281" t="s">
        <v>2</v>
      </c>
      <c r="K40" s="282"/>
      <c r="M40" s="280" t="s">
        <v>196</v>
      </c>
      <c r="N40" s="281"/>
      <c r="O40" s="281">
        <v>0.04</v>
      </c>
      <c r="P40" s="281" t="s">
        <v>2</v>
      </c>
      <c r="Q40" s="324" t="s">
        <v>1237</v>
      </c>
      <c r="S40" s="280" t="s">
        <v>1126</v>
      </c>
      <c r="T40" s="281"/>
      <c r="U40" s="281">
        <v>0.04</v>
      </c>
      <c r="V40" s="281" t="s">
        <v>2</v>
      </c>
      <c r="W40" s="282"/>
      <c r="Y40" s="280" t="s">
        <v>1153</v>
      </c>
      <c r="Z40" s="281"/>
      <c r="AA40" s="281">
        <v>0.04</v>
      </c>
      <c r="AB40" s="281" t="s">
        <v>2</v>
      </c>
      <c r="AC40" s="282"/>
      <c r="AJ40" s="244"/>
      <c r="AK40" s="244"/>
    </row>
    <row r="41" spans="1:37" x14ac:dyDescent="0.2">
      <c r="A41" s="280" t="s">
        <v>829</v>
      </c>
      <c r="B41" s="281"/>
      <c r="C41" s="281">
        <v>0.02</v>
      </c>
      <c r="D41" s="281" t="s">
        <v>2</v>
      </c>
      <c r="E41" s="279"/>
      <c r="F41" s="244" t="s">
        <v>179</v>
      </c>
      <c r="G41" s="280" t="s">
        <v>829</v>
      </c>
      <c r="H41" s="281"/>
      <c r="I41" s="281">
        <v>0.02</v>
      </c>
      <c r="J41" s="281" t="s">
        <v>2</v>
      </c>
      <c r="K41" s="279"/>
      <c r="M41" s="280" t="s">
        <v>829</v>
      </c>
      <c r="N41" s="281"/>
      <c r="O41" s="281">
        <v>0.02</v>
      </c>
      <c r="P41" s="281" t="s">
        <v>2</v>
      </c>
      <c r="Q41" s="324" t="s">
        <v>1237</v>
      </c>
      <c r="S41" s="280" t="s">
        <v>829</v>
      </c>
      <c r="T41" s="281"/>
      <c r="U41" s="281">
        <v>0.02</v>
      </c>
      <c r="V41" s="281" t="s">
        <v>2</v>
      </c>
      <c r="W41" s="279"/>
      <c r="Y41" s="280" t="s">
        <v>829</v>
      </c>
      <c r="Z41" s="281"/>
      <c r="AA41" s="281">
        <v>0.02</v>
      </c>
      <c r="AB41" s="281" t="s">
        <v>2</v>
      </c>
      <c r="AC41" s="279"/>
      <c r="AJ41" s="244"/>
      <c r="AK41" s="244"/>
    </row>
    <row r="42" spans="1:37" x14ac:dyDescent="0.2">
      <c r="A42" s="280" t="s">
        <v>830</v>
      </c>
      <c r="B42" s="281"/>
      <c r="C42" s="281">
        <v>0.02</v>
      </c>
      <c r="D42" s="281" t="s">
        <v>2</v>
      </c>
      <c r="E42" s="279"/>
      <c r="F42" s="244" t="s">
        <v>179</v>
      </c>
      <c r="G42" s="280" t="s">
        <v>830</v>
      </c>
      <c r="H42" s="281"/>
      <c r="I42" s="281">
        <v>0.02</v>
      </c>
      <c r="J42" s="281" t="s">
        <v>2</v>
      </c>
      <c r="K42" s="279"/>
      <c r="M42" s="280" t="s">
        <v>830</v>
      </c>
      <c r="N42" s="281"/>
      <c r="O42" s="281">
        <v>0.02</v>
      </c>
      <c r="P42" s="281" t="s">
        <v>2</v>
      </c>
      <c r="Q42" s="324" t="s">
        <v>1237</v>
      </c>
      <c r="S42" s="280" t="s">
        <v>1350</v>
      </c>
      <c r="T42" s="281"/>
      <c r="U42" s="281">
        <v>0.02</v>
      </c>
      <c r="V42" s="281" t="s">
        <v>2</v>
      </c>
      <c r="W42" s="279"/>
      <c r="Y42" s="280" t="s">
        <v>1359</v>
      </c>
      <c r="Z42" s="281"/>
      <c r="AA42" s="281">
        <v>0.02</v>
      </c>
      <c r="AB42" s="281" t="s">
        <v>2</v>
      </c>
      <c r="AC42" s="279"/>
      <c r="AJ42" s="244"/>
      <c r="AK42" s="244"/>
    </row>
    <row r="43" spans="1:37" x14ac:dyDescent="0.2">
      <c r="A43" s="280" t="s">
        <v>727</v>
      </c>
      <c r="B43" s="281"/>
      <c r="C43" s="281">
        <v>1.2E-2</v>
      </c>
      <c r="D43" s="281" t="s">
        <v>2</v>
      </c>
      <c r="E43" s="279"/>
      <c r="F43" s="244" t="s">
        <v>179</v>
      </c>
      <c r="G43" s="280" t="s">
        <v>727</v>
      </c>
      <c r="H43" s="281"/>
      <c r="I43" s="281">
        <v>1.2E-2</v>
      </c>
      <c r="J43" s="281" t="s">
        <v>2</v>
      </c>
      <c r="K43" s="279"/>
      <c r="M43" s="280" t="s">
        <v>727</v>
      </c>
      <c r="N43" s="281"/>
      <c r="O43" s="281">
        <v>1.2E-2</v>
      </c>
      <c r="P43" s="281" t="s">
        <v>2</v>
      </c>
      <c r="Q43" s="324" t="s">
        <v>1237</v>
      </c>
      <c r="S43" s="280" t="s">
        <v>1204</v>
      </c>
      <c r="T43" s="281"/>
      <c r="U43" s="281">
        <v>1.2E-2</v>
      </c>
      <c r="V43" s="281" t="s">
        <v>2</v>
      </c>
      <c r="W43" s="279"/>
      <c r="Y43" s="280" t="s">
        <v>1230</v>
      </c>
      <c r="Z43" s="281"/>
      <c r="AA43" s="281">
        <v>1.2E-2</v>
      </c>
      <c r="AB43" s="281" t="s">
        <v>2</v>
      </c>
      <c r="AC43" s="279"/>
      <c r="AJ43" s="244"/>
      <c r="AK43" s="244"/>
    </row>
    <row r="44" spans="1:37" x14ac:dyDescent="0.2">
      <c r="A44" s="280" t="s">
        <v>706</v>
      </c>
      <c r="B44" s="281"/>
      <c r="C44" s="281">
        <v>0.06</v>
      </c>
      <c r="D44" s="281" t="s">
        <v>2</v>
      </c>
      <c r="E44" s="279"/>
      <c r="F44" s="244" t="s">
        <v>179</v>
      </c>
      <c r="G44" s="280" t="s">
        <v>706</v>
      </c>
      <c r="H44" s="281"/>
      <c r="I44" s="281">
        <v>0.06</v>
      </c>
      <c r="J44" s="281" t="s">
        <v>2</v>
      </c>
      <c r="K44" s="279"/>
      <c r="M44" s="280" t="s">
        <v>706</v>
      </c>
      <c r="N44" s="281"/>
      <c r="O44" s="281">
        <v>0.06</v>
      </c>
      <c r="P44" s="281" t="s">
        <v>2</v>
      </c>
      <c r="Q44" s="324" t="s">
        <v>1237</v>
      </c>
      <c r="S44" s="280" t="s">
        <v>753</v>
      </c>
      <c r="T44" s="281"/>
      <c r="U44" s="281">
        <v>0.06</v>
      </c>
      <c r="V44" s="281" t="s">
        <v>2</v>
      </c>
      <c r="W44" s="279"/>
      <c r="Y44" s="280" t="s">
        <v>1180</v>
      </c>
      <c r="Z44" s="281"/>
      <c r="AA44" s="281">
        <v>0.06</v>
      </c>
      <c r="AB44" s="281" t="s">
        <v>2</v>
      </c>
      <c r="AC44" s="279"/>
      <c r="AJ44" s="244"/>
      <c r="AK44" s="244"/>
    </row>
    <row r="45" spans="1:37" x14ac:dyDescent="0.2">
      <c r="A45" s="280" t="s">
        <v>204</v>
      </c>
      <c r="B45" s="281"/>
      <c r="C45" s="281">
        <v>0.12</v>
      </c>
      <c r="D45" s="281" t="s">
        <v>2</v>
      </c>
      <c r="E45" s="279"/>
      <c r="F45" s="244" t="s">
        <v>179</v>
      </c>
      <c r="G45" s="280" t="s">
        <v>204</v>
      </c>
      <c r="H45" s="281"/>
      <c r="I45" s="281">
        <v>0.12</v>
      </c>
      <c r="J45" s="281" t="s">
        <v>2</v>
      </c>
      <c r="K45" s="279"/>
      <c r="M45" s="280" t="s">
        <v>204</v>
      </c>
      <c r="N45" s="281"/>
      <c r="O45" s="281">
        <v>0.12</v>
      </c>
      <c r="P45" s="281" t="s">
        <v>2</v>
      </c>
      <c r="Q45" s="324" t="s">
        <v>1237</v>
      </c>
      <c r="S45" s="280" t="s">
        <v>1134</v>
      </c>
      <c r="T45" s="281"/>
      <c r="U45" s="281">
        <v>0.12</v>
      </c>
      <c r="V45" s="281" t="s">
        <v>2</v>
      </c>
      <c r="W45" s="279"/>
      <c r="Y45" s="280" t="s">
        <v>1161</v>
      </c>
      <c r="Z45" s="281"/>
      <c r="AA45" s="281">
        <v>0.12</v>
      </c>
      <c r="AB45" s="281" t="s">
        <v>2</v>
      </c>
      <c r="AC45" s="279"/>
      <c r="AJ45" s="244"/>
      <c r="AK45" s="244"/>
    </row>
    <row r="46" spans="1:37" s="1" customFormat="1" x14ac:dyDescent="0.2">
      <c r="A46" s="277" t="s">
        <v>205</v>
      </c>
      <c r="B46" s="278"/>
      <c r="C46" s="278"/>
      <c r="D46" s="278"/>
      <c r="E46" s="279"/>
      <c r="G46" s="277" t="s">
        <v>205</v>
      </c>
      <c r="H46" s="278"/>
      <c r="I46" s="278"/>
      <c r="J46" s="278"/>
      <c r="K46" s="279"/>
      <c r="M46" s="277" t="s">
        <v>205</v>
      </c>
      <c r="N46" s="278"/>
      <c r="O46" s="278"/>
      <c r="P46" s="278"/>
      <c r="Q46" s="279"/>
      <c r="S46" s="277" t="s">
        <v>205</v>
      </c>
      <c r="T46" s="278"/>
      <c r="U46" s="278"/>
      <c r="V46" s="278"/>
      <c r="W46" s="279"/>
      <c r="Y46" s="277" t="s">
        <v>205</v>
      </c>
      <c r="Z46" s="278"/>
      <c r="AA46" s="278"/>
      <c r="AB46" s="278"/>
      <c r="AC46" s="279"/>
      <c r="AD46" s="99"/>
      <c r="AE46" s="18"/>
      <c r="AF46" s="18"/>
      <c r="AG46" s="18"/>
      <c r="AH46" s="18"/>
      <c r="AI46" s="18"/>
      <c r="AJ46" s="18"/>
      <c r="AK46" s="18"/>
    </row>
    <row r="47" spans="1:37" x14ac:dyDescent="0.2">
      <c r="A47" s="280" t="s">
        <v>206</v>
      </c>
      <c r="B47" s="281"/>
      <c r="C47" s="288">
        <v>0.7</v>
      </c>
      <c r="D47" s="281" t="s">
        <v>207</v>
      </c>
      <c r="E47" s="373" t="s">
        <v>1076</v>
      </c>
      <c r="F47" s="244" t="s">
        <v>179</v>
      </c>
      <c r="G47" s="280" t="s">
        <v>206</v>
      </c>
      <c r="H47" s="281"/>
      <c r="I47" s="288">
        <f>0.0933*0.8</f>
        <v>7.4639999999999998E-2</v>
      </c>
      <c r="J47" s="281" t="s">
        <v>207</v>
      </c>
      <c r="K47" s="373" t="s">
        <v>1163</v>
      </c>
      <c r="M47" s="280" t="s">
        <v>206</v>
      </c>
      <c r="N47" s="281"/>
      <c r="O47" s="288">
        <v>2.73</v>
      </c>
      <c r="P47" s="281" t="s">
        <v>207</v>
      </c>
      <c r="Q47" s="373" t="s">
        <v>1080</v>
      </c>
      <c r="S47" s="280" t="s">
        <v>206</v>
      </c>
      <c r="T47" s="281"/>
      <c r="U47" s="288">
        <v>0.7</v>
      </c>
      <c r="V47" s="281" t="s">
        <v>207</v>
      </c>
      <c r="W47" s="373" t="s">
        <v>1076</v>
      </c>
      <c r="Y47" s="280" t="s">
        <v>206</v>
      </c>
      <c r="Z47" s="281"/>
      <c r="AA47" s="288">
        <v>0.7</v>
      </c>
      <c r="AB47" s="281" t="s">
        <v>207</v>
      </c>
      <c r="AC47" s="373" t="s">
        <v>1076</v>
      </c>
      <c r="AD47" s="40"/>
    </row>
    <row r="48" spans="1:37" x14ac:dyDescent="0.2">
      <c r="A48" s="280" t="s">
        <v>208</v>
      </c>
      <c r="B48" s="281"/>
      <c r="C48" s="288">
        <f>30/3.6</f>
        <v>8.3333333333333339</v>
      </c>
      <c r="D48" s="281" t="s">
        <v>207</v>
      </c>
      <c r="E48" s="373"/>
      <c r="F48" s="244" t="s">
        <v>179</v>
      </c>
      <c r="G48" s="280" t="s">
        <v>208</v>
      </c>
      <c r="H48" s="281"/>
      <c r="I48" s="288">
        <f>123/350</f>
        <v>0.35142857142857142</v>
      </c>
      <c r="J48" s="281" t="s">
        <v>207</v>
      </c>
      <c r="K48" s="373"/>
      <c r="M48" s="280" t="s">
        <v>208</v>
      </c>
      <c r="N48" s="281"/>
      <c r="O48" s="288">
        <f>69.9+0.38</f>
        <v>70.28</v>
      </c>
      <c r="P48" s="281" t="s">
        <v>207</v>
      </c>
      <c r="Q48" s="373"/>
      <c r="S48" s="280" t="s">
        <v>208</v>
      </c>
      <c r="T48" s="281"/>
      <c r="U48" s="288">
        <f>30/3.6</f>
        <v>8.3333333333333339</v>
      </c>
      <c r="V48" s="281" t="s">
        <v>207</v>
      </c>
      <c r="W48" s="373"/>
      <c r="Y48" s="280" t="s">
        <v>208</v>
      </c>
      <c r="Z48" s="281"/>
      <c r="AA48" s="288">
        <f>30/3.6</f>
        <v>8.3333333333333339</v>
      </c>
      <c r="AB48" s="281" t="s">
        <v>207</v>
      </c>
      <c r="AC48" s="373"/>
      <c r="AD48" s="40"/>
    </row>
    <row r="49" spans="1:41" s="1" customFormat="1" x14ac:dyDescent="0.2">
      <c r="A49" s="277" t="s">
        <v>209</v>
      </c>
      <c r="B49" s="278"/>
      <c r="C49" s="278"/>
      <c r="D49" s="278"/>
      <c r="E49" s="279"/>
      <c r="G49" s="277" t="s">
        <v>209</v>
      </c>
      <c r="H49" s="278"/>
      <c r="I49" s="278"/>
      <c r="J49" s="278"/>
      <c r="K49" s="279"/>
      <c r="M49" s="277" t="s">
        <v>209</v>
      </c>
      <c r="N49" s="278"/>
      <c r="O49" s="278"/>
      <c r="P49" s="278"/>
      <c r="Q49" s="279"/>
      <c r="S49" s="277" t="s">
        <v>209</v>
      </c>
      <c r="T49" s="278"/>
      <c r="U49" s="278"/>
      <c r="V49" s="278"/>
      <c r="W49" s="279"/>
      <c r="Y49" s="277" t="s">
        <v>209</v>
      </c>
      <c r="Z49" s="278"/>
      <c r="AA49" s="278"/>
      <c r="AB49" s="278"/>
      <c r="AC49" s="279"/>
      <c r="AD49" s="99"/>
      <c r="AE49" s="18"/>
      <c r="AF49" s="18"/>
      <c r="AG49" s="18"/>
      <c r="AH49" s="18"/>
      <c r="AI49" s="18"/>
      <c r="AJ49" s="18"/>
      <c r="AK49" s="18"/>
    </row>
    <row r="50" spans="1:41" x14ac:dyDescent="0.2">
      <c r="A50" s="280" t="s">
        <v>210</v>
      </c>
      <c r="B50" s="281"/>
      <c r="C50" s="281">
        <v>2.0000000000000001E-4</v>
      </c>
      <c r="D50" s="281" t="s">
        <v>2</v>
      </c>
      <c r="E50" s="282" t="s">
        <v>211</v>
      </c>
      <c r="F50" s="244" t="s">
        <v>179</v>
      </c>
      <c r="G50" s="280" t="s">
        <v>210</v>
      </c>
      <c r="H50" s="281"/>
      <c r="I50" s="281">
        <v>2.0000000000000002E-5</v>
      </c>
      <c r="J50" s="281" t="s">
        <v>2</v>
      </c>
      <c r="K50" s="324" t="s">
        <v>283</v>
      </c>
      <c r="L50" t="s">
        <v>87</v>
      </c>
      <c r="M50" s="280" t="s">
        <v>210</v>
      </c>
      <c r="N50" s="281"/>
      <c r="O50" s="281">
        <v>2E-3</v>
      </c>
      <c r="P50" s="281" t="s">
        <v>2</v>
      </c>
      <c r="Q50" s="373" t="s">
        <v>1164</v>
      </c>
      <c r="R50" t="s">
        <v>87</v>
      </c>
      <c r="S50" s="280" t="s">
        <v>210</v>
      </c>
      <c r="T50" s="281"/>
      <c r="U50" s="281">
        <v>2.0000000000000001E-4</v>
      </c>
      <c r="V50" s="281" t="s">
        <v>2</v>
      </c>
      <c r="W50" s="282" t="s">
        <v>211</v>
      </c>
      <c r="X50" t="s">
        <v>87</v>
      </c>
      <c r="Y50" s="280" t="s">
        <v>210</v>
      </c>
      <c r="Z50" s="281"/>
      <c r="AA50" s="281">
        <v>2.0000000000000001E-4</v>
      </c>
      <c r="AB50" s="281" t="s">
        <v>2</v>
      </c>
      <c r="AC50" s="282" t="s">
        <v>211</v>
      </c>
      <c r="AD50" s="40" t="s">
        <v>87</v>
      </c>
    </row>
    <row r="51" spans="1:41" s="1" customFormat="1" x14ac:dyDescent="0.2">
      <c r="A51" s="277" t="s">
        <v>212</v>
      </c>
      <c r="B51" s="278"/>
      <c r="C51" s="278"/>
      <c r="D51" s="278"/>
      <c r="E51" s="279"/>
      <c r="G51" s="277" t="s">
        <v>212</v>
      </c>
      <c r="H51" s="278"/>
      <c r="I51" s="278"/>
      <c r="J51" s="278"/>
      <c r="K51" s="279"/>
      <c r="M51" s="277" t="s">
        <v>212</v>
      </c>
      <c r="N51" s="278"/>
      <c r="O51" s="278"/>
      <c r="P51" s="278"/>
      <c r="Q51" s="279"/>
      <c r="S51" s="277" t="s">
        <v>212</v>
      </c>
      <c r="T51" s="278"/>
      <c r="U51" s="278"/>
      <c r="V51" s="278"/>
      <c r="W51" s="279"/>
      <c r="Y51" s="277" t="s">
        <v>212</v>
      </c>
      <c r="Z51" s="278"/>
      <c r="AA51" s="278"/>
      <c r="AB51" s="278"/>
      <c r="AC51" s="279"/>
      <c r="AD51" s="18"/>
      <c r="AE51" s="18"/>
      <c r="AF51" s="18"/>
      <c r="AG51" s="18"/>
      <c r="AH51" s="18"/>
      <c r="AI51" s="18"/>
      <c r="AJ51" s="18"/>
      <c r="AK51" s="18"/>
    </row>
    <row r="52" spans="1:41" ht="13.5" thickBot="1" x14ac:dyDescent="0.25">
      <c r="A52" s="289" t="s">
        <v>213</v>
      </c>
      <c r="B52" s="290"/>
      <c r="C52" s="318">
        <v>0.57999999999999996</v>
      </c>
      <c r="D52" s="290" t="s">
        <v>2</v>
      </c>
      <c r="E52" s="292" t="s">
        <v>214</v>
      </c>
      <c r="F52" s="244" t="s">
        <v>179</v>
      </c>
      <c r="G52" s="289" t="s">
        <v>213</v>
      </c>
      <c r="H52" s="290"/>
      <c r="I52" s="318">
        <v>0.57999999999999996</v>
      </c>
      <c r="J52" s="290" t="s">
        <v>2</v>
      </c>
      <c r="K52" s="292" t="s">
        <v>214</v>
      </c>
      <c r="M52" s="289" t="s">
        <v>213</v>
      </c>
      <c r="N52" s="290"/>
      <c r="O52" s="318">
        <v>0.57999999999999996</v>
      </c>
      <c r="P52" s="290" t="s">
        <v>2</v>
      </c>
      <c r="Q52" s="292" t="s">
        <v>214</v>
      </c>
      <c r="S52" s="289" t="s">
        <v>213</v>
      </c>
      <c r="T52" s="290"/>
      <c r="U52" s="318">
        <v>0.57999999999999996</v>
      </c>
      <c r="V52" s="290" t="s">
        <v>2</v>
      </c>
      <c r="W52" s="292" t="s">
        <v>214</v>
      </c>
      <c r="Y52" s="289" t="s">
        <v>213</v>
      </c>
      <c r="Z52" s="290"/>
      <c r="AA52" s="318">
        <v>0.57999999999999996</v>
      </c>
      <c r="AB52" s="290" t="s">
        <v>2</v>
      </c>
      <c r="AC52" s="292" t="s">
        <v>214</v>
      </c>
    </row>
    <row r="56" spans="1:41" x14ac:dyDescent="0.2">
      <c r="Y56" s="244"/>
      <c r="Z56" s="244"/>
    </row>
    <row r="57" spans="1:41" x14ac:dyDescent="0.2">
      <c r="Y57" s="244"/>
      <c r="Z57" s="244"/>
    </row>
    <row r="58" spans="1:41" x14ac:dyDescent="0.2">
      <c r="Y58" s="244"/>
      <c r="Z58" s="244"/>
    </row>
    <row r="59" spans="1:41" s="293" customFormat="1" x14ac:dyDescent="0.2">
      <c r="A59" s="17"/>
      <c r="B59" s="17"/>
    </row>
    <row r="60" spans="1:41" s="293" customFormat="1" x14ac:dyDescent="0.2">
      <c r="A60" s="17" t="s">
        <v>708</v>
      </c>
      <c r="U60" s="197" t="s">
        <v>550</v>
      </c>
      <c r="V60" s="198" t="s">
        <v>551</v>
      </c>
      <c r="W60" s="198" t="s">
        <v>550</v>
      </c>
      <c r="X60" s="198" t="s">
        <v>551</v>
      </c>
      <c r="Y60" s="199" t="s">
        <v>552</v>
      </c>
      <c r="Z60" s="294"/>
      <c r="AA60" s="295"/>
      <c r="AB60" s="17" t="s">
        <v>105</v>
      </c>
      <c r="AC60" s="17"/>
      <c r="AD60" s="148" t="s">
        <v>549</v>
      </c>
      <c r="AE60" s="149"/>
      <c r="AF60" s="149"/>
      <c r="AG60" s="149" t="s">
        <v>548</v>
      </c>
      <c r="AH60" s="149"/>
      <c r="AI60" s="149"/>
      <c r="AJ60" s="149" t="s">
        <v>547</v>
      </c>
      <c r="AK60" s="149"/>
      <c r="AL60" s="149"/>
      <c r="AM60" s="296" t="s">
        <v>553</v>
      </c>
      <c r="AN60" s="294"/>
      <c r="AO60" s="295"/>
    </row>
    <row r="61" spans="1:41" s="139" customFormat="1" ht="15" customHeight="1" x14ac:dyDescent="0.2">
      <c r="A61" s="57" t="s">
        <v>58</v>
      </c>
      <c r="B61" s="55" t="s">
        <v>289</v>
      </c>
      <c r="C61" s="56" t="s">
        <v>100</v>
      </c>
      <c r="D61" s="56" t="s">
        <v>11</v>
      </c>
      <c r="E61" s="63" t="s">
        <v>291</v>
      </c>
      <c r="F61" s="63"/>
      <c r="G61" s="66" t="s">
        <v>292</v>
      </c>
      <c r="H61" s="66" t="s">
        <v>8</v>
      </c>
      <c r="I61" s="66" t="s">
        <v>217</v>
      </c>
      <c r="J61" s="66" t="s">
        <v>11</v>
      </c>
      <c r="K61" s="66" t="s">
        <v>291</v>
      </c>
      <c r="L61" s="63"/>
      <c r="M61" s="67" t="s">
        <v>293</v>
      </c>
      <c r="N61" s="67" t="s">
        <v>8</v>
      </c>
      <c r="O61" s="67" t="s">
        <v>217</v>
      </c>
      <c r="P61" s="67" t="s">
        <v>11</v>
      </c>
      <c r="Q61" s="67" t="s">
        <v>291</v>
      </c>
      <c r="R61" s="67"/>
      <c r="S61" s="63"/>
      <c r="T61" s="297" t="s">
        <v>275</v>
      </c>
      <c r="U61" s="126" t="s">
        <v>530</v>
      </c>
      <c r="V61" s="114" t="s">
        <v>531</v>
      </c>
      <c r="W61" s="114" t="s">
        <v>532</v>
      </c>
      <c r="X61" s="114" t="s">
        <v>533</v>
      </c>
      <c r="Y61" s="114" t="s">
        <v>534</v>
      </c>
      <c r="Z61" s="114" t="s">
        <v>535</v>
      </c>
      <c r="AA61" s="131" t="s">
        <v>536</v>
      </c>
      <c r="AB61" s="22" t="s">
        <v>545</v>
      </c>
      <c r="AC61" s="23" t="s">
        <v>546</v>
      </c>
      <c r="AD61" s="148" t="s">
        <v>31</v>
      </c>
      <c r="AE61" s="149" t="s">
        <v>32</v>
      </c>
      <c r="AF61" s="150" t="s">
        <v>33</v>
      </c>
      <c r="AG61" s="148" t="s">
        <v>31</v>
      </c>
      <c r="AH61" s="149" t="s">
        <v>32</v>
      </c>
      <c r="AI61" s="150" t="s">
        <v>33</v>
      </c>
      <c r="AJ61" s="148" t="s">
        <v>31</v>
      </c>
      <c r="AK61" s="149" t="s">
        <v>32</v>
      </c>
      <c r="AL61" s="149" t="s">
        <v>33</v>
      </c>
      <c r="AM61" s="298"/>
      <c r="AN61" s="136"/>
      <c r="AO61" s="299"/>
    </row>
    <row r="62" spans="1:41" s="51" customFormat="1" ht="15" customHeight="1" x14ac:dyDescent="0.2">
      <c r="A62" s="68" t="str">
        <f>'36. Generic chemical products'!A5</f>
        <v>Detergent, average (Ultravon EL)</v>
      </c>
      <c r="B62" s="68" t="str">
        <f>'36. Generic chemical products'!B5</f>
        <v>Polyacrylic acid, sodium salt</v>
      </c>
      <c r="C62" s="68">
        <f>'36. Generic chemical products'!C5</f>
        <v>0.1</v>
      </c>
      <c r="D62" s="68" t="str">
        <f>'36. Generic chemical products'!D5</f>
        <v>kg</v>
      </c>
      <c r="E62" s="68" t="str">
        <f>'36. Generic chemical products'!E5</f>
        <v>MSDS</v>
      </c>
      <c r="F62" s="68">
        <f>'36. Generic chemical products'!F5</f>
        <v>0</v>
      </c>
      <c r="G62" s="68" t="str">
        <f>'36. Generic chemical products'!G5</f>
        <v>-</v>
      </c>
      <c r="H62" s="68">
        <f>'36. Generic chemical products'!H5</f>
        <v>0</v>
      </c>
      <c r="I62" s="68">
        <f>'36. Generic chemical products'!I5</f>
        <v>0</v>
      </c>
      <c r="J62" s="68">
        <f>'36. Generic chemical products'!J5</f>
        <v>0</v>
      </c>
      <c r="K62" s="68">
        <f>'36. Generic chemical products'!K5</f>
        <v>0</v>
      </c>
      <c r="L62" s="68">
        <f>'36. Generic chemical products'!L5</f>
        <v>0</v>
      </c>
      <c r="M62" s="68" t="str">
        <f>'36. Generic chemical products'!M5</f>
        <v>Polyacrylic acid, sodium salt</v>
      </c>
      <c r="N62" s="68" t="str">
        <f>'36. Generic chemical products'!N5</f>
        <v>river</v>
      </c>
      <c r="O62" s="68">
        <f>'36. Generic chemical products'!O5</f>
        <v>9.9000000000000008E-3</v>
      </c>
      <c r="P62" s="68" t="str">
        <f>'36. Generic chemical products'!P5</f>
        <v>kg</v>
      </c>
      <c r="Q62" s="68" t="str">
        <f>'36. Generic chemical products'!Q5</f>
        <v>1% of polymer content remains as monomers from the production process.</v>
      </c>
      <c r="R62" s="68">
        <f>'36. Generic chemical products'!R5</f>
        <v>0</v>
      </c>
      <c r="S62" s="68">
        <f>'36. Generic chemical products'!S5</f>
        <v>0</v>
      </c>
      <c r="T62" s="68" t="str">
        <f>'36. Generic chemical products'!T5</f>
        <v>9003-04-7</v>
      </c>
      <c r="U62" s="68">
        <f>'36. Generic chemical products'!U5</f>
        <v>0</v>
      </c>
      <c r="V62" s="68">
        <f>'36. Generic chemical products'!V5</f>
        <v>0</v>
      </c>
      <c r="W62" s="68">
        <f>'36. Generic chemical products'!W5</f>
        <v>0</v>
      </c>
      <c r="X62" s="68">
        <f>'36. Generic chemical products'!X5</f>
        <v>0</v>
      </c>
      <c r="Y62" s="68">
        <f>'36. Generic chemical products'!Y5</f>
        <v>7.06</v>
      </c>
      <c r="Z62" s="68">
        <f>'36. Generic chemical products'!Z5</f>
        <v>78.599999999999994</v>
      </c>
      <c r="AA62" s="68" t="str">
        <f>'36. Generic chemical products'!AA5</f>
        <v>COSMEDE</v>
      </c>
      <c r="AB62" s="300">
        <f t="shared" ref="AB62:AB67" si="0">$C$20*I62</f>
        <v>0</v>
      </c>
      <c r="AC62" s="301">
        <f t="shared" ref="AC62:AC67" si="1">$C$33*O62</f>
        <v>9.9000000000000021E-4</v>
      </c>
      <c r="AD62" s="302">
        <f t="shared" ref="AD62:AD94" si="2">AB62*U62+AC62*W62</f>
        <v>0</v>
      </c>
      <c r="AE62" s="302">
        <f t="shared" ref="AE62:AE94" si="3">AB62*V62+AC62*X62</f>
        <v>0</v>
      </c>
      <c r="AF62" s="303">
        <f t="shared" ref="AF62:AF94" si="4">AB62*Y62+AC62*Z62</f>
        <v>7.7814000000000008E-2</v>
      </c>
      <c r="AG62" s="303">
        <f t="shared" ref="AG62:AG94" si="5">AB62*U62</f>
        <v>0</v>
      </c>
      <c r="AH62" s="303">
        <f t="shared" ref="AH62:AH94" si="6">AB62*V62</f>
        <v>0</v>
      </c>
      <c r="AI62" s="303">
        <f t="shared" ref="AI62:AI94" si="7">AB62*Y62</f>
        <v>0</v>
      </c>
      <c r="AJ62" s="303">
        <f t="shared" ref="AJ62:AJ94" si="8">AC62*W62</f>
        <v>0</v>
      </c>
      <c r="AK62" s="303">
        <f t="shared" ref="AK62:AK94" si="9">AC62*X62</f>
        <v>0</v>
      </c>
      <c r="AL62" s="303">
        <f t="shared" ref="AL62:AL94" si="10">AC62*Z62</f>
        <v>7.7814000000000008E-2</v>
      </c>
      <c r="AM62" s="304">
        <f t="shared" ref="AM62:AO77" si="11">AG62+AJ62</f>
        <v>0</v>
      </c>
      <c r="AN62" s="305">
        <f t="shared" si="11"/>
        <v>0</v>
      </c>
      <c r="AO62" s="306">
        <f t="shared" si="11"/>
        <v>7.7814000000000008E-2</v>
      </c>
    </row>
    <row r="63" spans="1:41" s="51" customFormat="1" ht="15" customHeight="1" x14ac:dyDescent="0.2">
      <c r="A63" s="68" t="str">
        <f>'36. Generic chemical products'!A6</f>
        <v>Detergent, average (Ultravon EL)</v>
      </c>
      <c r="B63" s="68" t="str">
        <f>'36. Generic chemical products'!B6</f>
        <v>Oxirane, methyl-, polymer with oxirane, decyl ether</v>
      </c>
      <c r="C63" s="68">
        <f>'36. Generic chemical products'!C6</f>
        <v>0.25</v>
      </c>
      <c r="D63" s="68" t="str">
        <f>'36. Generic chemical products'!D6</f>
        <v>kg</v>
      </c>
      <c r="E63" s="68" t="str">
        <f>'36. Generic chemical products'!E6</f>
        <v>MSDS</v>
      </c>
      <c r="F63" s="68">
        <f>'36. Generic chemical products'!F6</f>
        <v>0</v>
      </c>
      <c r="G63" s="68" t="str">
        <f>'36. Generic chemical products'!G6</f>
        <v>-</v>
      </c>
      <c r="H63" s="68">
        <f>'36. Generic chemical products'!H6</f>
        <v>0</v>
      </c>
      <c r="I63" s="68">
        <f>'36. Generic chemical products'!I6</f>
        <v>0</v>
      </c>
      <c r="J63" s="68">
        <f>'36. Generic chemical products'!J6</f>
        <v>0</v>
      </c>
      <c r="K63" s="68">
        <f>'36. Generic chemical products'!K6</f>
        <v>0</v>
      </c>
      <c r="L63" s="68">
        <f>'36. Generic chemical products'!L6</f>
        <v>0</v>
      </c>
      <c r="M63" s="68" t="str">
        <f>'36. Generic chemical products'!M6</f>
        <v>Oxirane, methyl-, polymer with oxirane, decyl ether</v>
      </c>
      <c r="N63" s="68" t="str">
        <f>'36. Generic chemical products'!N6</f>
        <v>river</v>
      </c>
      <c r="O63" s="68">
        <f>'36. Generic chemical products'!O6</f>
        <v>2.5000000000000001E-2</v>
      </c>
      <c r="P63" s="68" t="str">
        <f>'36. Generic chemical products'!P6</f>
        <v>kg</v>
      </c>
      <c r="Q63" s="68">
        <f>'36. Generic chemical products'!Q6</f>
        <v>0</v>
      </c>
      <c r="R63" s="68">
        <f>'36. Generic chemical products'!R6</f>
        <v>0</v>
      </c>
      <c r="S63" s="68">
        <f>'36. Generic chemical products'!S6</f>
        <v>0</v>
      </c>
      <c r="T63" s="68" t="str">
        <f>'36. Generic chemical products'!T6</f>
        <v>37251-67-5</v>
      </c>
      <c r="U63" s="68">
        <f>'36. Generic chemical products'!U6</f>
        <v>0</v>
      </c>
      <c r="V63" s="68">
        <f>'36. Generic chemical products'!V6</f>
        <v>1.2009414857886904E-7</v>
      </c>
      <c r="W63" s="68">
        <f>'36. Generic chemical products'!W6</f>
        <v>0</v>
      </c>
      <c r="X63" s="68">
        <f>'36. Generic chemical products'!X6</f>
        <v>3.2843909509658706E-7</v>
      </c>
      <c r="Y63" s="68">
        <f>'36. Generic chemical products'!Y6</f>
        <v>14.526941022240393</v>
      </c>
      <c r="Z63" s="68">
        <f>'36. Generic chemical products'!Z6</f>
        <v>111.251141519207</v>
      </c>
      <c r="AA63" s="68" t="str">
        <f>'36. Generic chemical products'!AA6</f>
        <v>Roos 2017</v>
      </c>
      <c r="AB63" s="300">
        <f t="shared" si="0"/>
        <v>0</v>
      </c>
      <c r="AC63" s="301">
        <f t="shared" si="1"/>
        <v>2.5000000000000005E-3</v>
      </c>
      <c r="AD63" s="302">
        <f t="shared" si="2"/>
        <v>0</v>
      </c>
      <c r="AE63" s="302">
        <f t="shared" si="3"/>
        <v>8.2109773774146776E-10</v>
      </c>
      <c r="AF63" s="303">
        <f t="shared" si="4"/>
        <v>0.27812785379801752</v>
      </c>
      <c r="AG63" s="303">
        <f t="shared" si="5"/>
        <v>0</v>
      </c>
      <c r="AH63" s="303">
        <f t="shared" si="6"/>
        <v>0</v>
      </c>
      <c r="AI63" s="303">
        <f t="shared" si="7"/>
        <v>0</v>
      </c>
      <c r="AJ63" s="303">
        <f t="shared" si="8"/>
        <v>0</v>
      </c>
      <c r="AK63" s="303">
        <f t="shared" si="9"/>
        <v>8.2109773774146776E-10</v>
      </c>
      <c r="AL63" s="303">
        <f t="shared" si="10"/>
        <v>0.27812785379801752</v>
      </c>
      <c r="AM63" s="304">
        <f t="shared" si="11"/>
        <v>0</v>
      </c>
      <c r="AN63" s="305">
        <f t="shared" si="11"/>
        <v>8.2109773774146776E-10</v>
      </c>
      <c r="AO63" s="306">
        <f t="shared" si="11"/>
        <v>0.27812785379801752</v>
      </c>
    </row>
    <row r="64" spans="1:41" s="51" customFormat="1" ht="15" customHeight="1" x14ac:dyDescent="0.2">
      <c r="A64" s="68" t="str">
        <f>'36. Generic chemical products'!A7</f>
        <v>Detergent, average (Ultravon EL)</v>
      </c>
      <c r="B64" s="68" t="str">
        <f>'36. Generic chemical products'!B7</f>
        <v>Ethoxylated fatty alcohol (&gt;6 EO)</v>
      </c>
      <c r="C64" s="68">
        <f>'36. Generic chemical products'!C7</f>
        <v>0.1</v>
      </c>
      <c r="D64" s="68" t="str">
        <f>'36. Generic chemical products'!D7</f>
        <v>kg</v>
      </c>
      <c r="E64" s="68" t="str">
        <f>'36. Generic chemical products'!E7</f>
        <v>MSDS</v>
      </c>
      <c r="F64" s="68">
        <f>'36. Generic chemical products'!F7</f>
        <v>0</v>
      </c>
      <c r="G64" s="68" t="str">
        <f>'36. Generic chemical products'!G7</f>
        <v>-</v>
      </c>
      <c r="H64" s="68">
        <f>'36. Generic chemical products'!H7</f>
        <v>0</v>
      </c>
      <c r="I64" s="68">
        <f>'36. Generic chemical products'!I7</f>
        <v>0</v>
      </c>
      <c r="J64" s="68">
        <f>'36. Generic chemical products'!J7</f>
        <v>0</v>
      </c>
      <c r="K64" s="68">
        <f>'36. Generic chemical products'!K7</f>
        <v>0</v>
      </c>
      <c r="L64" s="68">
        <f>'36. Generic chemical products'!L7</f>
        <v>0</v>
      </c>
      <c r="M64" s="68" t="str">
        <f>'36. Generic chemical products'!M7</f>
        <v>Alcohols, c12-14, ethoxylated</v>
      </c>
      <c r="N64" s="68" t="str">
        <f>'36. Generic chemical products'!N7</f>
        <v>river</v>
      </c>
      <c r="O64" s="68">
        <f>'36. Generic chemical products'!O7</f>
        <v>1.0000000000000002E-2</v>
      </c>
      <c r="P64" s="68" t="str">
        <f>'36. Generic chemical products'!P7</f>
        <v>kg</v>
      </c>
      <c r="Q64" s="68">
        <f>'36. Generic chemical products'!Q7</f>
        <v>0</v>
      </c>
      <c r="R64" s="68">
        <f>'36. Generic chemical products'!R7</f>
        <v>0</v>
      </c>
      <c r="S64" s="68">
        <f>'36. Generic chemical products'!S7</f>
        <v>0</v>
      </c>
      <c r="T64" s="68" t="str">
        <f>'36. Generic chemical products'!T7</f>
        <v>69011-36-5</v>
      </c>
      <c r="U64" s="68">
        <f>'36. Generic chemical products'!U7</f>
        <v>0</v>
      </c>
      <c r="V64" s="68">
        <f>'36. Generic chemical products'!V7</f>
        <v>0</v>
      </c>
      <c r="W64" s="68">
        <f>'36. Generic chemical products'!W7</f>
        <v>0</v>
      </c>
      <c r="X64" s="68">
        <f>'36. Generic chemical products'!X7</f>
        <v>0</v>
      </c>
      <c r="Y64" s="68">
        <f>'36. Generic chemical products'!Y7</f>
        <v>47</v>
      </c>
      <c r="Z64" s="68">
        <f>'36. Generic chemical products'!Z7</f>
        <v>913</v>
      </c>
      <c r="AA64" s="68" t="str">
        <f>'36. Generic chemical products'!AA7</f>
        <v>COSMEDE</v>
      </c>
      <c r="AB64" s="300">
        <f t="shared" si="0"/>
        <v>0</v>
      </c>
      <c r="AC64" s="301">
        <f t="shared" si="1"/>
        <v>1.0000000000000002E-3</v>
      </c>
      <c r="AD64" s="302">
        <f t="shared" si="2"/>
        <v>0</v>
      </c>
      <c r="AE64" s="302">
        <f t="shared" si="3"/>
        <v>0</v>
      </c>
      <c r="AF64" s="303">
        <f t="shared" si="4"/>
        <v>0.91300000000000026</v>
      </c>
      <c r="AG64" s="303">
        <f t="shared" si="5"/>
        <v>0</v>
      </c>
      <c r="AH64" s="303">
        <f t="shared" si="6"/>
        <v>0</v>
      </c>
      <c r="AI64" s="303">
        <f t="shared" si="7"/>
        <v>0</v>
      </c>
      <c r="AJ64" s="303">
        <f t="shared" si="8"/>
        <v>0</v>
      </c>
      <c r="AK64" s="303">
        <f t="shared" si="9"/>
        <v>0</v>
      </c>
      <c r="AL64" s="303">
        <f t="shared" si="10"/>
        <v>0.91300000000000026</v>
      </c>
      <c r="AM64" s="304">
        <f t="shared" si="11"/>
        <v>0</v>
      </c>
      <c r="AN64" s="305">
        <f t="shared" si="11"/>
        <v>0</v>
      </c>
      <c r="AO64" s="306">
        <f t="shared" si="11"/>
        <v>0.91300000000000026</v>
      </c>
    </row>
    <row r="65" spans="1:41" s="51" customFormat="1" ht="15" customHeight="1" x14ac:dyDescent="0.2">
      <c r="A65" s="68" t="str">
        <f>'36. Generic chemical products'!A8</f>
        <v>Detergent, average (Ultravon EL)</v>
      </c>
      <c r="B65" s="68" t="str">
        <f>'36. Generic chemical products'!B8</f>
        <v>Sodium mono(2-ethylhexyl)estersulfate</v>
      </c>
      <c r="C65" s="68">
        <f>'36. Generic chemical products'!C8</f>
        <v>0.05</v>
      </c>
      <c r="D65" s="68" t="str">
        <f>'36. Generic chemical products'!D8</f>
        <v>kg</v>
      </c>
      <c r="E65" s="68" t="str">
        <f>'36. Generic chemical products'!E8</f>
        <v>MSDS</v>
      </c>
      <c r="F65" s="68">
        <f>'36. Generic chemical products'!F8</f>
        <v>0</v>
      </c>
      <c r="G65" s="68" t="str">
        <f>'36. Generic chemical products'!G8</f>
        <v>-</v>
      </c>
      <c r="H65" s="68">
        <f>'36. Generic chemical products'!H8</f>
        <v>0</v>
      </c>
      <c r="I65" s="68">
        <f>'36. Generic chemical products'!I8</f>
        <v>0</v>
      </c>
      <c r="J65" s="68">
        <f>'36. Generic chemical products'!J8</f>
        <v>0</v>
      </c>
      <c r="K65" s="68">
        <f>'36. Generic chemical products'!K8</f>
        <v>0</v>
      </c>
      <c r="L65" s="68">
        <f>'36. Generic chemical products'!L8</f>
        <v>0</v>
      </c>
      <c r="M65" s="68" t="str">
        <f>'36. Generic chemical products'!M8</f>
        <v>Sodium mono(2-ethylhexyl)estersulfate</v>
      </c>
      <c r="N65" s="68" t="str">
        <f>'36. Generic chemical products'!N8</f>
        <v>river</v>
      </c>
      <c r="O65" s="68">
        <f>'36. Generic chemical products'!O8</f>
        <v>5.000000000000001E-3</v>
      </c>
      <c r="P65" s="68" t="str">
        <f>'36. Generic chemical products'!P8</f>
        <v>kg</v>
      </c>
      <c r="Q65" s="68">
        <f>'36. Generic chemical products'!Q8</f>
        <v>0</v>
      </c>
      <c r="R65" s="68">
        <f>'36. Generic chemical products'!R8</f>
        <v>0</v>
      </c>
      <c r="S65" s="68">
        <f>'36. Generic chemical products'!S8</f>
        <v>0</v>
      </c>
      <c r="T65" s="68" t="str">
        <f>'36. Generic chemical products'!T8</f>
        <v>126-92-1</v>
      </c>
      <c r="U65" s="68">
        <f>'36. Generic chemical products'!U8</f>
        <v>0</v>
      </c>
      <c r="V65" s="68">
        <f>'36. Generic chemical products'!V8</f>
        <v>0</v>
      </c>
      <c r="W65" s="68">
        <f>'36. Generic chemical products'!W8</f>
        <v>0</v>
      </c>
      <c r="X65" s="68">
        <f>'36. Generic chemical products'!X8</f>
        <v>0</v>
      </c>
      <c r="Y65" s="68">
        <f>'36. Generic chemical products'!Y8</f>
        <v>109.72</v>
      </c>
      <c r="Z65" s="68">
        <f>'36. Generic chemical products'!Z8</f>
        <v>110</v>
      </c>
      <c r="AA65" s="68" t="str">
        <f>'36. Generic chemical products'!AA8</f>
        <v>COSMEDE</v>
      </c>
      <c r="AB65" s="300">
        <f t="shared" si="0"/>
        <v>0</v>
      </c>
      <c r="AC65" s="301">
        <f t="shared" si="1"/>
        <v>5.0000000000000012E-4</v>
      </c>
      <c r="AD65" s="302">
        <f t="shared" si="2"/>
        <v>0</v>
      </c>
      <c r="AE65" s="302">
        <f t="shared" si="3"/>
        <v>0</v>
      </c>
      <c r="AF65" s="303">
        <f t="shared" si="4"/>
        <v>5.5000000000000014E-2</v>
      </c>
      <c r="AG65" s="303">
        <f t="shared" si="5"/>
        <v>0</v>
      </c>
      <c r="AH65" s="303">
        <f t="shared" si="6"/>
        <v>0</v>
      </c>
      <c r="AI65" s="303">
        <f t="shared" si="7"/>
        <v>0</v>
      </c>
      <c r="AJ65" s="303">
        <f t="shared" si="8"/>
        <v>0</v>
      </c>
      <c r="AK65" s="303">
        <f t="shared" si="9"/>
        <v>0</v>
      </c>
      <c r="AL65" s="303">
        <f t="shared" si="10"/>
        <v>5.5000000000000014E-2</v>
      </c>
      <c r="AM65" s="304">
        <f t="shared" si="11"/>
        <v>0</v>
      </c>
      <c r="AN65" s="305">
        <f t="shared" si="11"/>
        <v>0</v>
      </c>
      <c r="AO65" s="306">
        <f t="shared" si="11"/>
        <v>5.5000000000000014E-2</v>
      </c>
    </row>
    <row r="66" spans="1:41" s="51" customFormat="1" ht="15" customHeight="1" x14ac:dyDescent="0.2">
      <c r="A66" s="68" t="str">
        <f>'36. Generic chemical products'!A9</f>
        <v>Detergent, average (Ultravon EL)</v>
      </c>
      <c r="B66" s="68" t="str">
        <f>'36. Generic chemical products'!B9</f>
        <v>Ethylene oxide</v>
      </c>
      <c r="C66" s="68">
        <f>'36. Generic chemical products'!C9</f>
        <v>0</v>
      </c>
      <c r="D66" s="68">
        <f>'36. Generic chemical products'!D9</f>
        <v>0</v>
      </c>
      <c r="E66" s="68" t="str">
        <f>'36. Generic chemical products'!E9</f>
        <v>&lt;= 0.1% in alcohol ethoxylates</v>
      </c>
      <c r="F66" s="68">
        <f>'36. Generic chemical products'!F9</f>
        <v>0</v>
      </c>
      <c r="G66" s="68" t="str">
        <f>'36. Generic chemical products'!G9</f>
        <v>Ethylene oxide</v>
      </c>
      <c r="H66" s="68" t="str">
        <f>'36. Generic chemical products'!H9</f>
        <v>high. pop.</v>
      </c>
      <c r="I66" s="68">
        <f>'36. Generic chemical products'!I9</f>
        <v>1.0000000000000001E-7</v>
      </c>
      <c r="J66" s="68" t="str">
        <f>'36. Generic chemical products'!J9</f>
        <v>kg</v>
      </c>
      <c r="K66" s="68">
        <f>'36. Generic chemical products'!K9</f>
        <v>0</v>
      </c>
      <c r="L66" s="68">
        <f>'36. Generic chemical products'!L9</f>
        <v>0</v>
      </c>
      <c r="M66" s="68" t="str">
        <f>'36. Generic chemical products'!M9</f>
        <v>Ethylene oxide</v>
      </c>
      <c r="N66" s="68" t="str">
        <f>'36. Generic chemical products'!N9</f>
        <v>river</v>
      </c>
      <c r="O66" s="68">
        <f>'36. Generic chemical products'!O9</f>
        <v>1.0000000000000001E-5</v>
      </c>
      <c r="P66" s="68" t="str">
        <f>'36. Generic chemical products'!P9</f>
        <v>kg</v>
      </c>
      <c r="Q66" s="68" t="str">
        <f>'36. Generic chemical products'!Q9</f>
        <v>&lt;= 0.001 in alcohol ethoxylates</v>
      </c>
      <c r="R66" s="68">
        <f>'36. Generic chemical products'!R9</f>
        <v>0</v>
      </c>
      <c r="S66" s="68">
        <f>'36. Generic chemical products'!S9</f>
        <v>0</v>
      </c>
      <c r="T66" s="68" t="str">
        <f>'36. Generic chemical products'!T9</f>
        <v>75-21-8</v>
      </c>
      <c r="U66" s="68">
        <f>'36. Generic chemical products'!U9</f>
        <v>1.0252176328593382E-6</v>
      </c>
      <c r="V66" s="68">
        <f>'36. Generic chemical products'!V9</f>
        <v>0</v>
      </c>
      <c r="W66" s="68">
        <f>'36. Generic chemical products'!W9</f>
        <v>8.6533271568247147E-7</v>
      </c>
      <c r="X66" s="68">
        <f>'36. Generic chemical products'!X9</f>
        <v>0</v>
      </c>
      <c r="Y66" s="68">
        <f>'36. Generic chemical products'!Y9</f>
        <v>0.65406517859613422</v>
      </c>
      <c r="Z66" s="68">
        <f>'36. Generic chemical products'!Z9</f>
        <v>11.248588270889815</v>
      </c>
      <c r="AA66" s="68" t="str">
        <f>'36. Generic chemical products'!AA9</f>
        <v>USEtox</v>
      </c>
      <c r="AB66" s="300">
        <f t="shared" si="0"/>
        <v>1.0000000000000002E-8</v>
      </c>
      <c r="AC66" s="301">
        <f t="shared" si="1"/>
        <v>1.0000000000000002E-6</v>
      </c>
      <c r="AD66" s="302">
        <f t="shared" si="2"/>
        <v>8.75584892011065E-13</v>
      </c>
      <c r="AE66" s="302">
        <f t="shared" si="3"/>
        <v>0</v>
      </c>
      <c r="AF66" s="303">
        <f t="shared" si="4"/>
        <v>1.1255128922675778E-5</v>
      </c>
      <c r="AG66" s="303">
        <f t="shared" si="5"/>
        <v>1.0252176328593384E-14</v>
      </c>
      <c r="AH66" s="303">
        <f t="shared" si="6"/>
        <v>0</v>
      </c>
      <c r="AI66" s="303">
        <f t="shared" si="7"/>
        <v>6.5406517859613432E-9</v>
      </c>
      <c r="AJ66" s="303">
        <f t="shared" si="8"/>
        <v>8.6533271568247165E-13</v>
      </c>
      <c r="AK66" s="303">
        <f t="shared" si="9"/>
        <v>0</v>
      </c>
      <c r="AL66" s="303">
        <f t="shared" si="10"/>
        <v>1.1248588270889817E-5</v>
      </c>
      <c r="AM66" s="304">
        <f t="shared" si="11"/>
        <v>8.75584892011065E-13</v>
      </c>
      <c r="AN66" s="305">
        <f t="shared" si="11"/>
        <v>0</v>
      </c>
      <c r="AO66" s="306">
        <f t="shared" si="11"/>
        <v>1.1255128922675778E-5</v>
      </c>
    </row>
    <row r="67" spans="1:41" s="139" customFormat="1" ht="15" customHeight="1" x14ac:dyDescent="0.2">
      <c r="A67" s="193" t="str">
        <f>'36. Generic chemical products'!A10</f>
        <v>Detergent, average (Ultravon EL)</v>
      </c>
      <c r="B67" s="193" t="str">
        <f>'36. Generic chemical products'!B10</f>
        <v xml:space="preserve"> </v>
      </c>
      <c r="C67" s="193">
        <f>'36. Generic chemical products'!C10</f>
        <v>0</v>
      </c>
      <c r="D67" s="193">
        <f>'36. Generic chemical products'!D10</f>
        <v>0</v>
      </c>
      <c r="E67" s="193" t="str">
        <f>'36. Generic chemical products'!E10</f>
        <v>Common breakdown product of of acrylics, 0.001 % assumed</v>
      </c>
      <c r="F67" s="193">
        <f>'36. Generic chemical products'!F10</f>
        <v>0</v>
      </c>
      <c r="G67" s="193" t="str">
        <f>'36. Generic chemical products'!G10</f>
        <v>Formaldehyde</v>
      </c>
      <c r="H67" s="193" t="str">
        <f>'36. Generic chemical products'!H10</f>
        <v>high. pop.</v>
      </c>
      <c r="I67" s="193">
        <f>'36. Generic chemical products'!I10</f>
        <v>1.0000000000000001E-7</v>
      </c>
      <c r="J67" s="193" t="str">
        <f>'36. Generic chemical products'!J10</f>
        <v>kg</v>
      </c>
      <c r="K67" s="193">
        <f>'36. Generic chemical products'!K10</f>
        <v>0</v>
      </c>
      <c r="L67" s="193">
        <f>'36. Generic chemical products'!L10</f>
        <v>0</v>
      </c>
      <c r="M67" s="193" t="str">
        <f>'36. Generic chemical products'!M10</f>
        <v>Formaldehyde</v>
      </c>
      <c r="N67" s="193" t="str">
        <f>'36. Generic chemical products'!N10</f>
        <v>river</v>
      </c>
      <c r="O67" s="193">
        <f>'36. Generic chemical products'!O10</f>
        <v>1.0000000000000002E-6</v>
      </c>
      <c r="P67" s="193" t="str">
        <f>'36. Generic chemical products'!P10</f>
        <v>kg</v>
      </c>
      <c r="Q67" s="193" t="str">
        <f>'36. Generic chemical products'!Q10</f>
        <v xml:space="preserve">0.1 % of the content is degraded to common breakdown products. 90% of reactive chemicals are degraded during operations. </v>
      </c>
      <c r="R67" s="193">
        <f>'36. Generic chemical products'!R10</f>
        <v>0</v>
      </c>
      <c r="S67" s="193">
        <f>'36. Generic chemical products'!S10</f>
        <v>0</v>
      </c>
      <c r="T67" s="193" t="str">
        <f>'36. Generic chemical products'!T10</f>
        <v>50-00-0</v>
      </c>
      <c r="U67" s="193">
        <f>'36. Generic chemical products'!U10</f>
        <v>2.5208446330720887E-5</v>
      </c>
      <c r="V67" s="193">
        <f>'36. Generic chemical products'!V10</f>
        <v>2.6504960021309262E-7</v>
      </c>
      <c r="W67" s="193">
        <f>'36. Generic chemical products'!W10</f>
        <v>1.4222228897488039E-7</v>
      </c>
      <c r="X67" s="193">
        <f>'36. Generic chemical products'!X10</f>
        <v>3.170874313501273E-7</v>
      </c>
      <c r="Y67" s="193">
        <f>'36. Generic chemical products'!Y10</f>
        <v>17.989178582912412</v>
      </c>
      <c r="Z67" s="193">
        <f>'36. Generic chemical products'!Z10</f>
        <v>290.05086067463066</v>
      </c>
      <c r="AA67" s="193" t="str">
        <f>'36. Generic chemical products'!AA10</f>
        <v>USEtox</v>
      </c>
      <c r="AB67" s="307">
        <f t="shared" si="0"/>
        <v>1.0000000000000002E-8</v>
      </c>
      <c r="AC67" s="308">
        <f t="shared" si="1"/>
        <v>1.0000000000000002E-7</v>
      </c>
      <c r="AD67" s="309">
        <f t="shared" si="2"/>
        <v>2.6630669220469693E-13</v>
      </c>
      <c r="AE67" s="309">
        <f t="shared" si="3"/>
        <v>3.4359239137143667E-14</v>
      </c>
      <c r="AF67" s="310">
        <f t="shared" si="4"/>
        <v>2.9184977853292195E-5</v>
      </c>
      <c r="AG67" s="310">
        <f t="shared" si="5"/>
        <v>2.520844633072089E-13</v>
      </c>
      <c r="AH67" s="310">
        <f t="shared" si="6"/>
        <v>2.6504960021309266E-15</v>
      </c>
      <c r="AI67" s="310">
        <f t="shared" si="7"/>
        <v>1.7989178582912415E-7</v>
      </c>
      <c r="AJ67" s="310">
        <f t="shared" si="8"/>
        <v>1.4222228897488044E-14</v>
      </c>
      <c r="AK67" s="310">
        <f t="shared" si="9"/>
        <v>3.170874313501274E-14</v>
      </c>
      <c r="AL67" s="310">
        <f t="shared" si="10"/>
        <v>2.900508606746307E-5</v>
      </c>
      <c r="AM67" s="311">
        <f t="shared" si="11"/>
        <v>2.6630669220469693E-13</v>
      </c>
      <c r="AN67" s="312">
        <f t="shared" si="11"/>
        <v>3.4359239137143667E-14</v>
      </c>
      <c r="AO67" s="313">
        <f t="shared" si="11"/>
        <v>2.9184977853292195E-5</v>
      </c>
    </row>
    <row r="68" spans="1:41" s="195" customFormat="1" ht="15" customHeight="1" x14ac:dyDescent="0.2">
      <c r="A68" s="194" t="str">
        <f>'36. Generic chemical products'!A17</f>
        <v>Bleach, hydrogen peroxide, BAT</v>
      </c>
      <c r="B68" s="194" t="str">
        <f>'36. Generic chemical products'!B17</f>
        <v>Hydrogen peroxide</v>
      </c>
      <c r="C68" s="194">
        <f>'36. Generic chemical products'!C17</f>
        <v>1</v>
      </c>
      <c r="D68" s="194" t="str">
        <f>'36. Generic chemical products'!D17</f>
        <v>kg</v>
      </c>
      <c r="E68" s="194">
        <f>'36. Generic chemical products'!E17</f>
        <v>1</v>
      </c>
      <c r="F68" s="194">
        <f>'36. Generic chemical products'!F17</f>
        <v>0</v>
      </c>
      <c r="G68" s="194" t="str">
        <f>'36. Generic chemical products'!G17</f>
        <v>Hydrogen peroxide</v>
      </c>
      <c r="H68" s="194" t="str">
        <f>'36. Generic chemical products'!H17</f>
        <v>high. pop.</v>
      </c>
      <c r="I68" s="194">
        <f>'36. Generic chemical products'!I17</f>
        <v>1E-3</v>
      </c>
      <c r="J68" s="194" t="str">
        <f>'36. Generic chemical products'!J17</f>
        <v>kg</v>
      </c>
      <c r="K68" s="194">
        <f>'36. Generic chemical products'!K17</f>
        <v>0</v>
      </c>
      <c r="L68" s="194">
        <f>'36. Generic chemical products'!L17</f>
        <v>0</v>
      </c>
      <c r="M68" s="194" t="str">
        <f>'36. Generic chemical products'!M17</f>
        <v>Hydrogen peroxide</v>
      </c>
      <c r="N68" s="194" t="str">
        <f>'36. Generic chemical products'!N17</f>
        <v>river</v>
      </c>
      <c r="O68" s="194">
        <f>'36. Generic chemical products'!O17</f>
        <v>1.0000000000000002E-2</v>
      </c>
      <c r="P68" s="194" t="str">
        <f>'36. Generic chemical products'!P17</f>
        <v>kg</v>
      </c>
      <c r="Q68" s="194" t="str">
        <f>'36. Generic chemical products'!Q17</f>
        <v xml:space="preserve">90% of reactive chemicals are degraded during operations. </v>
      </c>
      <c r="R68" s="194">
        <f>'36. Generic chemical products'!R17</f>
        <v>0</v>
      </c>
      <c r="S68" s="194">
        <f>'36. Generic chemical products'!S17</f>
        <v>0</v>
      </c>
      <c r="T68" s="194" t="str">
        <f>'36. Generic chemical products'!T17</f>
        <v>7722-84-1</v>
      </c>
      <c r="U68" s="194">
        <f>'36. Generic chemical products'!U17</f>
        <v>0</v>
      </c>
      <c r="V68" s="194">
        <f>'36. Generic chemical products'!V17</f>
        <v>0</v>
      </c>
      <c r="W68" s="194">
        <f>'36. Generic chemical products'!W17</f>
        <v>0</v>
      </c>
      <c r="X68" s="194">
        <f>'36. Generic chemical products'!X17</f>
        <v>0</v>
      </c>
      <c r="Y68" s="194">
        <f>'36. Generic chemical products'!Y17</f>
        <v>220</v>
      </c>
      <c r="Z68" s="194">
        <f>'36. Generic chemical products'!Z17</f>
        <v>532</v>
      </c>
      <c r="AA68" s="194" t="str">
        <f>'36. Generic chemical products'!AA17</f>
        <v>COSMEDE</v>
      </c>
      <c r="AB68" s="327">
        <f>$C$21*I68</f>
        <v>1.0000000000000001E-5</v>
      </c>
      <c r="AC68" s="328">
        <f>$C$34*O68</f>
        <v>1.0000000000000002E-4</v>
      </c>
      <c r="AD68" s="329">
        <f t="shared" si="2"/>
        <v>0</v>
      </c>
      <c r="AE68" s="329">
        <f t="shared" si="3"/>
        <v>0</v>
      </c>
      <c r="AF68" s="330">
        <f t="shared" si="4"/>
        <v>5.5400000000000012E-2</v>
      </c>
      <c r="AG68" s="330">
        <f t="shared" si="5"/>
        <v>0</v>
      </c>
      <c r="AH68" s="330">
        <f t="shared" si="6"/>
        <v>0</v>
      </c>
      <c r="AI68" s="330">
        <f t="shared" si="7"/>
        <v>2.2000000000000001E-3</v>
      </c>
      <c r="AJ68" s="330">
        <f t="shared" si="8"/>
        <v>0</v>
      </c>
      <c r="AK68" s="330">
        <f t="shared" si="9"/>
        <v>0</v>
      </c>
      <c r="AL68" s="330">
        <f t="shared" si="10"/>
        <v>5.3200000000000011E-2</v>
      </c>
      <c r="AM68" s="331">
        <f t="shared" si="11"/>
        <v>0</v>
      </c>
      <c r="AN68" s="332">
        <f t="shared" si="11"/>
        <v>0</v>
      </c>
      <c r="AO68" s="333">
        <f t="shared" si="11"/>
        <v>5.5400000000000012E-2</v>
      </c>
    </row>
    <row r="69" spans="1:41" s="51" customFormat="1" ht="15" customHeight="1" x14ac:dyDescent="0.2">
      <c r="A69" s="68" t="str">
        <f>'36. Generic chemical products'!A23</f>
        <v>Wetting agent/Penetration agent, worst case (Cottoclarin ok 88 ECO)</v>
      </c>
      <c r="B69" s="68" t="str">
        <f>'36. Generic chemical products'!B23</f>
        <v>Fatty methylester sulfonates (R16) sodium salt</v>
      </c>
      <c r="C69" s="68">
        <f>'36. Generic chemical products'!C23</f>
        <v>0.6</v>
      </c>
      <c r="D69" s="68" t="str">
        <f>'36. Generic chemical products'!D23</f>
        <v>kg</v>
      </c>
      <c r="E69" s="68" t="str">
        <f>'36. Generic chemical products'!E23</f>
        <v>MSDS</v>
      </c>
      <c r="F69" s="68">
        <f>'36. Generic chemical products'!F23</f>
        <v>0</v>
      </c>
      <c r="G69" s="68" t="str">
        <f>'36. Generic chemical products'!G23</f>
        <v>-</v>
      </c>
      <c r="H69" s="68">
        <f>'36. Generic chemical products'!H23</f>
        <v>0</v>
      </c>
      <c r="I69" s="68">
        <f>'36. Generic chemical products'!I23</f>
        <v>0</v>
      </c>
      <c r="J69" s="68">
        <f>'36. Generic chemical products'!J23</f>
        <v>0</v>
      </c>
      <c r="K69" s="68">
        <f>'36. Generic chemical products'!K23</f>
        <v>0</v>
      </c>
      <c r="L69" s="68">
        <f>'36. Generic chemical products'!L23</f>
        <v>0</v>
      </c>
      <c r="M69" s="68" t="str">
        <f>'36. Generic chemical products'!M23</f>
        <v>Fatty methylester sulfonates</v>
      </c>
      <c r="N69" s="68" t="str">
        <f>'36. Generic chemical products'!N23</f>
        <v>river</v>
      </c>
      <c r="O69" s="68">
        <f>'36. Generic chemical products'!O23</f>
        <v>0.06</v>
      </c>
      <c r="P69" s="68" t="str">
        <f>'36. Generic chemical products'!P23</f>
        <v>kg</v>
      </c>
      <c r="Q69" s="68">
        <f>'36. Generic chemical products'!Q23</f>
        <v>0</v>
      </c>
      <c r="R69" s="68">
        <f>'36. Generic chemical products'!R23</f>
        <v>0</v>
      </c>
      <c r="S69" s="68">
        <f>'36. Generic chemical products'!S23</f>
        <v>0</v>
      </c>
      <c r="T69" s="68" t="str">
        <f>'36. Generic chemical products'!T23</f>
        <v>93348-22-2</v>
      </c>
      <c r="U69" s="68">
        <f>'36. Generic chemical products'!U23</f>
        <v>0</v>
      </c>
      <c r="V69" s="68">
        <f>'36. Generic chemical products'!V23</f>
        <v>1.6437731647150863E-6</v>
      </c>
      <c r="W69" s="68">
        <f>'36. Generic chemical products'!W23</f>
        <v>0</v>
      </c>
      <c r="X69" s="68">
        <f>'36. Generic chemical products'!X23</f>
        <v>9.8891167609639291E-6</v>
      </c>
      <c r="Y69" s="68">
        <f>'36. Generic chemical products'!Y23</f>
        <v>25539.178143122717</v>
      </c>
      <c r="Z69" s="68">
        <f>'36. Generic chemical products'!Z23</f>
        <v>766743.80504211958</v>
      </c>
      <c r="AA69" s="68" t="str">
        <f>'36. Generic chemical products'!AA23</f>
        <v>Roos 2017</v>
      </c>
      <c r="AB69" s="300">
        <f>$C$22*I69</f>
        <v>0</v>
      </c>
      <c r="AC69" s="301">
        <f>$C$35*O69</f>
        <v>2.4000000000000001E-4</v>
      </c>
      <c r="AD69" s="302">
        <f t="shared" si="2"/>
        <v>0</v>
      </c>
      <c r="AE69" s="302">
        <f t="shared" si="3"/>
        <v>2.3733880226313431E-9</v>
      </c>
      <c r="AF69" s="303">
        <f t="shared" si="4"/>
        <v>184.01851321010869</v>
      </c>
      <c r="AG69" s="303">
        <f t="shared" si="5"/>
        <v>0</v>
      </c>
      <c r="AH69" s="303">
        <f t="shared" si="6"/>
        <v>0</v>
      </c>
      <c r="AI69" s="303">
        <f t="shared" si="7"/>
        <v>0</v>
      </c>
      <c r="AJ69" s="303">
        <f t="shared" si="8"/>
        <v>0</v>
      </c>
      <c r="AK69" s="303">
        <f t="shared" si="9"/>
        <v>2.3733880226313431E-9</v>
      </c>
      <c r="AL69" s="303">
        <f t="shared" si="10"/>
        <v>184.01851321010869</v>
      </c>
      <c r="AM69" s="304">
        <f t="shared" si="11"/>
        <v>0</v>
      </c>
      <c r="AN69" s="305">
        <f t="shared" si="11"/>
        <v>2.3733880226313431E-9</v>
      </c>
      <c r="AO69" s="306">
        <f t="shared" si="11"/>
        <v>184.01851321010869</v>
      </c>
    </row>
    <row r="70" spans="1:41" s="51" customFormat="1" ht="15" customHeight="1" x14ac:dyDescent="0.2">
      <c r="A70" s="68" t="str">
        <f>'36. Generic chemical products'!A24</f>
        <v>Wetting agent/Penetration agent, worst case (Cottoclarin ok 88 ECO)</v>
      </c>
      <c r="B70" s="68" t="str">
        <f>'36. Generic chemical products'!B24</f>
        <v>Iso-octyl alcohol</v>
      </c>
      <c r="C70" s="68">
        <f>'36. Generic chemical products'!C24</f>
        <v>0.2</v>
      </c>
      <c r="D70" s="68" t="str">
        <f>'36. Generic chemical products'!D24</f>
        <v>kg</v>
      </c>
      <c r="E70" s="68" t="str">
        <f>'36. Generic chemical products'!E24</f>
        <v>MSDS</v>
      </c>
      <c r="F70" s="68">
        <f>'36. Generic chemical products'!F24</f>
        <v>0</v>
      </c>
      <c r="G70" s="68" t="str">
        <f>'36. Generic chemical products'!G24</f>
        <v>Iso-octyl alcohol</v>
      </c>
      <c r="H70" s="68" t="str">
        <f>'36. Generic chemical products'!H24</f>
        <v>high. pop.</v>
      </c>
      <c r="I70" s="68">
        <f>'36. Generic chemical products'!I24</f>
        <v>2.0000000000000001E-4</v>
      </c>
      <c r="J70" s="68" t="str">
        <f>'36. Generic chemical products'!J24</f>
        <v>kg</v>
      </c>
      <c r="K70" s="68">
        <f>'36. Generic chemical products'!K24</f>
        <v>0</v>
      </c>
      <c r="L70" s="68">
        <f>'36. Generic chemical products'!L24</f>
        <v>0</v>
      </c>
      <c r="M70" s="68" t="str">
        <f>'36. Generic chemical products'!M24</f>
        <v>Isooctyl alcohol</v>
      </c>
      <c r="N70" s="68" t="str">
        <f>'36. Generic chemical products'!N24</f>
        <v>river</v>
      </c>
      <c r="O70" s="68">
        <f>'36. Generic chemical products'!O24</f>
        <v>2.0000000000000004E-2</v>
      </c>
      <c r="P70" s="68" t="str">
        <f>'36. Generic chemical products'!P24</f>
        <v>kg</v>
      </c>
      <c r="Q70" s="68">
        <f>'36. Generic chemical products'!Q24</f>
        <v>0</v>
      </c>
      <c r="R70" s="68">
        <f>'36. Generic chemical products'!R24</f>
        <v>0</v>
      </c>
      <c r="S70" s="68">
        <f>'36. Generic chemical products'!S24</f>
        <v>0</v>
      </c>
      <c r="T70" s="68" t="str">
        <f>'36. Generic chemical products'!T24</f>
        <v>104-76-7</v>
      </c>
      <c r="U70" s="68">
        <f>'36. Generic chemical products'!U24</f>
        <v>3.1027213023718394E-8</v>
      </c>
      <c r="V70" s="68">
        <f>'36. Generic chemical products'!V24</f>
        <v>0</v>
      </c>
      <c r="W70" s="68">
        <f>'36. Generic chemical products'!W24</f>
        <v>1.7206281348183625E-8</v>
      </c>
      <c r="X70" s="68">
        <f>'36. Generic chemical products'!X24</f>
        <v>0</v>
      </c>
      <c r="Y70" s="68">
        <f>'36. Generic chemical products'!Y24</f>
        <v>2.6323079574736696</v>
      </c>
      <c r="Z70" s="68">
        <f>'36. Generic chemical products'!Z24</f>
        <v>191.63613931032927</v>
      </c>
      <c r="AA70" s="68" t="str">
        <f>'36. Generic chemical products'!AA24</f>
        <v>USEtox</v>
      </c>
      <c r="AB70" s="300">
        <f>$C$22*I70</f>
        <v>8.0000000000000007E-7</v>
      </c>
      <c r="AC70" s="301">
        <f>$C$35*O70</f>
        <v>8.000000000000002E-5</v>
      </c>
      <c r="AD70" s="302">
        <f t="shared" si="2"/>
        <v>1.4013242782736652E-12</v>
      </c>
      <c r="AE70" s="302">
        <f t="shared" si="3"/>
        <v>0</v>
      </c>
      <c r="AF70" s="303">
        <f t="shared" si="4"/>
        <v>1.5332996991192324E-2</v>
      </c>
      <c r="AG70" s="303">
        <f t="shared" si="5"/>
        <v>2.4821770418974716E-14</v>
      </c>
      <c r="AH70" s="303">
        <f t="shared" si="6"/>
        <v>0</v>
      </c>
      <c r="AI70" s="303">
        <f t="shared" si="7"/>
        <v>2.1058463659789361E-6</v>
      </c>
      <c r="AJ70" s="303">
        <f t="shared" si="8"/>
        <v>1.3765025078546905E-12</v>
      </c>
      <c r="AK70" s="303">
        <f t="shared" si="9"/>
        <v>0</v>
      </c>
      <c r="AL70" s="303">
        <f t="shared" si="10"/>
        <v>1.5330891144826345E-2</v>
      </c>
      <c r="AM70" s="304">
        <f t="shared" si="11"/>
        <v>1.4013242782736652E-12</v>
      </c>
      <c r="AN70" s="305">
        <f t="shared" si="11"/>
        <v>0</v>
      </c>
      <c r="AO70" s="306">
        <f t="shared" si="11"/>
        <v>1.5332996991192324E-2</v>
      </c>
    </row>
    <row r="71" spans="1:41" s="51" customFormat="1" ht="15" customHeight="1" x14ac:dyDescent="0.2">
      <c r="A71" s="68" t="str">
        <f>'36. Generic chemical products'!A25</f>
        <v>Wetting agent/Penetration agent, worst case (Cottoclarin ok 88 ECO)</v>
      </c>
      <c r="B71" s="68" t="str">
        <f>'36. Generic chemical products'!B25</f>
        <v>Ethoxylated alcohol (NPEO)</v>
      </c>
      <c r="C71" s="68">
        <f>'36. Generic chemical products'!C25</f>
        <v>0.1</v>
      </c>
      <c r="D71" s="68" t="str">
        <f>'36. Generic chemical products'!D25</f>
        <v>kg</v>
      </c>
      <c r="E71" s="68" t="str">
        <f>'36. Generic chemical products'!E25</f>
        <v>MSDS</v>
      </c>
      <c r="F71" s="68">
        <f>'36. Generic chemical products'!F25</f>
        <v>0</v>
      </c>
      <c r="G71" s="68" t="str">
        <f>'36. Generic chemical products'!G25</f>
        <v>Nonylphenol ethoxylate (NPEO)</v>
      </c>
      <c r="H71" s="68" t="str">
        <f>'36. Generic chemical products'!H25</f>
        <v>high. pop.</v>
      </c>
      <c r="I71" s="68">
        <f>'36. Generic chemical products'!I25</f>
        <v>1E-4</v>
      </c>
      <c r="J71" s="68" t="str">
        <f>'36. Generic chemical products'!J25</f>
        <v>kg</v>
      </c>
      <c r="K71" s="68">
        <f>'36. Generic chemical products'!K25</f>
        <v>0</v>
      </c>
      <c r="L71" s="68">
        <f>'36. Generic chemical products'!L25</f>
        <v>0</v>
      </c>
      <c r="M71" s="68" t="str">
        <f>'36. Generic chemical products'!M25</f>
        <v>Nonylphenol ethoxylate (NPEO)</v>
      </c>
      <c r="N71" s="68" t="str">
        <f>'36. Generic chemical products'!N25</f>
        <v>river</v>
      </c>
      <c r="O71" s="68">
        <f>'36. Generic chemical products'!O25</f>
        <v>1.0000000000000002E-2</v>
      </c>
      <c r="P71" s="68" t="str">
        <f>'36. Generic chemical products'!P25</f>
        <v>kg</v>
      </c>
      <c r="Q71" s="68">
        <f>'36. Generic chemical products'!Q25</f>
        <v>0</v>
      </c>
      <c r="R71" s="68">
        <f>'36. Generic chemical products'!R25</f>
        <v>0</v>
      </c>
      <c r="S71" s="68">
        <f>'36. Generic chemical products'!S25</f>
        <v>0</v>
      </c>
      <c r="T71" s="68" t="str">
        <f>'36. Generic chemical products'!T25</f>
        <v>9016-45-9</v>
      </c>
      <c r="U71" s="68">
        <f>'36. Generic chemical products'!U25</f>
        <v>0</v>
      </c>
      <c r="V71" s="68">
        <f>'36. Generic chemical products'!V25</f>
        <v>0</v>
      </c>
      <c r="W71" s="68">
        <f>'36. Generic chemical products'!W25</f>
        <v>0</v>
      </c>
      <c r="X71" s="68">
        <f>'36. Generic chemical products'!X25</f>
        <v>0</v>
      </c>
      <c r="Y71" s="68">
        <f>'36. Generic chemical products'!Y25</f>
        <v>63</v>
      </c>
      <c r="Z71" s="68">
        <f>'36. Generic chemical products'!Z25</f>
        <v>2910</v>
      </c>
      <c r="AA71" s="68" t="str">
        <f>'36. Generic chemical products'!AA25</f>
        <v>COSMEDE</v>
      </c>
      <c r="AB71" s="300">
        <f>$C$22*I71</f>
        <v>4.0000000000000003E-7</v>
      </c>
      <c r="AC71" s="301">
        <f>$C$35*O71</f>
        <v>4.000000000000001E-5</v>
      </c>
      <c r="AD71" s="302">
        <f t="shared" si="2"/>
        <v>0</v>
      </c>
      <c r="AE71" s="302">
        <f t="shared" si="3"/>
        <v>0</v>
      </c>
      <c r="AF71" s="303">
        <f t="shared" si="4"/>
        <v>0.11642520000000003</v>
      </c>
      <c r="AG71" s="303">
        <f t="shared" si="5"/>
        <v>0</v>
      </c>
      <c r="AH71" s="303">
        <f t="shared" si="6"/>
        <v>0</v>
      </c>
      <c r="AI71" s="303">
        <f t="shared" si="7"/>
        <v>2.5200000000000003E-5</v>
      </c>
      <c r="AJ71" s="303">
        <f t="shared" si="8"/>
        <v>0</v>
      </c>
      <c r="AK71" s="303">
        <f t="shared" si="9"/>
        <v>0</v>
      </c>
      <c r="AL71" s="303">
        <f t="shared" si="10"/>
        <v>0.11640000000000003</v>
      </c>
      <c r="AM71" s="304">
        <f t="shared" si="11"/>
        <v>0</v>
      </c>
      <c r="AN71" s="305">
        <f t="shared" si="11"/>
        <v>0</v>
      </c>
      <c r="AO71" s="306">
        <f t="shared" si="11"/>
        <v>0.11642520000000003</v>
      </c>
    </row>
    <row r="72" spans="1:41" s="139" customFormat="1" ht="15" customHeight="1" x14ac:dyDescent="0.2">
      <c r="A72" s="193" t="str">
        <f>'36. Generic chemical products'!A26</f>
        <v>Wetting agent/Penetration agent, worst case (Cottoclarin ok 88 ECO)</v>
      </c>
      <c r="B72" s="193" t="str">
        <f>'36. Generic chemical products'!B26</f>
        <v>Nonylphenol</v>
      </c>
      <c r="C72" s="193">
        <f>'36. Generic chemical products'!C26</f>
        <v>0</v>
      </c>
      <c r="D72" s="193">
        <f>'36. Generic chemical products'!D26</f>
        <v>0</v>
      </c>
      <c r="E72" s="193" t="str">
        <f>'36. Generic chemical products'!E26</f>
        <v>Breakdown product</v>
      </c>
      <c r="F72" s="193">
        <f>'36. Generic chemical products'!F26</f>
        <v>0</v>
      </c>
      <c r="G72" s="193" t="str">
        <f>'36. Generic chemical products'!G26</f>
        <v>-</v>
      </c>
      <c r="H72" s="193">
        <f>'36. Generic chemical products'!H26</f>
        <v>0</v>
      </c>
      <c r="I72" s="193">
        <f>'36. Generic chemical products'!I26</f>
        <v>0</v>
      </c>
      <c r="J72" s="193">
        <f>'36. Generic chemical products'!J26</f>
        <v>0</v>
      </c>
      <c r="K72" s="193">
        <f>'36. Generic chemical products'!K26</f>
        <v>0</v>
      </c>
      <c r="L72" s="193">
        <f>'36. Generic chemical products'!L26</f>
        <v>0</v>
      </c>
      <c r="M72" s="193" t="str">
        <f>'36. Generic chemical products'!M26</f>
        <v>Nonylphenol</v>
      </c>
      <c r="N72" s="193" t="str">
        <f>'36. Generic chemical products'!N26</f>
        <v>river</v>
      </c>
      <c r="O72" s="193">
        <f>'36. Generic chemical products'!O26</f>
        <v>1.0000000000000001E-5</v>
      </c>
      <c r="P72" s="193" t="str">
        <f>'36. Generic chemical products'!P26</f>
        <v>kg</v>
      </c>
      <c r="Q72" s="193" t="str">
        <f>'36. Generic chemical products'!Q26</f>
        <v>0.1 % of the content is degraded to common breakdown products.</v>
      </c>
      <c r="R72" s="193">
        <f>'36. Generic chemical products'!R26</f>
        <v>0</v>
      </c>
      <c r="S72" s="193">
        <f>'36. Generic chemical products'!S26</f>
        <v>0</v>
      </c>
      <c r="T72" s="193" t="str">
        <f>'36. Generic chemical products'!T26</f>
        <v>25154-52-3</v>
      </c>
      <c r="U72" s="193">
        <f>'36. Generic chemical products'!U26</f>
        <v>0</v>
      </c>
      <c r="V72" s="193">
        <f>'36. Generic chemical products'!V26</f>
        <v>0</v>
      </c>
      <c r="W72" s="193">
        <f>'36. Generic chemical products'!W26</f>
        <v>0</v>
      </c>
      <c r="X72" s="193">
        <f>'36. Generic chemical products'!X26</f>
        <v>0</v>
      </c>
      <c r="Y72" s="193">
        <f>'36. Generic chemical products'!Y26</f>
        <v>63.500038841149426</v>
      </c>
      <c r="Z72" s="193">
        <f>'36. Generic chemical products'!Z26</f>
        <v>10848.472578502809</v>
      </c>
      <c r="AA72" s="193" t="str">
        <f>'36. Generic chemical products'!AA26</f>
        <v>USEtox</v>
      </c>
      <c r="AB72" s="307">
        <f>$C$22*I72</f>
        <v>0</v>
      </c>
      <c r="AC72" s="308">
        <f>$C$35*O72</f>
        <v>4.0000000000000001E-8</v>
      </c>
      <c r="AD72" s="309">
        <f t="shared" si="2"/>
        <v>0</v>
      </c>
      <c r="AE72" s="309">
        <f t="shared" si="3"/>
        <v>0</v>
      </c>
      <c r="AF72" s="310">
        <f t="shared" si="4"/>
        <v>4.3393890314011237E-4</v>
      </c>
      <c r="AG72" s="310">
        <f t="shared" si="5"/>
        <v>0</v>
      </c>
      <c r="AH72" s="310">
        <f t="shared" si="6"/>
        <v>0</v>
      </c>
      <c r="AI72" s="310">
        <f t="shared" si="7"/>
        <v>0</v>
      </c>
      <c r="AJ72" s="310">
        <f t="shared" si="8"/>
        <v>0</v>
      </c>
      <c r="AK72" s="310">
        <f t="shared" si="9"/>
        <v>0</v>
      </c>
      <c r="AL72" s="310">
        <f t="shared" si="10"/>
        <v>4.3393890314011237E-4</v>
      </c>
      <c r="AM72" s="311">
        <f t="shared" si="11"/>
        <v>0</v>
      </c>
      <c r="AN72" s="312">
        <f t="shared" si="11"/>
        <v>0</v>
      </c>
      <c r="AO72" s="313">
        <f t="shared" si="11"/>
        <v>4.3393890314011237E-4</v>
      </c>
    </row>
    <row r="73" spans="1:41" s="195" customFormat="1" ht="15" customHeight="1" x14ac:dyDescent="0.2">
      <c r="A73" s="400" t="str">
        <f>'36. Generic chemical products'!A22</f>
        <v>Sequestering agent/complex binder, average (Invatex)</v>
      </c>
      <c r="B73" s="400" t="str">
        <f>'36. Generic chemical products'!B22</f>
        <v>Phosphonic acid, disodium salt</v>
      </c>
      <c r="C73" s="400">
        <f>'36. Generic chemical products'!C22</f>
        <v>0.3</v>
      </c>
      <c r="D73" s="400" t="str">
        <f>'36. Generic chemical products'!D22</f>
        <v>kg</v>
      </c>
      <c r="E73" s="400" t="str">
        <f>'36. Generic chemical products'!E22</f>
        <v>MSDS</v>
      </c>
      <c r="F73" s="400">
        <f>'36. Generic chemical products'!F22</f>
        <v>0</v>
      </c>
      <c r="G73" s="400" t="str">
        <f>'36. Generic chemical products'!G22</f>
        <v>Phosphonic acid</v>
      </c>
      <c r="H73" s="400" t="str">
        <f>'36. Generic chemical products'!H22</f>
        <v>high. pop.</v>
      </c>
      <c r="I73" s="400">
        <f>'36. Generic chemical products'!I22</f>
        <v>2.9999999999999997E-4</v>
      </c>
      <c r="J73" s="400">
        <f>'36. Generic chemical products'!J22</f>
        <v>0</v>
      </c>
      <c r="K73" s="400">
        <f>'36. Generic chemical products'!K22</f>
        <v>0</v>
      </c>
      <c r="L73" s="400">
        <f>'36. Generic chemical products'!L22</f>
        <v>0</v>
      </c>
      <c r="M73" s="400" t="str">
        <f>'36. Generic chemical products'!M22</f>
        <v>Phosphonic acid</v>
      </c>
      <c r="N73" s="400" t="str">
        <f>'36. Generic chemical products'!N22</f>
        <v>river</v>
      </c>
      <c r="O73" s="400">
        <f>'36. Generic chemical products'!O22</f>
        <v>0.03</v>
      </c>
      <c r="P73" s="400" t="str">
        <f>'36. Generic chemical products'!P22</f>
        <v>kg</v>
      </c>
      <c r="Q73" s="400">
        <f>'36. Generic chemical products'!Q22</f>
        <v>0</v>
      </c>
      <c r="R73" s="400">
        <f>'36. Generic chemical products'!R22</f>
        <v>0</v>
      </c>
      <c r="S73" s="400">
        <f>'36. Generic chemical products'!S22</f>
        <v>0</v>
      </c>
      <c r="T73" s="400" t="str">
        <f>'36. Generic chemical products'!T22</f>
        <v>13708-85-5</v>
      </c>
      <c r="U73" s="400">
        <f>'36. Generic chemical products'!U22</f>
        <v>0</v>
      </c>
      <c r="V73" s="400">
        <f>'36. Generic chemical products'!V22</f>
        <v>2.5624272316803493E-8</v>
      </c>
      <c r="W73" s="400">
        <f>'36. Generic chemical products'!W22</f>
        <v>0</v>
      </c>
      <c r="X73" s="400">
        <f>'36. Generic chemical products'!X22</f>
        <v>6.1179997974786175E-9</v>
      </c>
      <c r="Y73" s="400">
        <f>'36. Generic chemical products'!Y22</f>
        <v>95.727827940780713</v>
      </c>
      <c r="Z73" s="400">
        <f>'36. Generic chemical products'!Z22</f>
        <v>451.93033608164546</v>
      </c>
      <c r="AA73" s="400" t="str">
        <f>'36. Generic chemical products'!AA22</f>
        <v>Roos 2017</v>
      </c>
      <c r="AB73" s="327">
        <f>$C$23*I73</f>
        <v>1.7999999999999999E-6</v>
      </c>
      <c r="AC73" s="328">
        <f>$C$36*O73</f>
        <v>1.7999999999999998E-4</v>
      </c>
      <c r="AD73" s="329">
        <f t="shared" si="2"/>
        <v>0</v>
      </c>
      <c r="AE73" s="329">
        <f t="shared" si="3"/>
        <v>1.1473636537163974E-12</v>
      </c>
      <c r="AF73" s="330">
        <f t="shared" si="4"/>
        <v>8.151977058498959E-2</v>
      </c>
      <c r="AG73" s="330">
        <f t="shared" si="5"/>
        <v>0</v>
      </c>
      <c r="AH73" s="330">
        <f t="shared" si="6"/>
        <v>4.6123690170246289E-14</v>
      </c>
      <c r="AI73" s="330">
        <f t="shared" si="7"/>
        <v>1.7231009029340528E-4</v>
      </c>
      <c r="AJ73" s="330">
        <f t="shared" si="8"/>
        <v>0</v>
      </c>
      <c r="AK73" s="330">
        <f t="shared" si="9"/>
        <v>1.1012399635461511E-12</v>
      </c>
      <c r="AL73" s="330">
        <f t="shared" si="10"/>
        <v>8.1347460494696183E-2</v>
      </c>
      <c r="AM73" s="331">
        <f t="shared" si="11"/>
        <v>0</v>
      </c>
      <c r="AN73" s="332">
        <f t="shared" si="11"/>
        <v>1.1473636537163974E-12</v>
      </c>
      <c r="AO73" s="333">
        <f t="shared" si="11"/>
        <v>8.151977058498959E-2</v>
      </c>
    </row>
    <row r="74" spans="1:41" s="195" customFormat="1" ht="15" customHeight="1" x14ac:dyDescent="0.2">
      <c r="A74" s="196" t="str">
        <f>'36. Generic chemical products'!A16</f>
        <v>Base (alkali) (NaOH), average</v>
      </c>
      <c r="B74" s="196" t="str">
        <f>'36. Generic chemical products'!B16</f>
        <v>Sodium hydroxide</v>
      </c>
      <c r="C74" s="196">
        <f>'36. Generic chemical products'!C16</f>
        <v>1</v>
      </c>
      <c r="D74" s="196" t="str">
        <f>'36. Generic chemical products'!D16</f>
        <v>kg</v>
      </c>
      <c r="E74" s="196">
        <f>'36. Generic chemical products'!E16</f>
        <v>1</v>
      </c>
      <c r="F74" s="196">
        <f>'36. Generic chemical products'!F16</f>
        <v>0</v>
      </c>
      <c r="G74" s="196" t="str">
        <f>'36. Generic chemical products'!G16</f>
        <v>-</v>
      </c>
      <c r="H74" s="196">
        <f>'36. Generic chemical products'!H16</f>
        <v>0</v>
      </c>
      <c r="I74" s="196">
        <f>'36. Generic chemical products'!I16</f>
        <v>0</v>
      </c>
      <c r="J74" s="196">
        <f>'36. Generic chemical products'!J16</f>
        <v>0</v>
      </c>
      <c r="K74" s="196" t="str">
        <f>'36. Generic chemical products'!K16</f>
        <v>Worst case - mist carries substance</v>
      </c>
      <c r="L74" s="196">
        <f>'36. Generic chemical products'!L16</f>
        <v>0</v>
      </c>
      <c r="M74" s="196" t="str">
        <f>'36. Generic chemical products'!M16</f>
        <v>Sodium hydroxide</v>
      </c>
      <c r="N74" s="196" t="str">
        <f>'36. Generic chemical products'!N16</f>
        <v>river</v>
      </c>
      <c r="O74" s="196">
        <f>'36. Generic chemical products'!O16</f>
        <v>0.1</v>
      </c>
      <c r="P74" s="196" t="str">
        <f>'36. Generic chemical products'!P16</f>
        <v>kg</v>
      </c>
      <c r="Q74" s="196">
        <f>'36. Generic chemical products'!Q16</f>
        <v>0</v>
      </c>
      <c r="R74" s="196">
        <f>'36. Generic chemical products'!R16</f>
        <v>0</v>
      </c>
      <c r="S74" s="196">
        <f>'36. Generic chemical products'!S16</f>
        <v>0</v>
      </c>
      <c r="T74" s="196" t="str">
        <f>'36. Generic chemical products'!T16</f>
        <v>1310-73-2</v>
      </c>
      <c r="U74" s="196">
        <f>'36. Generic chemical products'!U16</f>
        <v>0</v>
      </c>
      <c r="V74" s="196">
        <f>'36. Generic chemical products'!V16</f>
        <v>0</v>
      </c>
      <c r="W74" s="196">
        <f>'36. Generic chemical products'!W16</f>
        <v>0</v>
      </c>
      <c r="X74" s="196">
        <f>'36. Generic chemical products'!X16</f>
        <v>0</v>
      </c>
      <c r="Y74" s="196">
        <f>'36. Generic chemical products'!Y16</f>
        <v>164.24</v>
      </c>
      <c r="Z74" s="196">
        <f>'36. Generic chemical products'!Z16</f>
        <v>400.09</v>
      </c>
      <c r="AA74" s="196" t="str">
        <f>'36. Generic chemical products'!AA16</f>
        <v>COSMEDE</v>
      </c>
      <c r="AB74" s="327">
        <f>$C$24*I74</f>
        <v>0</v>
      </c>
      <c r="AC74" s="328">
        <f>$C$37*O74</f>
        <v>1.2000000000000001E-3</v>
      </c>
      <c r="AD74" s="329">
        <f t="shared" si="2"/>
        <v>0</v>
      </c>
      <c r="AE74" s="329">
        <f t="shared" si="3"/>
        <v>0</v>
      </c>
      <c r="AF74" s="330">
        <f t="shared" si="4"/>
        <v>0.48010800000000003</v>
      </c>
      <c r="AG74" s="330">
        <f t="shared" si="5"/>
        <v>0</v>
      </c>
      <c r="AH74" s="330">
        <f t="shared" si="6"/>
        <v>0</v>
      </c>
      <c r="AI74" s="330">
        <f t="shared" si="7"/>
        <v>0</v>
      </c>
      <c r="AJ74" s="330">
        <f t="shared" si="8"/>
        <v>0</v>
      </c>
      <c r="AK74" s="330">
        <f t="shared" si="9"/>
        <v>0</v>
      </c>
      <c r="AL74" s="330">
        <f t="shared" si="10"/>
        <v>0.48010800000000003</v>
      </c>
      <c r="AM74" s="331">
        <f t="shared" si="11"/>
        <v>0</v>
      </c>
      <c r="AN74" s="332">
        <f t="shared" si="11"/>
        <v>0</v>
      </c>
      <c r="AO74" s="333">
        <f t="shared" si="11"/>
        <v>0.48010800000000003</v>
      </c>
    </row>
    <row r="75" spans="1:41" s="195" customFormat="1" ht="15" customHeight="1" x14ac:dyDescent="0.2">
      <c r="A75" s="194" t="str">
        <f>'36. Generic chemical products'!A61</f>
        <v>Acid, acetic acid, BAT</v>
      </c>
      <c r="B75" s="194" t="str">
        <f>'36. Generic chemical products'!B61</f>
        <v>Acetic acid</v>
      </c>
      <c r="C75" s="194">
        <f>'36. Generic chemical products'!C61</f>
        <v>1</v>
      </c>
      <c r="D75" s="194" t="str">
        <f>'36. Generic chemical products'!D61</f>
        <v>kg</v>
      </c>
      <c r="E75" s="194">
        <f>'36. Generic chemical products'!E61</f>
        <v>1</v>
      </c>
      <c r="F75" s="194">
        <f>'36. Generic chemical products'!F61</f>
        <v>0</v>
      </c>
      <c r="G75" s="194" t="str">
        <f>'36. Generic chemical products'!G61</f>
        <v>Acetic acid</v>
      </c>
      <c r="H75" s="194" t="str">
        <f>'36. Generic chemical products'!H61</f>
        <v>high. pop.</v>
      </c>
      <c r="I75" s="194">
        <f>'36. Generic chemical products'!I61</f>
        <v>1E-3</v>
      </c>
      <c r="J75" s="194" t="str">
        <f>'36. Generic chemical products'!J61</f>
        <v>kg</v>
      </c>
      <c r="K75" s="194">
        <f>'36. Generic chemical products'!K61</f>
        <v>0</v>
      </c>
      <c r="L75" s="194">
        <f>'36. Generic chemical products'!L61</f>
        <v>0</v>
      </c>
      <c r="M75" s="194" t="str">
        <f>'36. Generic chemical products'!M61</f>
        <v>Acetic acid</v>
      </c>
      <c r="N75" s="194" t="str">
        <f>'36. Generic chemical products'!N61</f>
        <v>river</v>
      </c>
      <c r="O75" s="194">
        <f>'36. Generic chemical products'!O61</f>
        <v>0.1</v>
      </c>
      <c r="P75" s="194" t="str">
        <f>'36. Generic chemical products'!P61</f>
        <v>kg</v>
      </c>
      <c r="Q75" s="194">
        <f>'36. Generic chemical products'!Q61</f>
        <v>0</v>
      </c>
      <c r="R75" s="194">
        <f>'36. Generic chemical products'!R61</f>
        <v>0</v>
      </c>
      <c r="S75" s="194">
        <f>'36. Generic chemical products'!S61</f>
        <v>0</v>
      </c>
      <c r="T75" s="194" t="str">
        <f>'36. Generic chemical products'!T61</f>
        <v xml:space="preserve">64-19-7 </v>
      </c>
      <c r="U75" s="194">
        <f>'36. Generic chemical products'!U61</f>
        <v>0</v>
      </c>
      <c r="V75" s="194">
        <f>'36. Generic chemical products'!V61</f>
        <v>0</v>
      </c>
      <c r="W75" s="194">
        <f>'36. Generic chemical products'!W61</f>
        <v>0</v>
      </c>
      <c r="X75" s="194">
        <f>'36. Generic chemical products'!X61</f>
        <v>0</v>
      </c>
      <c r="Y75" s="194">
        <f>'36. Generic chemical products'!Y61</f>
        <v>2.980675662392851</v>
      </c>
      <c r="Z75" s="194">
        <f>'36. Generic chemical products'!Z61</f>
        <v>49.950463101898926</v>
      </c>
      <c r="AA75" s="194" t="str">
        <f>'36. Generic chemical products'!AA61</f>
        <v>USEtox</v>
      </c>
      <c r="AB75" s="327">
        <f>$C$25*I75</f>
        <v>5.1999999999999997E-5</v>
      </c>
      <c r="AC75" s="328">
        <f>$C$38*O75</f>
        <v>5.1999999999999998E-3</v>
      </c>
      <c r="AD75" s="329">
        <f t="shared" si="2"/>
        <v>0</v>
      </c>
      <c r="AE75" s="329">
        <f t="shared" si="3"/>
        <v>0</v>
      </c>
      <c r="AF75" s="330">
        <f t="shared" si="4"/>
        <v>0.25989740326431887</v>
      </c>
      <c r="AG75" s="330">
        <f t="shared" si="5"/>
        <v>0</v>
      </c>
      <c r="AH75" s="330">
        <f t="shared" si="6"/>
        <v>0</v>
      </c>
      <c r="AI75" s="330">
        <f t="shared" si="7"/>
        <v>1.5499513444442825E-4</v>
      </c>
      <c r="AJ75" s="330">
        <f t="shared" si="8"/>
        <v>0</v>
      </c>
      <c r="AK75" s="330">
        <f t="shared" si="9"/>
        <v>0</v>
      </c>
      <c r="AL75" s="330">
        <f t="shared" si="10"/>
        <v>0.25974240812987442</v>
      </c>
      <c r="AM75" s="331">
        <f t="shared" si="11"/>
        <v>0</v>
      </c>
      <c r="AN75" s="332">
        <f t="shared" si="11"/>
        <v>0</v>
      </c>
      <c r="AO75" s="333">
        <f t="shared" si="11"/>
        <v>0.25989740326431887</v>
      </c>
    </row>
    <row r="76" spans="1:41" s="51" customFormat="1" ht="15" customHeight="1" x14ac:dyDescent="0.2">
      <c r="A76" s="68" t="str">
        <f>'36. Generic chemical products'!A57</f>
        <v>Detergent/wetting agent, average (Eriopon OS)</v>
      </c>
      <c r="B76" s="68" t="str">
        <f>'36. Generic chemical products'!B57</f>
        <v>2-[2-(2-butoxietoxi)etoxi]etanol</v>
      </c>
      <c r="C76" s="68">
        <f>'36. Generic chemical products'!C57</f>
        <v>0.2</v>
      </c>
      <c r="D76" s="68" t="str">
        <f>'36. Generic chemical products'!D57</f>
        <v>kg</v>
      </c>
      <c r="E76" s="68" t="str">
        <f>'36. Generic chemical products'!E57</f>
        <v>MSDS</v>
      </c>
      <c r="F76" s="68">
        <f>'36. Generic chemical products'!F57</f>
        <v>0</v>
      </c>
      <c r="G76" s="68" t="str">
        <f>'36. Generic chemical products'!G57</f>
        <v>2-[2-(2-butoxietoxi)etoxi]etanol</v>
      </c>
      <c r="H76" s="68" t="str">
        <f>'36. Generic chemical products'!H57</f>
        <v>high. pop.</v>
      </c>
      <c r="I76" s="68">
        <f>'36. Generic chemical products'!I57</f>
        <v>2.0000000000000001E-4</v>
      </c>
      <c r="J76" s="68" t="str">
        <f>'36. Generic chemical products'!J57</f>
        <v>kg</v>
      </c>
      <c r="K76" s="68">
        <f>'36. Generic chemical products'!K57</f>
        <v>0</v>
      </c>
      <c r="L76" s="68">
        <f>'36. Generic chemical products'!L57</f>
        <v>0</v>
      </c>
      <c r="M76" s="68" t="str">
        <f>'36. Generic chemical products'!M57</f>
        <v>2-[2-(2-butoxietoxi)etoxi]etanol</v>
      </c>
      <c r="N76" s="68" t="str">
        <f>'36. Generic chemical products'!N57</f>
        <v>river</v>
      </c>
      <c r="O76" s="68">
        <f>'36. Generic chemical products'!O57</f>
        <v>2.0000000000000004E-2</v>
      </c>
      <c r="P76" s="68" t="str">
        <f>'36. Generic chemical products'!P57</f>
        <v>kg</v>
      </c>
      <c r="Q76" s="68">
        <f>'36. Generic chemical products'!Q57</f>
        <v>0</v>
      </c>
      <c r="R76" s="68">
        <f>'36. Generic chemical products'!R57</f>
        <v>0</v>
      </c>
      <c r="S76" s="68">
        <f>'36. Generic chemical products'!S57</f>
        <v>0</v>
      </c>
      <c r="T76" s="68" t="str">
        <f>'36. Generic chemical products'!T57</f>
        <v>143-22-6</v>
      </c>
      <c r="U76" s="68">
        <f>'36. Generic chemical products'!U57</f>
        <v>0</v>
      </c>
      <c r="V76" s="68">
        <f>'36. Generic chemical products'!V57</f>
        <v>0</v>
      </c>
      <c r="W76" s="68">
        <f>'36. Generic chemical products'!W57</f>
        <v>0</v>
      </c>
      <c r="X76" s="68">
        <f>'36. Generic chemical products'!X57</f>
        <v>0</v>
      </c>
      <c r="Y76" s="68">
        <f>'36. Generic chemical products'!Y57</f>
        <v>1.1682046242533708</v>
      </c>
      <c r="Z76" s="68">
        <f>'36. Generic chemical products'!Z57</f>
        <v>20.47656722055984</v>
      </c>
      <c r="AA76" s="68" t="str">
        <f>'36. Generic chemical products'!AA57</f>
        <v>USEtox</v>
      </c>
      <c r="AB76" s="300">
        <f>$C$26*I76</f>
        <v>1.6000000000000003E-5</v>
      </c>
      <c r="AC76" s="301">
        <f>$C$39*O76</f>
        <v>1.6000000000000003E-3</v>
      </c>
      <c r="AD76" s="302">
        <f t="shared" si="2"/>
        <v>0</v>
      </c>
      <c r="AE76" s="302">
        <f t="shared" si="3"/>
        <v>0</v>
      </c>
      <c r="AF76" s="303">
        <f t="shared" si="4"/>
        <v>3.2781198826883809E-2</v>
      </c>
      <c r="AG76" s="303">
        <f t="shared" si="5"/>
        <v>0</v>
      </c>
      <c r="AH76" s="303">
        <f t="shared" si="6"/>
        <v>0</v>
      </c>
      <c r="AI76" s="303">
        <f t="shared" si="7"/>
        <v>1.8691273988053936E-5</v>
      </c>
      <c r="AJ76" s="303">
        <f t="shared" si="8"/>
        <v>0</v>
      </c>
      <c r="AK76" s="303">
        <f t="shared" si="9"/>
        <v>0</v>
      </c>
      <c r="AL76" s="303">
        <f t="shared" si="10"/>
        <v>3.2762507552895753E-2</v>
      </c>
      <c r="AM76" s="304">
        <f t="shared" si="11"/>
        <v>0</v>
      </c>
      <c r="AN76" s="305">
        <f t="shared" si="11"/>
        <v>0</v>
      </c>
      <c r="AO76" s="306">
        <f t="shared" si="11"/>
        <v>3.2781198826883809E-2</v>
      </c>
    </row>
    <row r="77" spans="1:41" s="139" customFormat="1" ht="15" customHeight="1" x14ac:dyDescent="0.2">
      <c r="A77" s="193" t="str">
        <f>'36. Generic chemical products'!A58</f>
        <v>Detergent/wetting agent, average (Eriopon OS)</v>
      </c>
      <c r="B77" s="193" t="str">
        <f>'36. Generic chemical products'!B58</f>
        <v>Maleinsyra, bis(2-etylhexyl)ester</v>
      </c>
      <c r="C77" s="193">
        <f>'36. Generic chemical products'!C58</f>
        <v>0.1</v>
      </c>
      <c r="D77" s="193" t="str">
        <f>'36. Generic chemical products'!D58</f>
        <v>kg</v>
      </c>
      <c r="E77" s="193" t="str">
        <f>'36. Generic chemical products'!E58</f>
        <v>MSDS</v>
      </c>
      <c r="F77" s="193">
        <f>'36. Generic chemical products'!F58</f>
        <v>0</v>
      </c>
      <c r="G77" s="193" t="str">
        <f>'36. Generic chemical products'!G58</f>
        <v>Maleinsyra, bis(2-etylhexyl)ester</v>
      </c>
      <c r="H77" s="193" t="str">
        <f>'36. Generic chemical products'!H58</f>
        <v>high. pop.</v>
      </c>
      <c r="I77" s="193">
        <f>'36. Generic chemical products'!I58</f>
        <v>1E-4</v>
      </c>
      <c r="J77" s="193" t="str">
        <f>'36. Generic chemical products'!J58</f>
        <v>kg</v>
      </c>
      <c r="K77" s="193">
        <f>'36. Generic chemical products'!K58</f>
        <v>0</v>
      </c>
      <c r="L77" s="193">
        <f>'36. Generic chemical products'!L58</f>
        <v>0</v>
      </c>
      <c r="M77" s="193" t="str">
        <f>'36. Generic chemical products'!M58</f>
        <v>Maleinsyra, bis(2-etylhexyl)ester</v>
      </c>
      <c r="N77" s="193" t="str">
        <f>'36. Generic chemical products'!N58</f>
        <v>river</v>
      </c>
      <c r="O77" s="193">
        <f>'36. Generic chemical products'!O58</f>
        <v>1.0000000000000002E-2</v>
      </c>
      <c r="P77" s="193" t="str">
        <f>'36. Generic chemical products'!P58</f>
        <v>kg</v>
      </c>
      <c r="Q77" s="193">
        <f>'36. Generic chemical products'!Q58</f>
        <v>0</v>
      </c>
      <c r="R77" s="193">
        <f>'36. Generic chemical products'!R58</f>
        <v>0</v>
      </c>
      <c r="S77" s="193">
        <f>'36. Generic chemical products'!S58</f>
        <v>0</v>
      </c>
      <c r="T77" s="193" t="str">
        <f>'36. Generic chemical products'!T58</f>
        <v>142-16-5</v>
      </c>
      <c r="U77" s="193">
        <f>'36. Generic chemical products'!U58</f>
        <v>0</v>
      </c>
      <c r="V77" s="193">
        <f>'36. Generic chemical products'!V58</f>
        <v>0</v>
      </c>
      <c r="W77" s="193">
        <f>'36. Generic chemical products'!W58</f>
        <v>0</v>
      </c>
      <c r="X77" s="193">
        <f>'36. Generic chemical products'!X58</f>
        <v>0</v>
      </c>
      <c r="Y77" s="193">
        <f>'36. Generic chemical products'!Y58</f>
        <v>0.16</v>
      </c>
      <c r="Z77" s="193">
        <f>'36. Generic chemical products'!Z58</f>
        <v>16.600000000000001</v>
      </c>
      <c r="AA77" s="193" t="str">
        <f>'36. Generic chemical products'!AA58</f>
        <v>COSMEDE</v>
      </c>
      <c r="AB77" s="307">
        <f>$C$26*I77</f>
        <v>8.0000000000000013E-6</v>
      </c>
      <c r="AC77" s="308">
        <f>$C$39*O77</f>
        <v>8.0000000000000015E-4</v>
      </c>
      <c r="AD77" s="309">
        <f t="shared" si="2"/>
        <v>0</v>
      </c>
      <c r="AE77" s="309">
        <f t="shared" si="3"/>
        <v>0</v>
      </c>
      <c r="AF77" s="310">
        <f t="shared" si="4"/>
        <v>1.3281280000000003E-2</v>
      </c>
      <c r="AG77" s="310">
        <f t="shared" si="5"/>
        <v>0</v>
      </c>
      <c r="AH77" s="310">
        <f t="shared" si="6"/>
        <v>0</v>
      </c>
      <c r="AI77" s="310">
        <f t="shared" si="7"/>
        <v>1.2800000000000002E-6</v>
      </c>
      <c r="AJ77" s="310">
        <f t="shared" si="8"/>
        <v>0</v>
      </c>
      <c r="AK77" s="310">
        <f t="shared" si="9"/>
        <v>0</v>
      </c>
      <c r="AL77" s="310">
        <f t="shared" si="10"/>
        <v>1.3280000000000004E-2</v>
      </c>
      <c r="AM77" s="311">
        <f t="shared" si="11"/>
        <v>0</v>
      </c>
      <c r="AN77" s="312">
        <f t="shared" si="11"/>
        <v>0</v>
      </c>
      <c r="AO77" s="313">
        <f t="shared" si="11"/>
        <v>1.3281280000000003E-2</v>
      </c>
    </row>
    <row r="78" spans="1:41" s="51" customFormat="1" ht="15" customHeight="1" x14ac:dyDescent="0.2">
      <c r="A78" s="54" t="str">
        <f>'36. Generic chemical products'!A2</f>
        <v>Lubricant, average (Albafluid CD)</v>
      </c>
      <c r="B78" s="54" t="str">
        <f>'36. Generic chemical products'!B2</f>
        <v>Acrylamide/sodium acrylate copolymer</v>
      </c>
      <c r="C78" s="54">
        <f>'36. Generic chemical products'!C2</f>
        <v>0.3</v>
      </c>
      <c r="D78" s="54" t="str">
        <f>'36. Generic chemical products'!D2</f>
        <v>kg</v>
      </c>
      <c r="E78" s="54" t="str">
        <f>'36. Generic chemical products'!E2</f>
        <v>MSDS + Expert estimation for concentration</v>
      </c>
      <c r="F78" s="54">
        <f>'36. Generic chemical products'!F2</f>
        <v>0</v>
      </c>
      <c r="G78" s="54" t="str">
        <f>'36. Generic chemical products'!G2</f>
        <v>-</v>
      </c>
      <c r="H78" s="54">
        <f>'36. Generic chemical products'!H2</f>
        <v>0</v>
      </c>
      <c r="I78" s="54">
        <f>'36. Generic chemical products'!I2</f>
        <v>0</v>
      </c>
      <c r="J78" s="54">
        <f>'36. Generic chemical products'!J2</f>
        <v>0</v>
      </c>
      <c r="K78" s="54">
        <f>'36. Generic chemical products'!K2</f>
        <v>0</v>
      </c>
      <c r="L78" s="54">
        <f>'36. Generic chemical products'!L2</f>
        <v>0</v>
      </c>
      <c r="M78" s="54" t="str">
        <f>'36. Generic chemical products'!M2</f>
        <v>Acrylamide/sodium acrylate copolymer</v>
      </c>
      <c r="N78" s="54" t="str">
        <f>'36. Generic chemical products'!N2</f>
        <v>river</v>
      </c>
      <c r="O78" s="54">
        <f>'36. Generic chemical products'!O2</f>
        <v>2.9700000000000001E-2</v>
      </c>
      <c r="P78" s="54" t="str">
        <f>'36. Generic chemical products'!P2</f>
        <v>kg</v>
      </c>
      <c r="Q78" s="54" t="str">
        <f>'36. Generic chemical products'!Q2</f>
        <v>1% of polymer content remains as monomers from the production process.</v>
      </c>
      <c r="R78" s="54">
        <f>'36. Generic chemical products'!R2</f>
        <v>0</v>
      </c>
      <c r="S78" s="54">
        <f>'36. Generic chemical products'!S2</f>
        <v>0</v>
      </c>
      <c r="T78" s="54" t="str">
        <f>'36. Generic chemical products'!T2</f>
        <v>25085-02-3</v>
      </c>
      <c r="U78" s="54">
        <f>'36. Generic chemical products'!U2</f>
        <v>0</v>
      </c>
      <c r="V78" s="54">
        <f>'36. Generic chemical products'!V2</f>
        <v>1.318367210059499E-10</v>
      </c>
      <c r="W78" s="54">
        <f>'36. Generic chemical products'!W2</f>
        <v>0</v>
      </c>
      <c r="X78" s="54">
        <f>'36. Generic chemical products'!X2</f>
        <v>1.3016448977650344E-10</v>
      </c>
      <c r="Y78" s="54">
        <f>'36. Generic chemical products'!Y2</f>
        <v>1.1181204517092254</v>
      </c>
      <c r="Z78" s="54">
        <f>'36. Generic chemical products'!Z2</f>
        <v>78.957506928451508</v>
      </c>
      <c r="AA78" s="54" t="str">
        <f>'36. Generic chemical products'!AA2</f>
        <v>Roos 2017</v>
      </c>
      <c r="AB78" s="300">
        <f>$C$27*I78</f>
        <v>0</v>
      </c>
      <c r="AC78" s="301">
        <f>$C$40*O78</f>
        <v>1.188E-3</v>
      </c>
      <c r="AD78" s="302">
        <f t="shared" si="2"/>
        <v>0</v>
      </c>
      <c r="AE78" s="302">
        <f t="shared" si="3"/>
        <v>1.5463541385448608E-13</v>
      </c>
      <c r="AF78" s="303">
        <f t="shared" si="4"/>
        <v>9.38015182310004E-2</v>
      </c>
      <c r="AG78" s="303">
        <f t="shared" si="5"/>
        <v>0</v>
      </c>
      <c r="AH78" s="303">
        <f t="shared" si="6"/>
        <v>0</v>
      </c>
      <c r="AI78" s="303">
        <f t="shared" si="7"/>
        <v>0</v>
      </c>
      <c r="AJ78" s="303">
        <f t="shared" si="8"/>
        <v>0</v>
      </c>
      <c r="AK78" s="303">
        <f t="shared" si="9"/>
        <v>1.5463541385448608E-13</v>
      </c>
      <c r="AL78" s="303">
        <f t="shared" si="10"/>
        <v>9.38015182310004E-2</v>
      </c>
      <c r="AM78" s="304">
        <f t="shared" ref="AM78:AO94" si="12">AG78+AJ78</f>
        <v>0</v>
      </c>
      <c r="AN78" s="305">
        <f t="shared" si="12"/>
        <v>1.5463541385448608E-13</v>
      </c>
      <c r="AO78" s="306">
        <f t="shared" si="12"/>
        <v>9.38015182310004E-2</v>
      </c>
    </row>
    <row r="79" spans="1:41" s="51" customFormat="1" ht="15" customHeight="1" x14ac:dyDescent="0.2">
      <c r="A79" s="54" t="str">
        <f>'36. Generic chemical products'!A3</f>
        <v>Lubricant, average (Albafluid CD)</v>
      </c>
      <c r="B79" s="54" t="str">
        <f>'36. Generic chemical products'!B3</f>
        <v>Acrylamide</v>
      </c>
      <c r="C79" s="54">
        <f>'36. Generic chemical products'!C3</f>
        <v>0</v>
      </c>
      <c r="D79" s="54">
        <f>'36. Generic chemical products'!D3</f>
        <v>0</v>
      </c>
      <c r="E79" s="54" t="str">
        <f>'36. Generic chemical products'!E3</f>
        <v>Breakdown product (Caulfield, 2002)</v>
      </c>
      <c r="F79" s="54">
        <f>'36. Generic chemical products'!F3</f>
        <v>0</v>
      </c>
      <c r="G79" s="54" t="str">
        <f>'36. Generic chemical products'!G3</f>
        <v>Acrylamide</v>
      </c>
      <c r="H79" s="54" t="str">
        <f>'36. Generic chemical products'!H3</f>
        <v>high. pop.</v>
      </c>
      <c r="I79" s="54">
        <f>'36. Generic chemical products'!I3</f>
        <v>3.0000000000000001E-6</v>
      </c>
      <c r="J79" s="54" t="str">
        <f>'36. Generic chemical products'!J3</f>
        <v>kg</v>
      </c>
      <c r="K79" s="54">
        <f>'36. Generic chemical products'!K3</f>
        <v>0</v>
      </c>
      <c r="L79" s="54">
        <f>'36. Generic chemical products'!L3</f>
        <v>0</v>
      </c>
      <c r="M79" s="54" t="str">
        <f>'36. Generic chemical products'!M3</f>
        <v>Acrylamide</v>
      </c>
      <c r="N79" s="54" t="str">
        <f>'36. Generic chemical products'!N3</f>
        <v>river</v>
      </c>
      <c r="O79" s="54">
        <f>'36. Generic chemical products'!O3</f>
        <v>3.0000000000000004E-5</v>
      </c>
      <c r="P79" s="54" t="str">
        <f>'36. Generic chemical products'!P3</f>
        <v>kg</v>
      </c>
      <c r="Q79" s="54" t="str">
        <f>'36. Generic chemical products'!Q3</f>
        <v xml:space="preserve">90% of reactive chemicals are degraded during operations. </v>
      </c>
      <c r="R79" s="54">
        <f>'36. Generic chemical products'!R3</f>
        <v>0</v>
      </c>
      <c r="S79" s="54">
        <f>'36. Generic chemical products'!S3</f>
        <v>0</v>
      </c>
      <c r="T79" s="54" t="str">
        <f>'36. Generic chemical products'!T3</f>
        <v>79-06-1</v>
      </c>
      <c r="U79" s="54">
        <f>'36. Generic chemical products'!U3</f>
        <v>3.0023364753950555E-5</v>
      </c>
      <c r="V79" s="54">
        <f>'36. Generic chemical products'!V3</f>
        <v>1.2481126126868064E-4</v>
      </c>
      <c r="W79" s="54">
        <f>'36. Generic chemical products'!W3</f>
        <v>1.1959264101490567E-5</v>
      </c>
      <c r="X79" s="54">
        <f>'36. Generic chemical products'!X3</f>
        <v>4.9716307568620708E-5</v>
      </c>
      <c r="Y79" s="54">
        <f>'36. Generic chemical products'!Y3</f>
        <v>10.037499181426883</v>
      </c>
      <c r="Z79" s="54">
        <f>'36. Generic chemical products'!Z3</f>
        <v>119.14199796898779</v>
      </c>
      <c r="AA79" s="54" t="str">
        <f>'36. Generic chemical products'!AA3</f>
        <v>USEtox</v>
      </c>
      <c r="AB79" s="300">
        <f>$C$27*I79</f>
        <v>1.2000000000000002E-7</v>
      </c>
      <c r="AC79" s="301">
        <f>$C$40*O79</f>
        <v>1.2000000000000002E-6</v>
      </c>
      <c r="AD79" s="302">
        <f t="shared" si="2"/>
        <v>1.7953920692262748E-11</v>
      </c>
      <c r="AE79" s="302">
        <f t="shared" si="3"/>
        <v>7.4636920434586534E-11</v>
      </c>
      <c r="AF79" s="303">
        <f t="shared" si="4"/>
        <v>1.4417489746455659E-4</v>
      </c>
      <c r="AG79" s="303">
        <f t="shared" si="5"/>
        <v>3.6028037704740669E-12</v>
      </c>
      <c r="AH79" s="303">
        <f t="shared" si="6"/>
        <v>1.4977351352241679E-11</v>
      </c>
      <c r="AI79" s="303">
        <f t="shared" si="7"/>
        <v>1.2044999017712261E-6</v>
      </c>
      <c r="AJ79" s="303">
        <f t="shared" si="8"/>
        <v>1.4351116921788681E-11</v>
      </c>
      <c r="AK79" s="303">
        <f t="shared" si="9"/>
        <v>5.9659569082344855E-11</v>
      </c>
      <c r="AL79" s="303">
        <f t="shared" si="10"/>
        <v>1.4297039756278537E-4</v>
      </c>
      <c r="AM79" s="304">
        <f t="shared" si="12"/>
        <v>1.7953920692262748E-11</v>
      </c>
      <c r="AN79" s="305">
        <f t="shared" si="12"/>
        <v>7.4636920434586534E-11</v>
      </c>
      <c r="AO79" s="306">
        <f t="shared" si="12"/>
        <v>1.4417489746455659E-4</v>
      </c>
    </row>
    <row r="80" spans="1:41" s="139" customFormat="1" ht="15" customHeight="1" x14ac:dyDescent="0.2">
      <c r="A80" s="141" t="str">
        <f>'36. Generic chemical products'!A4</f>
        <v>Lubricant, average (Albafluid CD)</v>
      </c>
      <c r="B80" s="141">
        <f>'36. Generic chemical products'!B4</f>
        <v>0</v>
      </c>
      <c r="C80" s="141">
        <f>'36. Generic chemical products'!C4</f>
        <v>0</v>
      </c>
      <c r="D80" s="141">
        <f>'36. Generic chemical products'!D4</f>
        <v>0</v>
      </c>
      <c r="E80" s="141" t="str">
        <f>'36. Generic chemical products'!E4</f>
        <v>Common breakdown product of of acrylics, 0.001 % assumed</v>
      </c>
      <c r="F80" s="141">
        <f>'36. Generic chemical products'!F4</f>
        <v>0</v>
      </c>
      <c r="G80" s="141" t="str">
        <f>'36. Generic chemical products'!G4</f>
        <v>Formaldehyde</v>
      </c>
      <c r="H80" s="141" t="str">
        <f>'36. Generic chemical products'!H4</f>
        <v>high. pop.</v>
      </c>
      <c r="I80" s="141">
        <f>'36. Generic chemical products'!I4</f>
        <v>2.9999999999999999E-7</v>
      </c>
      <c r="J80" s="141" t="str">
        <f>'36. Generic chemical products'!J4</f>
        <v>kg</v>
      </c>
      <c r="K80" s="141">
        <f>'36. Generic chemical products'!K4</f>
        <v>0</v>
      </c>
      <c r="L80" s="141">
        <f>'36. Generic chemical products'!L4</f>
        <v>0</v>
      </c>
      <c r="M80" s="141" t="str">
        <f>'36. Generic chemical products'!M4</f>
        <v>Formaldehyde</v>
      </c>
      <c r="N80" s="141" t="str">
        <f>'36. Generic chemical products'!N4</f>
        <v>river</v>
      </c>
      <c r="O80" s="141">
        <f>'36. Generic chemical products'!O4</f>
        <v>3.0000000000000001E-6</v>
      </c>
      <c r="P80" s="141" t="str">
        <f>'36. Generic chemical products'!P4</f>
        <v>kg</v>
      </c>
      <c r="Q80" s="141" t="str">
        <f>'36. Generic chemical products'!Q4</f>
        <v xml:space="preserve">0.1 % of the content is degraded to common breakdown products. 90% of reactive chemicals are degraded during operations. </v>
      </c>
      <c r="R80" s="141">
        <f>'36. Generic chemical products'!R4</f>
        <v>0</v>
      </c>
      <c r="S80" s="141">
        <f>'36. Generic chemical products'!S4</f>
        <v>0</v>
      </c>
      <c r="T80" s="141" t="str">
        <f>'36. Generic chemical products'!T4</f>
        <v>50-00-0</v>
      </c>
      <c r="U80" s="141">
        <f>'36. Generic chemical products'!U4</f>
        <v>2.5208446330720887E-5</v>
      </c>
      <c r="V80" s="141">
        <f>'36. Generic chemical products'!V4</f>
        <v>2.6504960021309262E-7</v>
      </c>
      <c r="W80" s="141">
        <f>'36. Generic chemical products'!W4</f>
        <v>1.4222228897488039E-7</v>
      </c>
      <c r="X80" s="141">
        <f>'36. Generic chemical products'!X4</f>
        <v>3.170874313501273E-7</v>
      </c>
      <c r="Y80" s="141">
        <f>'36. Generic chemical products'!Y4</f>
        <v>17.989178582912412</v>
      </c>
      <c r="Z80" s="141">
        <f>'36. Generic chemical products'!Z4</f>
        <v>290.05086067463066</v>
      </c>
      <c r="AA80" s="141" t="str">
        <f>'36. Generic chemical products'!AA4</f>
        <v>USEtox</v>
      </c>
      <c r="AB80" s="307">
        <f>$C$27*I80</f>
        <v>1.2E-8</v>
      </c>
      <c r="AC80" s="308">
        <f>$C$40*O80</f>
        <v>1.2000000000000002E-7</v>
      </c>
      <c r="AD80" s="309">
        <f t="shared" si="2"/>
        <v>3.1956803064563631E-13</v>
      </c>
      <c r="AE80" s="309">
        <f t="shared" si="3"/>
        <v>4.1231086964572394E-14</v>
      </c>
      <c r="AF80" s="310">
        <f t="shared" si="4"/>
        <v>3.5021973423950633E-5</v>
      </c>
      <c r="AG80" s="310">
        <f t="shared" si="5"/>
        <v>3.0250135596865065E-13</v>
      </c>
      <c r="AH80" s="310">
        <f t="shared" si="6"/>
        <v>3.1805952025571113E-15</v>
      </c>
      <c r="AI80" s="310">
        <f t="shared" si="7"/>
        <v>2.1587014299494896E-7</v>
      </c>
      <c r="AJ80" s="310">
        <f t="shared" si="8"/>
        <v>1.7066674676985648E-14</v>
      </c>
      <c r="AK80" s="310">
        <f t="shared" si="9"/>
        <v>3.805049176201528E-14</v>
      </c>
      <c r="AL80" s="310">
        <f t="shared" si="10"/>
        <v>3.4806103280955686E-5</v>
      </c>
      <c r="AM80" s="311">
        <f t="shared" si="12"/>
        <v>3.1956803064563631E-13</v>
      </c>
      <c r="AN80" s="312">
        <f t="shared" si="12"/>
        <v>4.1231086964572394E-14</v>
      </c>
      <c r="AO80" s="313">
        <f t="shared" si="12"/>
        <v>3.5021973423950633E-5</v>
      </c>
    </row>
    <row r="81" spans="1:41" s="195" customFormat="1" ht="15" customHeight="1" x14ac:dyDescent="0.2">
      <c r="A81" s="196" t="str">
        <f>'36. Generic chemical products'!A59</f>
        <v>Blue VAT dyestuff (indigo), average</v>
      </c>
      <c r="B81" s="196" t="str">
        <f>'36. Generic chemical products'!B59</f>
        <v>Indigo</v>
      </c>
      <c r="C81" s="196">
        <f>'36. Generic chemical products'!C59</f>
        <v>1</v>
      </c>
      <c r="D81" s="196" t="str">
        <f>'36. Generic chemical products'!D59</f>
        <v>kg</v>
      </c>
      <c r="E81" s="196">
        <f>'36. Generic chemical products'!E59</f>
        <v>1</v>
      </c>
      <c r="F81" s="196">
        <f>'36. Generic chemical products'!F59</f>
        <v>0</v>
      </c>
      <c r="G81" s="196" t="str">
        <f>'36. Generic chemical products'!G59</f>
        <v>Indigo</v>
      </c>
      <c r="H81" s="196" t="str">
        <f>'36. Generic chemical products'!H59</f>
        <v>high. pop.</v>
      </c>
      <c r="I81" s="196">
        <f>'36. Generic chemical products'!I59</f>
        <v>6.0000000000000001E-3</v>
      </c>
      <c r="J81" s="196" t="str">
        <f>'36. Generic chemical products'!J59</f>
        <v>kg</v>
      </c>
      <c r="K81" s="196" t="str">
        <f>'36. Generic chemical products'!K59</f>
        <v>6 airings assumed</v>
      </c>
      <c r="L81" s="196">
        <f>'36. Generic chemical products'!L59</f>
        <v>0</v>
      </c>
      <c r="M81" s="196" t="str">
        <f>'36. Generic chemical products'!M59</f>
        <v>Indigo</v>
      </c>
      <c r="N81" s="196" t="str">
        <f>'36. Generic chemical products'!N59</f>
        <v>river</v>
      </c>
      <c r="O81" s="196">
        <f>'36. Generic chemical products'!O59</f>
        <v>5.000000000000001E-3</v>
      </c>
      <c r="P81" s="196" t="str">
        <f>'36. Generic chemical products'!P59</f>
        <v>kg</v>
      </c>
      <c r="Q81" s="196" t="str">
        <f>'36. Generic chemical products'!Q59</f>
        <v>95% on fabric</v>
      </c>
      <c r="R81" s="196">
        <f>'36. Generic chemical products'!R59</f>
        <v>0</v>
      </c>
      <c r="S81" s="196">
        <f>'36. Generic chemical products'!S59</f>
        <v>0</v>
      </c>
      <c r="T81" s="196" t="str">
        <f>'36. Generic chemical products'!T59</f>
        <v>482-89-3</v>
      </c>
      <c r="U81" s="196">
        <f>'36. Generic chemical products'!U59</f>
        <v>0</v>
      </c>
      <c r="V81" s="196">
        <f>'36. Generic chemical products'!V59</f>
        <v>0</v>
      </c>
      <c r="W81" s="196">
        <f>'36. Generic chemical products'!W59</f>
        <v>0</v>
      </c>
      <c r="X81" s="196">
        <f>'36. Generic chemical products'!X59</f>
        <v>0</v>
      </c>
      <c r="Y81" s="196">
        <f>'36. Generic chemical products'!Y59</f>
        <v>8.8772465275976433</v>
      </c>
      <c r="Z81" s="196">
        <f>'36. Generic chemical products'!Z59</f>
        <v>208.6033035913627</v>
      </c>
      <c r="AA81" s="196" t="str">
        <f>'36. Generic chemical products'!AA59</f>
        <v>USEtox</v>
      </c>
      <c r="AB81" s="327">
        <f>$C$28*I81</f>
        <v>1.2E-4</v>
      </c>
      <c r="AC81" s="328">
        <f>$C$41*O81</f>
        <v>1.0000000000000002E-4</v>
      </c>
      <c r="AD81" s="329">
        <f t="shared" si="2"/>
        <v>0</v>
      </c>
      <c r="AE81" s="329">
        <f t="shared" si="3"/>
        <v>0</v>
      </c>
      <c r="AF81" s="330">
        <f t="shared" si="4"/>
        <v>2.1925599942447992E-2</v>
      </c>
      <c r="AG81" s="330">
        <f t="shared" si="5"/>
        <v>0</v>
      </c>
      <c r="AH81" s="330">
        <f t="shared" si="6"/>
        <v>0</v>
      </c>
      <c r="AI81" s="330">
        <f t="shared" si="7"/>
        <v>1.0652695833117173E-3</v>
      </c>
      <c r="AJ81" s="330">
        <f t="shared" si="8"/>
        <v>0</v>
      </c>
      <c r="AK81" s="330">
        <f t="shared" si="9"/>
        <v>0</v>
      </c>
      <c r="AL81" s="330">
        <f t="shared" si="10"/>
        <v>2.0860330359136273E-2</v>
      </c>
      <c r="AM81" s="331">
        <f t="shared" si="12"/>
        <v>0</v>
      </c>
      <c r="AN81" s="332">
        <f t="shared" si="12"/>
        <v>0</v>
      </c>
      <c r="AO81" s="333">
        <f t="shared" si="12"/>
        <v>2.1925599942447992E-2</v>
      </c>
    </row>
    <row r="82" spans="1:41" s="195" customFormat="1" ht="15" customHeight="1" x14ac:dyDescent="0.2">
      <c r="A82" s="194" t="str">
        <f>'36. Generic chemical products'!A113</f>
        <v>Blue disperse dyestuff PA, BAT (Eriofast Blue 3G)</v>
      </c>
      <c r="B82" s="194" t="str">
        <f>'36. Generic chemical products'!B113</f>
        <v>Reactive Blue 4</v>
      </c>
      <c r="C82" s="194">
        <f>'36. Generic chemical products'!C113</f>
        <v>0.75</v>
      </c>
      <c r="D82" s="194" t="str">
        <f>'36. Generic chemical products'!D113</f>
        <v>kg</v>
      </c>
      <c r="E82" s="194" t="str">
        <f>'36. Generic chemical products'!E113</f>
        <v>MSDS, replaces 500717-36-2</v>
      </c>
      <c r="F82" s="194">
        <f>'36. Generic chemical products'!F113</f>
        <v>0</v>
      </c>
      <c r="G82" s="194" t="str">
        <f>'36. Generic chemical products'!G113</f>
        <v>2-Anthracenesulfonic acid, 1-amino-4-[(4-amino-2-
sulfophenyl)amino]-9,10-dihydro-9,10-dioxo-,
disodium salt, reaction product with 2-[[3-[(4,6-
dichloro-1,3,5-triazin-2-yl)ethylamino]phenyl]sulfonyl
]ethyl hydrogen sulfate, sodium salts</v>
      </c>
      <c r="H82" s="194" t="str">
        <f>'36. Generic chemical products'!H113</f>
        <v>high. pop.</v>
      </c>
      <c r="I82" s="194">
        <f>'36. Generic chemical products'!I113</f>
        <v>7.5000000000000002E-4</v>
      </c>
      <c r="J82" s="194" t="str">
        <f>'36. Generic chemical products'!J113</f>
        <v>kg</v>
      </c>
      <c r="K82" s="194">
        <f>'36. Generic chemical products'!K113</f>
        <v>0</v>
      </c>
      <c r="L82" s="194">
        <f>'36. Generic chemical products'!L113</f>
        <v>0</v>
      </c>
      <c r="M82" s="194" t="str">
        <f>'36. Generic chemical products'!M113</f>
        <v>2-Anthracenesulfonic acid, 1-amino-4-[(4-amino-2-
sulfophenyl)amino]-9,10-dihydro-9,10-dioxo-,
disodium salt, reaction product with 2-[[3-[(4,6-
dichloro-1,3,5-triazin-2-yl)ethylamino]phenyl]sulfonyl
]ethyl hydrogen sulfate, sodium salts</v>
      </c>
      <c r="N82" s="194" t="str">
        <f>'36. Generic chemical products'!N113</f>
        <v>river</v>
      </c>
      <c r="O82" s="194">
        <f>'36. Generic chemical products'!O113</f>
        <v>3.7500000000000007E-3</v>
      </c>
      <c r="P82" s="194" t="str">
        <f>'36. Generic chemical products'!P113</f>
        <v>kg</v>
      </c>
      <c r="Q82" s="194" t="str">
        <f>'36. Generic chemical products'!Q113</f>
        <v>95% on fabric</v>
      </c>
      <c r="R82" s="194">
        <f>'36. Generic chemical products'!R113</f>
        <v>0</v>
      </c>
      <c r="S82" s="194">
        <f>'36. Generic chemical products'!S113</f>
        <v>0</v>
      </c>
      <c r="T82" s="194" t="str">
        <f>'36. Generic chemical products'!T113</f>
        <v>13324-20-4</v>
      </c>
      <c r="U82" s="194">
        <f>'36. Generic chemical products'!U113</f>
        <v>2.3250974052490423E-6</v>
      </c>
      <c r="V82" s="194">
        <f>'36. Generic chemical products'!V113</f>
        <v>3.6419621494691573E-7</v>
      </c>
      <c r="W82" s="194">
        <f>'36. Generic chemical products'!W113</f>
        <v>1.7961299223192751E-6</v>
      </c>
      <c r="X82" s="194">
        <f>'36. Generic chemical products'!X113</f>
        <v>2.8134035063856268E-7</v>
      </c>
      <c r="Y82" s="194">
        <f>'36. Generic chemical products'!Y113</f>
        <v>10.290742530418507</v>
      </c>
      <c r="Z82" s="194">
        <f>'36. Generic chemical products'!Z113</f>
        <v>34.995514714186051</v>
      </c>
      <c r="AA82" s="194" t="str">
        <f>'36. Generic chemical products'!AA113</f>
        <v>Roos 2017</v>
      </c>
      <c r="AB82" s="327">
        <f>$C$29*I82</f>
        <v>1.5E-5</v>
      </c>
      <c r="AC82" s="328">
        <f>$C$42*O82</f>
        <v>7.5000000000000021E-5</v>
      </c>
      <c r="AD82" s="329">
        <f t="shared" si="2"/>
        <v>1.695862052526813E-10</v>
      </c>
      <c r="AE82" s="329">
        <f t="shared" si="3"/>
        <v>2.6563469522095945E-11</v>
      </c>
      <c r="AF82" s="330">
        <f t="shared" si="4"/>
        <v>2.7790247415202321E-3</v>
      </c>
      <c r="AG82" s="330">
        <f t="shared" si="5"/>
        <v>3.4876461078735638E-11</v>
      </c>
      <c r="AH82" s="330">
        <f t="shared" si="6"/>
        <v>5.4629432242037361E-12</v>
      </c>
      <c r="AI82" s="330">
        <f t="shared" si="7"/>
        <v>1.5436113795627761E-4</v>
      </c>
      <c r="AJ82" s="330">
        <f t="shared" si="8"/>
        <v>1.3470974417394567E-10</v>
      </c>
      <c r="AK82" s="330">
        <f t="shared" si="9"/>
        <v>2.1100526297892208E-11</v>
      </c>
      <c r="AL82" s="330">
        <f t="shared" si="10"/>
        <v>2.6246636035639546E-3</v>
      </c>
      <c r="AM82" s="331">
        <f t="shared" si="12"/>
        <v>1.695862052526813E-10</v>
      </c>
      <c r="AN82" s="332">
        <f t="shared" si="12"/>
        <v>2.6563469522095945E-11</v>
      </c>
      <c r="AO82" s="333">
        <f t="shared" si="12"/>
        <v>2.7790247415202321E-3</v>
      </c>
    </row>
    <row r="83" spans="1:41" s="51" customFormat="1" ht="15" customHeight="1" x14ac:dyDescent="0.2">
      <c r="A83" s="68" t="str">
        <f>'36. Generic chemical products'!A41</f>
        <v>Reducing agent, average</v>
      </c>
      <c r="B83" s="68" t="str">
        <f>'36. Generic chemical products'!B41</f>
        <v>Sodium dithionite</v>
      </c>
      <c r="C83" s="68">
        <f>'36. Generic chemical products'!C41</f>
        <v>0.9</v>
      </c>
      <c r="D83" s="68" t="str">
        <f>'36. Generic chemical products'!D41</f>
        <v>kg</v>
      </c>
      <c r="E83" s="68" t="str">
        <f>'36. Generic chemical products'!E41</f>
        <v>MSDS</v>
      </c>
      <c r="F83" s="68">
        <f>'36. Generic chemical products'!F41</f>
        <v>0</v>
      </c>
      <c r="G83" s="68" t="str">
        <f>'36. Generic chemical products'!G41</f>
        <v>-</v>
      </c>
      <c r="H83" s="68">
        <f>'36. Generic chemical products'!H41</f>
        <v>0</v>
      </c>
      <c r="I83" s="68">
        <f>'36. Generic chemical products'!I41</f>
        <v>0</v>
      </c>
      <c r="J83" s="68">
        <f>'36. Generic chemical products'!J41</f>
        <v>0</v>
      </c>
      <c r="K83" s="68">
        <f>'36. Generic chemical products'!K41</f>
        <v>0</v>
      </c>
      <c r="L83" s="68">
        <f>'36. Generic chemical products'!L41</f>
        <v>0</v>
      </c>
      <c r="M83" s="68" t="str">
        <f>'36. Generic chemical products'!M41</f>
        <v>Sodium dithionite</v>
      </c>
      <c r="N83" s="68" t="str">
        <f>'36. Generic chemical products'!N41</f>
        <v>river</v>
      </c>
      <c r="O83" s="68">
        <f>'36. Generic chemical products'!O41</f>
        <v>9.0000000000000011E-2</v>
      </c>
      <c r="P83" s="68" t="str">
        <f>'36. Generic chemical products'!P41</f>
        <v>kg</v>
      </c>
      <c r="Q83" s="68">
        <f>'36. Generic chemical products'!Q41</f>
        <v>0</v>
      </c>
      <c r="R83" s="68">
        <f>'36. Generic chemical products'!R41</f>
        <v>0</v>
      </c>
      <c r="S83" s="68">
        <f>'36. Generic chemical products'!S41</f>
        <v>0</v>
      </c>
      <c r="T83" s="68" t="str">
        <f>'36. Generic chemical products'!T41</f>
        <v>7775-14-6</v>
      </c>
      <c r="U83" s="68">
        <f>'36. Generic chemical products'!U41</f>
        <v>0</v>
      </c>
      <c r="V83" s="68">
        <f>'36. Generic chemical products'!V41</f>
        <v>0</v>
      </c>
      <c r="W83" s="68">
        <f>'36. Generic chemical products'!W41</f>
        <v>0</v>
      </c>
      <c r="X83" s="68">
        <f>'36. Generic chemical products'!X41</f>
        <v>0</v>
      </c>
      <c r="Y83" s="68">
        <f>'36. Generic chemical products'!Y41</f>
        <v>52.575000000000003</v>
      </c>
      <c r="Z83" s="68">
        <f>'36. Generic chemical products'!Z41</f>
        <v>125.31</v>
      </c>
      <c r="AA83" s="68" t="str">
        <f>'36. Generic chemical products'!AA41</f>
        <v>COSMEDE</v>
      </c>
      <c r="AB83" s="300">
        <f>$C$30*I83</f>
        <v>0</v>
      </c>
      <c r="AC83" s="301">
        <f>$C$43*O83</f>
        <v>1.0800000000000002E-3</v>
      </c>
      <c r="AD83" s="302">
        <f t="shared" si="2"/>
        <v>0</v>
      </c>
      <c r="AE83" s="302">
        <f t="shared" si="3"/>
        <v>0</v>
      </c>
      <c r="AF83" s="303">
        <f t="shared" si="4"/>
        <v>0.13533480000000003</v>
      </c>
      <c r="AG83" s="303">
        <f t="shared" si="5"/>
        <v>0</v>
      </c>
      <c r="AH83" s="303">
        <f t="shared" si="6"/>
        <v>0</v>
      </c>
      <c r="AI83" s="303">
        <f t="shared" si="7"/>
        <v>0</v>
      </c>
      <c r="AJ83" s="303">
        <f t="shared" si="8"/>
        <v>0</v>
      </c>
      <c r="AK83" s="303">
        <f t="shared" si="9"/>
        <v>0</v>
      </c>
      <c r="AL83" s="303">
        <f t="shared" si="10"/>
        <v>0.13533480000000003</v>
      </c>
      <c r="AM83" s="304">
        <f t="shared" si="12"/>
        <v>0</v>
      </c>
      <c r="AN83" s="305">
        <f t="shared" si="12"/>
        <v>0</v>
      </c>
      <c r="AO83" s="306">
        <f t="shared" si="12"/>
        <v>0.13533480000000003</v>
      </c>
    </row>
    <row r="84" spans="1:41" s="51" customFormat="1" ht="15" customHeight="1" x14ac:dyDescent="0.2">
      <c r="A84" s="68" t="str">
        <f>'36. Generic chemical products'!A42</f>
        <v>Reducing agent, average</v>
      </c>
      <c r="B84" s="68" t="str">
        <f>'36. Generic chemical products'!B42</f>
        <v>Sodium disulfate</v>
      </c>
      <c r="C84" s="68">
        <f>'36. Generic chemical products'!C42</f>
        <v>0.08</v>
      </c>
      <c r="D84" s="68" t="str">
        <f>'36. Generic chemical products'!D42</f>
        <v>kg</v>
      </c>
      <c r="E84" s="68" t="str">
        <f>'36. Generic chemical products'!E42</f>
        <v>MSDS</v>
      </c>
      <c r="F84" s="68">
        <f>'36. Generic chemical products'!F42</f>
        <v>0</v>
      </c>
      <c r="G84" s="68" t="str">
        <f>'36. Generic chemical products'!G42</f>
        <v>-</v>
      </c>
      <c r="H84" s="68">
        <f>'36. Generic chemical products'!H42</f>
        <v>0</v>
      </c>
      <c r="I84" s="68">
        <f>'36. Generic chemical products'!I42</f>
        <v>0</v>
      </c>
      <c r="J84" s="68">
        <f>'36. Generic chemical products'!J42</f>
        <v>0</v>
      </c>
      <c r="K84" s="68">
        <f>'36. Generic chemical products'!K42</f>
        <v>0</v>
      </c>
      <c r="L84" s="68">
        <f>'36. Generic chemical products'!L42</f>
        <v>0</v>
      </c>
      <c r="M84" s="68" t="str">
        <f>'36. Generic chemical products'!M42</f>
        <v>Sodium disulfate</v>
      </c>
      <c r="N84" s="68" t="str">
        <f>'36. Generic chemical products'!N42</f>
        <v>river</v>
      </c>
      <c r="O84" s="68">
        <f>'36. Generic chemical products'!O42</f>
        <v>8.0000000000000002E-3</v>
      </c>
      <c r="P84" s="68" t="str">
        <f>'36. Generic chemical products'!P42</f>
        <v>kg</v>
      </c>
      <c r="Q84" s="68">
        <f>'36. Generic chemical products'!Q42</f>
        <v>0</v>
      </c>
      <c r="R84" s="68">
        <f>'36. Generic chemical products'!R42</f>
        <v>0</v>
      </c>
      <c r="S84" s="68">
        <f>'36. Generic chemical products'!S42</f>
        <v>0</v>
      </c>
      <c r="T84" s="68" t="str">
        <f>'36. Generic chemical products'!T42</f>
        <v>7681-57-4</v>
      </c>
      <c r="U84" s="68">
        <f>'36. Generic chemical products'!U42</f>
        <v>0</v>
      </c>
      <c r="V84" s="68">
        <f>'36. Generic chemical products'!V42</f>
        <v>0</v>
      </c>
      <c r="W84" s="68">
        <f>'36. Generic chemical products'!W42</f>
        <v>0</v>
      </c>
      <c r="X84" s="68">
        <f>'36. Generic chemical products'!X42</f>
        <v>0</v>
      </c>
      <c r="Y84" s="68">
        <f>'36. Generic chemical products'!Y42</f>
        <v>6.0401999999999996</v>
      </c>
      <c r="Z84" s="68">
        <f>'36. Generic chemical products'!Z42</f>
        <v>126.48</v>
      </c>
      <c r="AA84" s="68" t="str">
        <f>'36. Generic chemical products'!AA42</f>
        <v>COSMEDE</v>
      </c>
      <c r="AB84" s="300">
        <f>$C$30*I84</f>
        <v>0</v>
      </c>
      <c r="AC84" s="301">
        <f>$C$43*O84</f>
        <v>9.6000000000000002E-5</v>
      </c>
      <c r="AD84" s="302">
        <f t="shared" si="2"/>
        <v>0</v>
      </c>
      <c r="AE84" s="302">
        <f t="shared" si="3"/>
        <v>0</v>
      </c>
      <c r="AF84" s="303">
        <f t="shared" si="4"/>
        <v>1.2142080000000001E-2</v>
      </c>
      <c r="AG84" s="303">
        <f t="shared" si="5"/>
        <v>0</v>
      </c>
      <c r="AH84" s="303">
        <f t="shared" si="6"/>
        <v>0</v>
      </c>
      <c r="AI84" s="303">
        <f t="shared" si="7"/>
        <v>0</v>
      </c>
      <c r="AJ84" s="303">
        <f t="shared" si="8"/>
        <v>0</v>
      </c>
      <c r="AK84" s="303">
        <f t="shared" si="9"/>
        <v>0</v>
      </c>
      <c r="AL84" s="303">
        <f t="shared" si="10"/>
        <v>1.2142080000000001E-2</v>
      </c>
      <c r="AM84" s="304">
        <f t="shared" si="12"/>
        <v>0</v>
      </c>
      <c r="AN84" s="305">
        <f t="shared" si="12"/>
        <v>0</v>
      </c>
      <c r="AO84" s="306">
        <f t="shared" si="12"/>
        <v>1.2142080000000001E-2</v>
      </c>
    </row>
    <row r="85" spans="1:41" s="51" customFormat="1" ht="15" customHeight="1" x14ac:dyDescent="0.2">
      <c r="A85" s="68" t="str">
        <f>'36. Generic chemical products'!A43</f>
        <v>Reducing agent, average</v>
      </c>
      <c r="B85" s="68" t="str">
        <f>'36. Generic chemical products'!B43</f>
        <v>Sodium carbonate (Na2CO3)</v>
      </c>
      <c r="C85" s="68">
        <f>'36. Generic chemical products'!C43</f>
        <v>0.02</v>
      </c>
      <c r="D85" s="68" t="str">
        <f>'36. Generic chemical products'!D43</f>
        <v>kg</v>
      </c>
      <c r="E85" s="68" t="str">
        <f>'36. Generic chemical products'!E43</f>
        <v>MSDS</v>
      </c>
      <c r="F85" s="68">
        <f>'36. Generic chemical products'!F43</f>
        <v>0</v>
      </c>
      <c r="G85" s="68" t="str">
        <f>'36. Generic chemical products'!G43</f>
        <v>-</v>
      </c>
      <c r="H85" s="68">
        <f>'36. Generic chemical products'!H43</f>
        <v>0</v>
      </c>
      <c r="I85" s="68">
        <f>'36. Generic chemical products'!I43</f>
        <v>0</v>
      </c>
      <c r="J85" s="68">
        <f>'36. Generic chemical products'!J43</f>
        <v>0</v>
      </c>
      <c r="K85" s="68" t="str">
        <f>'36. Generic chemical products'!K43</f>
        <v>Worst case - mist carries substance</v>
      </c>
      <c r="L85" s="68">
        <f>'36. Generic chemical products'!L43</f>
        <v>0</v>
      </c>
      <c r="M85" s="68" t="str">
        <f>'36. Generic chemical products'!M43</f>
        <v>Sodium carbonate (Na2CO3)</v>
      </c>
      <c r="N85" s="68" t="str">
        <f>'36. Generic chemical products'!N43</f>
        <v>river</v>
      </c>
      <c r="O85" s="68">
        <f>'36. Generic chemical products'!O43</f>
        <v>2E-3</v>
      </c>
      <c r="P85" s="68" t="str">
        <f>'36. Generic chemical products'!P43</f>
        <v>kg</v>
      </c>
      <c r="Q85" s="68">
        <f>'36. Generic chemical products'!Q43</f>
        <v>0</v>
      </c>
      <c r="R85" s="68">
        <f>'36. Generic chemical products'!R43</f>
        <v>0</v>
      </c>
      <c r="S85" s="68">
        <f>'36. Generic chemical products'!S43</f>
        <v>0</v>
      </c>
      <c r="T85" s="68" t="str">
        <f>'36. Generic chemical products'!T43</f>
        <v>497-19-8</v>
      </c>
      <c r="U85" s="68">
        <f>'36. Generic chemical products'!U43</f>
        <v>0</v>
      </c>
      <c r="V85" s="68">
        <f>'36. Generic chemical products'!V43</f>
        <v>0</v>
      </c>
      <c r="W85" s="68">
        <f>'36. Generic chemical products'!W43</f>
        <v>0</v>
      </c>
      <c r="X85" s="68">
        <f>'36. Generic chemical products'!X43</f>
        <v>0</v>
      </c>
      <c r="Y85" s="68">
        <f>'36. Generic chemical products'!Y43</f>
        <v>31</v>
      </c>
      <c r="Z85" s="68">
        <f>'36. Generic chemical products'!Z43</f>
        <v>73.7</v>
      </c>
      <c r="AA85" s="68" t="str">
        <f>'36. Generic chemical products'!AA43</f>
        <v>COSMEDE</v>
      </c>
      <c r="AB85" s="300">
        <f>$C$30*I85</f>
        <v>0</v>
      </c>
      <c r="AC85" s="301">
        <f>$C$43*O85</f>
        <v>2.4000000000000001E-5</v>
      </c>
      <c r="AD85" s="302">
        <f t="shared" si="2"/>
        <v>0</v>
      </c>
      <c r="AE85" s="302">
        <f t="shared" si="3"/>
        <v>0</v>
      </c>
      <c r="AF85" s="303">
        <f t="shared" si="4"/>
        <v>1.7688000000000001E-3</v>
      </c>
      <c r="AG85" s="303">
        <f t="shared" si="5"/>
        <v>0</v>
      </c>
      <c r="AH85" s="303">
        <f t="shared" si="6"/>
        <v>0</v>
      </c>
      <c r="AI85" s="303">
        <f t="shared" si="7"/>
        <v>0</v>
      </c>
      <c r="AJ85" s="303">
        <f t="shared" si="8"/>
        <v>0</v>
      </c>
      <c r="AK85" s="303">
        <f t="shared" si="9"/>
        <v>0</v>
      </c>
      <c r="AL85" s="303">
        <f t="shared" si="10"/>
        <v>1.7688000000000001E-3</v>
      </c>
      <c r="AM85" s="304">
        <f t="shared" si="12"/>
        <v>0</v>
      </c>
      <c r="AN85" s="305">
        <f t="shared" si="12"/>
        <v>0</v>
      </c>
      <c r="AO85" s="306">
        <f t="shared" si="12"/>
        <v>1.7688000000000001E-3</v>
      </c>
    </row>
    <row r="86" spans="1:41" s="139" customFormat="1" ht="15" customHeight="1" x14ac:dyDescent="0.2">
      <c r="A86" s="193" t="str">
        <f>'36. Generic chemical products'!A44</f>
        <v>Reducing agent, average</v>
      </c>
      <c r="B86" s="193" t="str">
        <f>'36. Generic chemical products'!B44</f>
        <v xml:space="preserve"> </v>
      </c>
      <c r="C86" s="193">
        <f>'36. Generic chemical products'!C44</f>
        <v>0</v>
      </c>
      <c r="D86" s="193">
        <f>'36. Generic chemical products'!D44</f>
        <v>0</v>
      </c>
      <c r="E86" s="193" t="str">
        <f>'36. Generic chemical products'!E44</f>
        <v>MSDS</v>
      </c>
      <c r="F86" s="193">
        <f>'36. Generic chemical products'!F44</f>
        <v>0</v>
      </c>
      <c r="G86" s="193" t="str">
        <f>'36. Generic chemical products'!G44</f>
        <v>-</v>
      </c>
      <c r="H86" s="193">
        <f>'36. Generic chemical products'!H44</f>
        <v>0</v>
      </c>
      <c r="I86" s="193">
        <f>'36. Generic chemical products'!I44</f>
        <v>0</v>
      </c>
      <c r="J86" s="193">
        <f>'36. Generic chemical products'!J44</f>
        <v>0</v>
      </c>
      <c r="K86" s="193" t="str">
        <f>'36. Generic chemical products'!K44</f>
        <v>Worst case - mist carries substance</v>
      </c>
      <c r="L86" s="193">
        <f>'36. Generic chemical products'!L44</f>
        <v>0</v>
      </c>
      <c r="M86" s="193" t="str">
        <f>'36. Generic chemical products'!M44</f>
        <v>Thiosulfate</v>
      </c>
      <c r="N86" s="193" t="str">
        <f>'36. Generic chemical products'!N44</f>
        <v>river</v>
      </c>
      <c r="O86" s="193">
        <f>'36. Generic chemical products'!O44</f>
        <v>9.0000000000000019E-5</v>
      </c>
      <c r="P86" s="193" t="str">
        <f>'36. Generic chemical products'!P44</f>
        <v>kg</v>
      </c>
      <c r="Q86" s="193" t="str">
        <f>'36. Generic chemical products'!Q44</f>
        <v>0.1 % of the content is degraded to common breakdown products.</v>
      </c>
      <c r="R86" s="193">
        <f>'36. Generic chemical products'!R44</f>
        <v>0</v>
      </c>
      <c r="S86" s="193">
        <f>'36. Generic chemical products'!S44</f>
        <v>0</v>
      </c>
      <c r="T86" s="193" t="str">
        <f>'36. Generic chemical products'!T44</f>
        <v>7772-98-7/10102-17-7</v>
      </c>
      <c r="U86" s="193">
        <f>'36. Generic chemical products'!U44</f>
        <v>0</v>
      </c>
      <c r="V86" s="193">
        <f>'36. Generic chemical products'!V44</f>
        <v>0</v>
      </c>
      <c r="W86" s="193">
        <f>'36. Generic chemical products'!W44</f>
        <v>0</v>
      </c>
      <c r="X86" s="193">
        <f>'36. Generic chemical products'!X44</f>
        <v>0</v>
      </c>
      <c r="Y86" s="193">
        <f>'36. Generic chemical products'!Y44</f>
        <v>13</v>
      </c>
      <c r="Z86" s="193">
        <f>'36. Generic chemical products'!Z44</f>
        <v>31.7</v>
      </c>
      <c r="AA86" s="193" t="str">
        <f>'36. Generic chemical products'!AA44</f>
        <v>COSMEDE</v>
      </c>
      <c r="AB86" s="307">
        <f>$C$30*I86</f>
        <v>0</v>
      </c>
      <c r="AC86" s="308">
        <f>$C$43*O86</f>
        <v>1.0800000000000002E-6</v>
      </c>
      <c r="AD86" s="309">
        <f t="shared" si="2"/>
        <v>0</v>
      </c>
      <c r="AE86" s="309">
        <f t="shared" si="3"/>
        <v>0</v>
      </c>
      <c r="AF86" s="310">
        <f t="shared" si="4"/>
        <v>3.4236000000000009E-5</v>
      </c>
      <c r="AG86" s="310">
        <f t="shared" si="5"/>
        <v>0</v>
      </c>
      <c r="AH86" s="310">
        <f t="shared" si="6"/>
        <v>0</v>
      </c>
      <c r="AI86" s="310">
        <f t="shared" si="7"/>
        <v>0</v>
      </c>
      <c r="AJ86" s="310">
        <f t="shared" si="8"/>
        <v>0</v>
      </c>
      <c r="AK86" s="310">
        <f t="shared" si="9"/>
        <v>0</v>
      </c>
      <c r="AL86" s="310">
        <f t="shared" si="10"/>
        <v>3.4236000000000009E-5</v>
      </c>
      <c r="AM86" s="311">
        <f t="shared" si="12"/>
        <v>0</v>
      </c>
      <c r="AN86" s="312">
        <f t="shared" si="12"/>
        <v>0</v>
      </c>
      <c r="AO86" s="313">
        <f t="shared" si="12"/>
        <v>3.4236000000000009E-5</v>
      </c>
    </row>
    <row r="87" spans="1:41" s="51" customFormat="1" ht="15" customHeight="1" x14ac:dyDescent="0.2">
      <c r="A87" s="54" t="str">
        <f>'36. Generic chemical products'!A5</f>
        <v>Detergent, average (Ultravon EL)</v>
      </c>
      <c r="B87" s="54" t="str">
        <f>'36. Generic chemical products'!B5</f>
        <v>Polyacrylic acid, sodium salt</v>
      </c>
      <c r="C87" s="54">
        <f>'36. Generic chemical products'!C5</f>
        <v>0.1</v>
      </c>
      <c r="D87" s="54" t="str">
        <f>'36. Generic chemical products'!D5</f>
        <v>kg</v>
      </c>
      <c r="E87" s="54" t="str">
        <f>'36. Generic chemical products'!E5</f>
        <v>MSDS</v>
      </c>
      <c r="F87" s="54">
        <f>'36. Generic chemical products'!F5</f>
        <v>0</v>
      </c>
      <c r="G87" s="54" t="str">
        <f>'36. Generic chemical products'!G5</f>
        <v>-</v>
      </c>
      <c r="H87" s="54">
        <f>'36. Generic chemical products'!H5</f>
        <v>0</v>
      </c>
      <c r="I87" s="54">
        <f>'36. Generic chemical products'!I5</f>
        <v>0</v>
      </c>
      <c r="J87" s="54">
        <f>'36. Generic chemical products'!J5</f>
        <v>0</v>
      </c>
      <c r="K87" s="54">
        <f>'36. Generic chemical products'!K5</f>
        <v>0</v>
      </c>
      <c r="L87" s="54">
        <f>'36. Generic chemical products'!L5</f>
        <v>0</v>
      </c>
      <c r="M87" s="54" t="str">
        <f>'36. Generic chemical products'!M5</f>
        <v>Polyacrylic acid, sodium salt</v>
      </c>
      <c r="N87" s="54" t="str">
        <f>'36. Generic chemical products'!N5</f>
        <v>river</v>
      </c>
      <c r="O87" s="54">
        <f>'36. Generic chemical products'!O5</f>
        <v>9.9000000000000008E-3</v>
      </c>
      <c r="P87" s="54" t="str">
        <f>'36. Generic chemical products'!P5</f>
        <v>kg</v>
      </c>
      <c r="Q87" s="54" t="str">
        <f>'36. Generic chemical products'!Q5</f>
        <v>1% of polymer content remains as monomers from the production process.</v>
      </c>
      <c r="R87" s="54">
        <f>'36. Generic chemical products'!R5</f>
        <v>0</v>
      </c>
      <c r="S87" s="54">
        <f>'36. Generic chemical products'!S5</f>
        <v>0</v>
      </c>
      <c r="T87" s="54" t="str">
        <f>'36. Generic chemical products'!T5</f>
        <v>9003-04-7</v>
      </c>
      <c r="U87" s="54">
        <f>'36. Generic chemical products'!U5</f>
        <v>0</v>
      </c>
      <c r="V87" s="54">
        <f>'36. Generic chemical products'!V5</f>
        <v>0</v>
      </c>
      <c r="W87" s="54">
        <f>'36. Generic chemical products'!W5</f>
        <v>0</v>
      </c>
      <c r="X87" s="54">
        <f>'36. Generic chemical products'!X5</f>
        <v>0</v>
      </c>
      <c r="Y87" s="54">
        <f>'36. Generic chemical products'!Y5</f>
        <v>7.06</v>
      </c>
      <c r="Z87" s="54">
        <f>'36. Generic chemical products'!Z5</f>
        <v>78.599999999999994</v>
      </c>
      <c r="AA87" s="54" t="str">
        <f>'36. Generic chemical products'!AA5</f>
        <v>COSMEDE</v>
      </c>
      <c r="AB87" s="300">
        <f t="shared" ref="AB87:AB92" si="13">$C$31*I87</f>
        <v>0</v>
      </c>
      <c r="AC87" s="301">
        <f t="shared" ref="AC87:AC92" si="14">$C$44*O87</f>
        <v>5.9400000000000002E-4</v>
      </c>
      <c r="AD87" s="302">
        <f t="shared" si="2"/>
        <v>0</v>
      </c>
      <c r="AE87" s="302">
        <f t="shared" si="3"/>
        <v>0</v>
      </c>
      <c r="AF87" s="303">
        <f t="shared" si="4"/>
        <v>4.6688399999999998E-2</v>
      </c>
      <c r="AG87" s="303">
        <f t="shared" si="5"/>
        <v>0</v>
      </c>
      <c r="AH87" s="303">
        <f t="shared" si="6"/>
        <v>0</v>
      </c>
      <c r="AI87" s="303">
        <f t="shared" si="7"/>
        <v>0</v>
      </c>
      <c r="AJ87" s="303">
        <f t="shared" si="8"/>
        <v>0</v>
      </c>
      <c r="AK87" s="303">
        <f t="shared" si="9"/>
        <v>0</v>
      </c>
      <c r="AL87" s="303">
        <f t="shared" si="10"/>
        <v>4.6688399999999998E-2</v>
      </c>
      <c r="AM87" s="304">
        <f t="shared" si="12"/>
        <v>0</v>
      </c>
      <c r="AN87" s="305">
        <f t="shared" si="12"/>
        <v>0</v>
      </c>
      <c r="AO87" s="306">
        <f t="shared" si="12"/>
        <v>4.6688399999999998E-2</v>
      </c>
    </row>
    <row r="88" spans="1:41" s="51" customFormat="1" ht="15" customHeight="1" x14ac:dyDescent="0.2">
      <c r="A88" s="54" t="str">
        <f>'36. Generic chemical products'!A6</f>
        <v>Detergent, average (Ultravon EL)</v>
      </c>
      <c r="B88" s="54" t="str">
        <f>'36. Generic chemical products'!B6</f>
        <v>Oxirane, methyl-, polymer with oxirane, decyl ether</v>
      </c>
      <c r="C88" s="54">
        <f>'36. Generic chemical products'!C6</f>
        <v>0.25</v>
      </c>
      <c r="D88" s="54" t="str">
        <f>'36. Generic chemical products'!D6</f>
        <v>kg</v>
      </c>
      <c r="E88" s="54" t="str">
        <f>'36. Generic chemical products'!E6</f>
        <v>MSDS</v>
      </c>
      <c r="F88" s="54">
        <f>'36. Generic chemical products'!F6</f>
        <v>0</v>
      </c>
      <c r="G88" s="54" t="str">
        <f>'36. Generic chemical products'!G6</f>
        <v>-</v>
      </c>
      <c r="H88" s="54">
        <f>'36. Generic chemical products'!H6</f>
        <v>0</v>
      </c>
      <c r="I88" s="54">
        <f>'36. Generic chemical products'!I6</f>
        <v>0</v>
      </c>
      <c r="J88" s="54">
        <f>'36. Generic chemical products'!J6</f>
        <v>0</v>
      </c>
      <c r="K88" s="54">
        <f>'36. Generic chemical products'!K6</f>
        <v>0</v>
      </c>
      <c r="L88" s="54">
        <f>'36. Generic chemical products'!L6</f>
        <v>0</v>
      </c>
      <c r="M88" s="54" t="str">
        <f>'36. Generic chemical products'!M6</f>
        <v>Oxirane, methyl-, polymer with oxirane, decyl ether</v>
      </c>
      <c r="N88" s="54" t="str">
        <f>'36. Generic chemical products'!N6</f>
        <v>river</v>
      </c>
      <c r="O88" s="54">
        <f>'36. Generic chemical products'!O6</f>
        <v>2.5000000000000001E-2</v>
      </c>
      <c r="P88" s="54" t="str">
        <f>'36. Generic chemical products'!P6</f>
        <v>kg</v>
      </c>
      <c r="Q88" s="54">
        <f>'36. Generic chemical products'!Q6</f>
        <v>0</v>
      </c>
      <c r="R88" s="54">
        <f>'36. Generic chemical products'!R6</f>
        <v>0</v>
      </c>
      <c r="S88" s="54">
        <f>'36. Generic chemical products'!S6</f>
        <v>0</v>
      </c>
      <c r="T88" s="54" t="str">
        <f>'36. Generic chemical products'!T6</f>
        <v>37251-67-5</v>
      </c>
      <c r="U88" s="54">
        <f>'36. Generic chemical products'!U6</f>
        <v>0</v>
      </c>
      <c r="V88" s="54">
        <f>'36. Generic chemical products'!V6</f>
        <v>1.2009414857886904E-7</v>
      </c>
      <c r="W88" s="54">
        <f>'36. Generic chemical products'!W6</f>
        <v>0</v>
      </c>
      <c r="X88" s="54">
        <f>'36. Generic chemical products'!X6</f>
        <v>3.2843909509658706E-7</v>
      </c>
      <c r="Y88" s="54">
        <f>'36. Generic chemical products'!Y6</f>
        <v>14.526941022240393</v>
      </c>
      <c r="Z88" s="54">
        <f>'36. Generic chemical products'!Z6</f>
        <v>111.251141519207</v>
      </c>
      <c r="AA88" s="54" t="str">
        <f>'36. Generic chemical products'!AA6</f>
        <v>Roos 2017</v>
      </c>
      <c r="AB88" s="300">
        <f t="shared" si="13"/>
        <v>0</v>
      </c>
      <c r="AC88" s="301">
        <f t="shared" si="14"/>
        <v>1.5E-3</v>
      </c>
      <c r="AD88" s="302">
        <f t="shared" si="2"/>
        <v>0</v>
      </c>
      <c r="AE88" s="302">
        <f t="shared" si="3"/>
        <v>4.9265864264488062E-10</v>
      </c>
      <c r="AF88" s="303">
        <f t="shared" si="4"/>
        <v>0.16687671227881049</v>
      </c>
      <c r="AG88" s="303">
        <f t="shared" si="5"/>
        <v>0</v>
      </c>
      <c r="AH88" s="303">
        <f t="shared" si="6"/>
        <v>0</v>
      </c>
      <c r="AI88" s="303">
        <f t="shared" si="7"/>
        <v>0</v>
      </c>
      <c r="AJ88" s="303">
        <f t="shared" si="8"/>
        <v>0</v>
      </c>
      <c r="AK88" s="303">
        <f t="shared" si="9"/>
        <v>4.9265864264488062E-10</v>
      </c>
      <c r="AL88" s="303">
        <f t="shared" si="10"/>
        <v>0.16687671227881049</v>
      </c>
      <c r="AM88" s="304">
        <f t="shared" si="12"/>
        <v>0</v>
      </c>
      <c r="AN88" s="305">
        <f t="shared" si="12"/>
        <v>4.9265864264488062E-10</v>
      </c>
      <c r="AO88" s="306">
        <f t="shared" si="12"/>
        <v>0.16687671227881049</v>
      </c>
    </row>
    <row r="89" spans="1:41" s="51" customFormat="1" ht="15" customHeight="1" x14ac:dyDescent="0.2">
      <c r="A89" s="54" t="str">
        <f>'36. Generic chemical products'!A7</f>
        <v>Detergent, average (Ultravon EL)</v>
      </c>
      <c r="B89" s="54" t="str">
        <f>'36. Generic chemical products'!B7</f>
        <v>Ethoxylated fatty alcohol (&gt;6 EO)</v>
      </c>
      <c r="C89" s="54">
        <f>'36. Generic chemical products'!C7</f>
        <v>0.1</v>
      </c>
      <c r="D89" s="54" t="str">
        <f>'36. Generic chemical products'!D7</f>
        <v>kg</v>
      </c>
      <c r="E89" s="54" t="str">
        <f>'36. Generic chemical products'!E7</f>
        <v>MSDS</v>
      </c>
      <c r="F89" s="54">
        <f>'36. Generic chemical products'!F7</f>
        <v>0</v>
      </c>
      <c r="G89" s="54" t="str">
        <f>'36. Generic chemical products'!G7</f>
        <v>-</v>
      </c>
      <c r="H89" s="54">
        <f>'36. Generic chemical products'!H7</f>
        <v>0</v>
      </c>
      <c r="I89" s="54">
        <f>'36. Generic chemical products'!I7</f>
        <v>0</v>
      </c>
      <c r="J89" s="54">
        <f>'36. Generic chemical products'!J7</f>
        <v>0</v>
      </c>
      <c r="K89" s="54">
        <f>'36. Generic chemical products'!K7</f>
        <v>0</v>
      </c>
      <c r="L89" s="54">
        <f>'36. Generic chemical products'!L7</f>
        <v>0</v>
      </c>
      <c r="M89" s="54" t="str">
        <f>'36. Generic chemical products'!M7</f>
        <v>Alcohols, c12-14, ethoxylated</v>
      </c>
      <c r="N89" s="54" t="str">
        <f>'36. Generic chemical products'!N7</f>
        <v>river</v>
      </c>
      <c r="O89" s="54">
        <f>'36. Generic chemical products'!O7</f>
        <v>1.0000000000000002E-2</v>
      </c>
      <c r="P89" s="54" t="str">
        <f>'36. Generic chemical products'!P7</f>
        <v>kg</v>
      </c>
      <c r="Q89" s="54">
        <f>'36. Generic chemical products'!Q7</f>
        <v>0</v>
      </c>
      <c r="R89" s="54">
        <f>'36. Generic chemical products'!R7</f>
        <v>0</v>
      </c>
      <c r="S89" s="54">
        <f>'36. Generic chemical products'!S7</f>
        <v>0</v>
      </c>
      <c r="T89" s="54" t="str">
        <f>'36. Generic chemical products'!T7</f>
        <v>69011-36-5</v>
      </c>
      <c r="U89" s="54">
        <f>'36. Generic chemical products'!U7</f>
        <v>0</v>
      </c>
      <c r="V89" s="54">
        <f>'36. Generic chemical products'!V7</f>
        <v>0</v>
      </c>
      <c r="W89" s="54">
        <f>'36. Generic chemical products'!W7</f>
        <v>0</v>
      </c>
      <c r="X89" s="54">
        <f>'36. Generic chemical products'!X7</f>
        <v>0</v>
      </c>
      <c r="Y89" s="54">
        <f>'36. Generic chemical products'!Y7</f>
        <v>47</v>
      </c>
      <c r="Z89" s="54">
        <f>'36. Generic chemical products'!Z7</f>
        <v>913</v>
      </c>
      <c r="AA89" s="54" t="str">
        <f>'36. Generic chemical products'!AA7</f>
        <v>COSMEDE</v>
      </c>
      <c r="AB89" s="300">
        <f t="shared" si="13"/>
        <v>0</v>
      </c>
      <c r="AC89" s="301">
        <f t="shared" si="14"/>
        <v>6.0000000000000006E-4</v>
      </c>
      <c r="AD89" s="302">
        <f t="shared" si="2"/>
        <v>0</v>
      </c>
      <c r="AE89" s="302">
        <f t="shared" si="3"/>
        <v>0</v>
      </c>
      <c r="AF89" s="303">
        <f t="shared" si="4"/>
        <v>0.54780000000000006</v>
      </c>
      <c r="AG89" s="303">
        <f t="shared" si="5"/>
        <v>0</v>
      </c>
      <c r="AH89" s="303">
        <f t="shared" si="6"/>
        <v>0</v>
      </c>
      <c r="AI89" s="303">
        <f t="shared" si="7"/>
        <v>0</v>
      </c>
      <c r="AJ89" s="303">
        <f t="shared" si="8"/>
        <v>0</v>
      </c>
      <c r="AK89" s="303">
        <f t="shared" si="9"/>
        <v>0</v>
      </c>
      <c r="AL89" s="303">
        <f t="shared" si="10"/>
        <v>0.54780000000000006</v>
      </c>
      <c r="AM89" s="304">
        <f t="shared" si="12"/>
        <v>0</v>
      </c>
      <c r="AN89" s="305">
        <f t="shared" si="12"/>
        <v>0</v>
      </c>
      <c r="AO89" s="306">
        <f t="shared" si="12"/>
        <v>0.54780000000000006</v>
      </c>
    </row>
    <row r="90" spans="1:41" s="51" customFormat="1" ht="15" customHeight="1" x14ac:dyDescent="0.2">
      <c r="A90" s="54" t="str">
        <f>'36. Generic chemical products'!A8</f>
        <v>Detergent, average (Ultravon EL)</v>
      </c>
      <c r="B90" s="54" t="str">
        <f>'36. Generic chemical products'!B8</f>
        <v>Sodium mono(2-ethylhexyl)estersulfate</v>
      </c>
      <c r="C90" s="54">
        <f>'36. Generic chemical products'!C8</f>
        <v>0.05</v>
      </c>
      <c r="D90" s="54" t="str">
        <f>'36. Generic chemical products'!D8</f>
        <v>kg</v>
      </c>
      <c r="E90" s="54" t="str">
        <f>'36. Generic chemical products'!E8</f>
        <v>MSDS</v>
      </c>
      <c r="F90" s="54">
        <f>'36. Generic chemical products'!F8</f>
        <v>0</v>
      </c>
      <c r="G90" s="54" t="str">
        <f>'36. Generic chemical products'!G8</f>
        <v>-</v>
      </c>
      <c r="H90" s="54">
        <f>'36. Generic chemical products'!H8</f>
        <v>0</v>
      </c>
      <c r="I90" s="54">
        <f>'36. Generic chemical products'!I8</f>
        <v>0</v>
      </c>
      <c r="J90" s="54">
        <f>'36. Generic chemical products'!J8</f>
        <v>0</v>
      </c>
      <c r="K90" s="54">
        <f>'36. Generic chemical products'!K8</f>
        <v>0</v>
      </c>
      <c r="L90" s="54">
        <f>'36. Generic chemical products'!L8</f>
        <v>0</v>
      </c>
      <c r="M90" s="54" t="str">
        <f>'36. Generic chemical products'!M8</f>
        <v>Sodium mono(2-ethylhexyl)estersulfate</v>
      </c>
      <c r="N90" s="54" t="str">
        <f>'36. Generic chemical products'!N8</f>
        <v>river</v>
      </c>
      <c r="O90" s="54">
        <f>'36. Generic chemical products'!O8</f>
        <v>5.000000000000001E-3</v>
      </c>
      <c r="P90" s="54" t="str">
        <f>'36. Generic chemical products'!P8</f>
        <v>kg</v>
      </c>
      <c r="Q90" s="54">
        <f>'36. Generic chemical products'!Q8</f>
        <v>0</v>
      </c>
      <c r="R90" s="54">
        <f>'36. Generic chemical products'!R8</f>
        <v>0</v>
      </c>
      <c r="S90" s="54">
        <f>'36. Generic chemical products'!S8</f>
        <v>0</v>
      </c>
      <c r="T90" s="54" t="str">
        <f>'36. Generic chemical products'!T8</f>
        <v>126-92-1</v>
      </c>
      <c r="U90" s="54">
        <f>'36. Generic chemical products'!U8</f>
        <v>0</v>
      </c>
      <c r="V90" s="54">
        <f>'36. Generic chemical products'!V8</f>
        <v>0</v>
      </c>
      <c r="W90" s="54">
        <f>'36. Generic chemical products'!W8</f>
        <v>0</v>
      </c>
      <c r="X90" s="54">
        <f>'36. Generic chemical products'!X8</f>
        <v>0</v>
      </c>
      <c r="Y90" s="54">
        <f>'36. Generic chemical products'!Y8</f>
        <v>109.72</v>
      </c>
      <c r="Z90" s="54">
        <f>'36. Generic chemical products'!Z8</f>
        <v>110</v>
      </c>
      <c r="AA90" s="54" t="str">
        <f>'36. Generic chemical products'!AA8</f>
        <v>COSMEDE</v>
      </c>
      <c r="AB90" s="300">
        <f t="shared" si="13"/>
        <v>0</v>
      </c>
      <c r="AC90" s="301">
        <f t="shared" si="14"/>
        <v>3.0000000000000003E-4</v>
      </c>
      <c r="AD90" s="302">
        <f t="shared" si="2"/>
        <v>0</v>
      </c>
      <c r="AE90" s="302">
        <f t="shared" si="3"/>
        <v>0</v>
      </c>
      <c r="AF90" s="303">
        <f t="shared" si="4"/>
        <v>3.3000000000000002E-2</v>
      </c>
      <c r="AG90" s="303">
        <f t="shared" si="5"/>
        <v>0</v>
      </c>
      <c r="AH90" s="303">
        <f t="shared" si="6"/>
        <v>0</v>
      </c>
      <c r="AI90" s="303">
        <f t="shared" si="7"/>
        <v>0</v>
      </c>
      <c r="AJ90" s="303">
        <f t="shared" si="8"/>
        <v>0</v>
      </c>
      <c r="AK90" s="303">
        <f t="shared" si="9"/>
        <v>0</v>
      </c>
      <c r="AL90" s="303">
        <f t="shared" si="10"/>
        <v>3.3000000000000002E-2</v>
      </c>
      <c r="AM90" s="304">
        <f t="shared" si="12"/>
        <v>0</v>
      </c>
      <c r="AN90" s="305">
        <f t="shared" si="12"/>
        <v>0</v>
      </c>
      <c r="AO90" s="306">
        <f t="shared" si="12"/>
        <v>3.3000000000000002E-2</v>
      </c>
    </row>
    <row r="91" spans="1:41" s="51" customFormat="1" ht="15" customHeight="1" x14ac:dyDescent="0.2">
      <c r="A91" s="54" t="str">
        <f>'36. Generic chemical products'!A9</f>
        <v>Detergent, average (Ultravon EL)</v>
      </c>
      <c r="B91" s="54" t="str">
        <f>'36. Generic chemical products'!B9</f>
        <v>Ethylene oxide</v>
      </c>
      <c r="C91" s="54">
        <f>'36. Generic chemical products'!C9</f>
        <v>0</v>
      </c>
      <c r="D91" s="54">
        <f>'36. Generic chemical products'!D9</f>
        <v>0</v>
      </c>
      <c r="E91" s="54" t="str">
        <f>'36. Generic chemical products'!E9</f>
        <v>&lt;= 0.1% in alcohol ethoxylates</v>
      </c>
      <c r="F91" s="54">
        <f>'36. Generic chemical products'!F9</f>
        <v>0</v>
      </c>
      <c r="G91" s="54" t="str">
        <f>'36. Generic chemical products'!G9</f>
        <v>Ethylene oxide</v>
      </c>
      <c r="H91" s="54" t="str">
        <f>'36. Generic chemical products'!H9</f>
        <v>high. pop.</v>
      </c>
      <c r="I91" s="54">
        <f>'36. Generic chemical products'!I9</f>
        <v>1.0000000000000001E-7</v>
      </c>
      <c r="J91" s="54" t="str">
        <f>'36. Generic chemical products'!J9</f>
        <v>kg</v>
      </c>
      <c r="K91" s="54">
        <f>'36. Generic chemical products'!K9</f>
        <v>0</v>
      </c>
      <c r="L91" s="54">
        <f>'36. Generic chemical products'!L9</f>
        <v>0</v>
      </c>
      <c r="M91" s="54" t="str">
        <f>'36. Generic chemical products'!M9</f>
        <v>Ethylene oxide</v>
      </c>
      <c r="N91" s="54" t="str">
        <f>'36. Generic chemical products'!N9</f>
        <v>river</v>
      </c>
      <c r="O91" s="54">
        <f>'36. Generic chemical products'!O9</f>
        <v>1.0000000000000001E-5</v>
      </c>
      <c r="P91" s="54" t="str">
        <f>'36. Generic chemical products'!P9</f>
        <v>kg</v>
      </c>
      <c r="Q91" s="54" t="str">
        <f>'36. Generic chemical products'!Q9</f>
        <v>&lt;= 0.001 in alcohol ethoxylates</v>
      </c>
      <c r="R91" s="54">
        <f>'36. Generic chemical products'!R9</f>
        <v>0</v>
      </c>
      <c r="S91" s="54">
        <f>'36. Generic chemical products'!S9</f>
        <v>0</v>
      </c>
      <c r="T91" s="54" t="str">
        <f>'36. Generic chemical products'!T9</f>
        <v>75-21-8</v>
      </c>
      <c r="U91" s="54">
        <f>'36. Generic chemical products'!U9</f>
        <v>1.0252176328593382E-6</v>
      </c>
      <c r="V91" s="54">
        <f>'36. Generic chemical products'!V9</f>
        <v>0</v>
      </c>
      <c r="W91" s="54">
        <f>'36. Generic chemical products'!W9</f>
        <v>8.6533271568247147E-7</v>
      </c>
      <c r="X91" s="54">
        <f>'36. Generic chemical products'!X9</f>
        <v>0</v>
      </c>
      <c r="Y91" s="54">
        <f>'36. Generic chemical products'!Y9</f>
        <v>0.65406517859613422</v>
      </c>
      <c r="Z91" s="54">
        <f>'36. Generic chemical products'!Z9</f>
        <v>11.248588270889815</v>
      </c>
      <c r="AA91" s="54" t="str">
        <f>'36. Generic chemical products'!AA9</f>
        <v>USEtox</v>
      </c>
      <c r="AB91" s="300">
        <f t="shared" si="13"/>
        <v>6E-9</v>
      </c>
      <c r="AC91" s="301">
        <f t="shared" si="14"/>
        <v>6.0000000000000008E-7</v>
      </c>
      <c r="AD91" s="302">
        <f t="shared" si="2"/>
        <v>5.2535093520663904E-13</v>
      </c>
      <c r="AE91" s="302">
        <f t="shared" si="3"/>
        <v>0</v>
      </c>
      <c r="AF91" s="303">
        <f t="shared" si="4"/>
        <v>6.7530773536054669E-6</v>
      </c>
      <c r="AG91" s="303">
        <f t="shared" si="5"/>
        <v>6.1513057971560288E-15</v>
      </c>
      <c r="AH91" s="303">
        <f t="shared" si="6"/>
        <v>0</v>
      </c>
      <c r="AI91" s="303">
        <f t="shared" si="7"/>
        <v>3.9243910715768051E-9</v>
      </c>
      <c r="AJ91" s="303">
        <f t="shared" si="8"/>
        <v>5.1919962940948299E-13</v>
      </c>
      <c r="AK91" s="303">
        <f t="shared" si="9"/>
        <v>0</v>
      </c>
      <c r="AL91" s="303">
        <f t="shared" si="10"/>
        <v>6.7491529625338899E-6</v>
      </c>
      <c r="AM91" s="304">
        <f t="shared" si="12"/>
        <v>5.2535093520663904E-13</v>
      </c>
      <c r="AN91" s="305">
        <f t="shared" si="12"/>
        <v>0</v>
      </c>
      <c r="AO91" s="306">
        <f t="shared" si="12"/>
        <v>6.7530773536054669E-6</v>
      </c>
    </row>
    <row r="92" spans="1:41" s="139" customFormat="1" ht="15" customHeight="1" x14ac:dyDescent="0.2">
      <c r="A92" s="141" t="str">
        <f>'36. Generic chemical products'!A10</f>
        <v>Detergent, average (Ultravon EL)</v>
      </c>
      <c r="B92" s="141" t="str">
        <f>'36. Generic chemical products'!B10</f>
        <v xml:space="preserve"> </v>
      </c>
      <c r="C92" s="141">
        <f>'36. Generic chemical products'!C10</f>
        <v>0</v>
      </c>
      <c r="D92" s="141">
        <f>'36. Generic chemical products'!D10</f>
        <v>0</v>
      </c>
      <c r="E92" s="141" t="str">
        <f>'36. Generic chemical products'!E10</f>
        <v>Common breakdown product of of acrylics, 0.001 % assumed</v>
      </c>
      <c r="F92" s="141">
        <f>'36. Generic chemical products'!F10</f>
        <v>0</v>
      </c>
      <c r="G92" s="141" t="str">
        <f>'36. Generic chemical products'!G10</f>
        <v>Formaldehyde</v>
      </c>
      <c r="H92" s="141" t="str">
        <f>'36. Generic chemical products'!H10</f>
        <v>high. pop.</v>
      </c>
      <c r="I92" s="141">
        <f>'36. Generic chemical products'!I10</f>
        <v>1.0000000000000001E-7</v>
      </c>
      <c r="J92" s="141" t="str">
        <f>'36. Generic chemical products'!J10</f>
        <v>kg</v>
      </c>
      <c r="K92" s="141">
        <f>'36. Generic chemical products'!K10</f>
        <v>0</v>
      </c>
      <c r="L92" s="141">
        <f>'36. Generic chemical products'!L10</f>
        <v>0</v>
      </c>
      <c r="M92" s="141" t="str">
        <f>'36. Generic chemical products'!M10</f>
        <v>Formaldehyde</v>
      </c>
      <c r="N92" s="141" t="str">
        <f>'36. Generic chemical products'!N10</f>
        <v>river</v>
      </c>
      <c r="O92" s="141">
        <f>'36. Generic chemical products'!O10</f>
        <v>1.0000000000000002E-6</v>
      </c>
      <c r="P92" s="141" t="str">
        <f>'36. Generic chemical products'!P10</f>
        <v>kg</v>
      </c>
      <c r="Q92" s="141" t="str">
        <f>'36. Generic chemical products'!Q10</f>
        <v xml:space="preserve">0.1 % of the content is degraded to common breakdown products. 90% of reactive chemicals are degraded during operations. </v>
      </c>
      <c r="R92" s="141">
        <f>'36. Generic chemical products'!R10</f>
        <v>0</v>
      </c>
      <c r="S92" s="141">
        <f>'36. Generic chemical products'!S10</f>
        <v>0</v>
      </c>
      <c r="T92" s="141" t="str">
        <f>'36. Generic chemical products'!T10</f>
        <v>50-00-0</v>
      </c>
      <c r="U92" s="141">
        <f>'36. Generic chemical products'!U10</f>
        <v>2.5208446330720887E-5</v>
      </c>
      <c r="V92" s="141">
        <f>'36. Generic chemical products'!V10</f>
        <v>2.6504960021309262E-7</v>
      </c>
      <c r="W92" s="141">
        <f>'36. Generic chemical products'!W10</f>
        <v>1.4222228897488039E-7</v>
      </c>
      <c r="X92" s="141">
        <f>'36. Generic chemical products'!X10</f>
        <v>3.170874313501273E-7</v>
      </c>
      <c r="Y92" s="141">
        <f>'36. Generic chemical products'!Y10</f>
        <v>17.989178582912412</v>
      </c>
      <c r="Z92" s="141">
        <f>'36. Generic chemical products'!Z10</f>
        <v>290.05086067463066</v>
      </c>
      <c r="AA92" s="141" t="str">
        <f>'36. Generic chemical products'!AA10</f>
        <v>USEtox</v>
      </c>
      <c r="AB92" s="307">
        <f t="shared" si="13"/>
        <v>6E-9</v>
      </c>
      <c r="AC92" s="308">
        <f t="shared" si="14"/>
        <v>6.0000000000000008E-8</v>
      </c>
      <c r="AD92" s="309">
        <f t="shared" si="2"/>
        <v>1.5978401532281816E-13</v>
      </c>
      <c r="AE92" s="309">
        <f t="shared" si="3"/>
        <v>2.0615543482286197E-14</v>
      </c>
      <c r="AF92" s="310">
        <f t="shared" si="4"/>
        <v>1.7510986711975316E-5</v>
      </c>
      <c r="AG92" s="310">
        <f t="shared" si="5"/>
        <v>1.5125067798432532E-13</v>
      </c>
      <c r="AH92" s="310">
        <f t="shared" si="6"/>
        <v>1.5902976012785556E-15</v>
      </c>
      <c r="AI92" s="310">
        <f t="shared" si="7"/>
        <v>1.0793507149747448E-7</v>
      </c>
      <c r="AJ92" s="310">
        <f t="shared" si="8"/>
        <v>8.5333373384928241E-15</v>
      </c>
      <c r="AK92" s="310">
        <f t="shared" si="9"/>
        <v>1.902524588100764E-14</v>
      </c>
      <c r="AL92" s="310">
        <f t="shared" si="10"/>
        <v>1.7403051640477843E-5</v>
      </c>
      <c r="AM92" s="311">
        <f t="shared" si="12"/>
        <v>1.5978401532281816E-13</v>
      </c>
      <c r="AN92" s="312">
        <f t="shared" si="12"/>
        <v>2.0615543482286197E-14</v>
      </c>
      <c r="AO92" s="313">
        <f t="shared" si="12"/>
        <v>1.7510986711975316E-5</v>
      </c>
    </row>
    <row r="93" spans="1:41" s="51" customFormat="1" ht="15" customHeight="1" x14ac:dyDescent="0.2">
      <c r="A93" s="68" t="str">
        <f>'36. Generic chemical products'!A20</f>
        <v>Softener, average (Sapamine SFC)</v>
      </c>
      <c r="B93" s="68" t="str">
        <f>'36. Generic chemical products'!B20</f>
        <v>Octadecanoic acid</v>
      </c>
      <c r="C93" s="68">
        <f>'36. Generic chemical products'!C20</f>
        <v>0.2</v>
      </c>
      <c r="D93" s="68" t="str">
        <f>'36. Generic chemical products'!D20</f>
        <v>kg</v>
      </c>
      <c r="E93" s="68" t="str">
        <f>'36. Generic chemical products'!E20</f>
        <v>MSDS</v>
      </c>
      <c r="F93" s="68">
        <f>'36. Generic chemical products'!F20</f>
        <v>0</v>
      </c>
      <c r="G93" s="68" t="str">
        <f>'36. Generic chemical products'!G20</f>
        <v>-</v>
      </c>
      <c r="H93" s="68">
        <f>'36. Generic chemical products'!H20</f>
        <v>0</v>
      </c>
      <c r="I93" s="68">
        <f>'36. Generic chemical products'!I20</f>
        <v>0</v>
      </c>
      <c r="J93" s="68">
        <f>'36. Generic chemical products'!J20</f>
        <v>0</v>
      </c>
      <c r="K93" s="68">
        <f>'36. Generic chemical products'!K20</f>
        <v>0</v>
      </c>
      <c r="L93" s="68">
        <f>'36. Generic chemical products'!L20</f>
        <v>0</v>
      </c>
      <c r="M93" s="68" t="str">
        <f>'36. Generic chemical products'!M20</f>
        <v>Octadecanoic acid</v>
      </c>
      <c r="N93" s="68" t="str">
        <f>'36. Generic chemical products'!N20</f>
        <v>river</v>
      </c>
      <c r="O93" s="68">
        <f>'36. Generic chemical products'!O20</f>
        <v>1.0000000000000002E-3</v>
      </c>
      <c r="P93" s="68" t="str">
        <f>'36. Generic chemical products'!P20</f>
        <v>kg</v>
      </c>
      <c r="Q93" s="68" t="str">
        <f>'36. Generic chemical products'!Q20</f>
        <v>95% on fabric</v>
      </c>
      <c r="R93" s="68">
        <f>'36. Generic chemical products'!R20</f>
        <v>0</v>
      </c>
      <c r="S93" s="68">
        <f>'36. Generic chemical products'!S20</f>
        <v>0</v>
      </c>
      <c r="T93" s="68" t="str">
        <f>'36. Generic chemical products'!T20</f>
        <v>57-11-4</v>
      </c>
      <c r="U93" s="68">
        <f>'36. Generic chemical products'!U20</f>
        <v>0</v>
      </c>
      <c r="V93" s="68">
        <f>'36. Generic chemical products'!V20</f>
        <v>0</v>
      </c>
      <c r="W93" s="68">
        <f>'36. Generic chemical products'!W20</f>
        <v>0</v>
      </c>
      <c r="X93" s="68">
        <f>'36. Generic chemical products'!X20</f>
        <v>0</v>
      </c>
      <c r="Y93" s="68">
        <f>'36. Generic chemical products'!Y20</f>
        <v>9.2999999999999999E-2</v>
      </c>
      <c r="Z93" s="68">
        <f>'36. Generic chemical products'!Z20</f>
        <v>33.799999999999997</v>
      </c>
      <c r="AA93" s="68" t="str">
        <f>'36. Generic chemical products'!AA20</f>
        <v>COSMEDE</v>
      </c>
      <c r="AB93" s="300">
        <f>$C$32*I93</f>
        <v>0</v>
      </c>
      <c r="AC93" s="301">
        <f>$C$45*O93</f>
        <v>1.2000000000000003E-4</v>
      </c>
      <c r="AD93" s="302">
        <f t="shared" si="2"/>
        <v>0</v>
      </c>
      <c r="AE93" s="302">
        <f t="shared" si="3"/>
        <v>0</v>
      </c>
      <c r="AF93" s="303">
        <f t="shared" si="4"/>
        <v>4.0560000000000006E-3</v>
      </c>
      <c r="AG93" s="303">
        <f t="shared" si="5"/>
        <v>0</v>
      </c>
      <c r="AH93" s="303">
        <f t="shared" si="6"/>
        <v>0</v>
      </c>
      <c r="AI93" s="303">
        <f t="shared" si="7"/>
        <v>0</v>
      </c>
      <c r="AJ93" s="303">
        <f t="shared" si="8"/>
        <v>0</v>
      </c>
      <c r="AK93" s="303">
        <f t="shared" si="9"/>
        <v>0</v>
      </c>
      <c r="AL93" s="303">
        <f t="shared" si="10"/>
        <v>4.0560000000000006E-3</v>
      </c>
      <c r="AM93" s="304">
        <f t="shared" si="12"/>
        <v>0</v>
      </c>
      <c r="AN93" s="305">
        <f t="shared" si="12"/>
        <v>0</v>
      </c>
      <c r="AO93" s="306">
        <f t="shared" si="12"/>
        <v>4.0560000000000006E-3</v>
      </c>
    </row>
    <row r="94" spans="1:41" s="139" customFormat="1" ht="15" customHeight="1" x14ac:dyDescent="0.2">
      <c r="A94" s="193" t="str">
        <f>'36. Generic chemical products'!A21</f>
        <v>Softener, average (Sapamine SFC)</v>
      </c>
      <c r="B94" s="193" t="str">
        <f>'36. Generic chemical products'!B21</f>
        <v>Diethanolamine</v>
      </c>
      <c r="C94" s="193">
        <f>'36. Generic chemical products'!C21</f>
        <v>0.03</v>
      </c>
      <c r="D94" s="193" t="str">
        <f>'36. Generic chemical products'!D21</f>
        <v>kg</v>
      </c>
      <c r="E94" s="193" t="str">
        <f>'36. Generic chemical products'!E21</f>
        <v>MSDS</v>
      </c>
      <c r="F94" s="193">
        <f>'36. Generic chemical products'!F21</f>
        <v>0</v>
      </c>
      <c r="G94" s="193" t="str">
        <f>'36. Generic chemical products'!G21</f>
        <v>-</v>
      </c>
      <c r="H94" s="193">
        <f>'36. Generic chemical products'!H21</f>
        <v>0</v>
      </c>
      <c r="I94" s="193">
        <f>'36. Generic chemical products'!I21</f>
        <v>0</v>
      </c>
      <c r="J94" s="193">
        <f>'36. Generic chemical products'!J21</f>
        <v>0</v>
      </c>
      <c r="K94" s="193">
        <f>'36. Generic chemical products'!K21</f>
        <v>0</v>
      </c>
      <c r="L94" s="193">
        <f>'36. Generic chemical products'!L21</f>
        <v>0</v>
      </c>
      <c r="M94" s="193" t="str">
        <f>'36. Generic chemical products'!M21</f>
        <v>Diethanolamine</v>
      </c>
      <c r="N94" s="193" t="str">
        <f>'36. Generic chemical products'!N21</f>
        <v>river</v>
      </c>
      <c r="O94" s="193">
        <f>'36. Generic chemical products'!O21</f>
        <v>1.5000000000000001E-4</v>
      </c>
      <c r="P94" s="193" t="str">
        <f>'36. Generic chemical products'!P21</f>
        <v>kg</v>
      </c>
      <c r="Q94" s="193" t="str">
        <f>'36. Generic chemical products'!Q21</f>
        <v>95% on fabric</v>
      </c>
      <c r="R94" s="193">
        <f>'36. Generic chemical products'!R21</f>
        <v>0</v>
      </c>
      <c r="S94" s="193">
        <f>'36. Generic chemical products'!S21</f>
        <v>0</v>
      </c>
      <c r="T94" s="193" t="str">
        <f>'36. Generic chemical products'!T21</f>
        <v>111-42-2</v>
      </c>
      <c r="U94" s="193">
        <f>'36. Generic chemical products'!U21</f>
        <v>0</v>
      </c>
      <c r="V94" s="193">
        <f>'36. Generic chemical products'!V21</f>
        <v>0</v>
      </c>
      <c r="W94" s="193">
        <f>'36. Generic chemical products'!W21</f>
        <v>0</v>
      </c>
      <c r="X94" s="193">
        <f>'36. Generic chemical products'!X21</f>
        <v>0</v>
      </c>
      <c r="Y94" s="193">
        <f>'36. Generic chemical products'!Y21</f>
        <v>0.92690099117499369</v>
      </c>
      <c r="Z94" s="193">
        <f>'36. Generic chemical products'!Z21</f>
        <v>47.139947928233759</v>
      </c>
      <c r="AA94" s="193" t="str">
        <f>'36. Generic chemical products'!AA21</f>
        <v>USEtox</v>
      </c>
      <c r="AB94" s="307">
        <f>$C$32*I94</f>
        <v>0</v>
      </c>
      <c r="AC94" s="308">
        <f>$C$45*O94</f>
        <v>1.8E-5</v>
      </c>
      <c r="AD94" s="309">
        <f t="shared" si="2"/>
        <v>0</v>
      </c>
      <c r="AE94" s="309">
        <f t="shared" si="3"/>
        <v>0</v>
      </c>
      <c r="AF94" s="310">
        <f t="shared" si="4"/>
        <v>8.4851906270820771E-4</v>
      </c>
      <c r="AG94" s="310">
        <f t="shared" si="5"/>
        <v>0</v>
      </c>
      <c r="AH94" s="310">
        <f t="shared" si="6"/>
        <v>0</v>
      </c>
      <c r="AI94" s="310">
        <f t="shared" si="7"/>
        <v>0</v>
      </c>
      <c r="AJ94" s="310">
        <f t="shared" si="8"/>
        <v>0</v>
      </c>
      <c r="AK94" s="310">
        <f t="shared" si="9"/>
        <v>0</v>
      </c>
      <c r="AL94" s="310">
        <f t="shared" si="10"/>
        <v>8.4851906270820771E-4</v>
      </c>
      <c r="AM94" s="311">
        <f t="shared" si="12"/>
        <v>0</v>
      </c>
      <c r="AN94" s="312">
        <f t="shared" si="12"/>
        <v>0</v>
      </c>
      <c r="AO94" s="313">
        <f t="shared" si="12"/>
        <v>8.4851906270820771E-4</v>
      </c>
    </row>
    <row r="95" spans="1:41" s="51" customFormat="1" ht="15" customHeight="1" x14ac:dyDescent="0.2">
      <c r="A95" s="244"/>
      <c r="B95" s="54"/>
      <c r="C95" s="74"/>
      <c r="E95" s="64"/>
      <c r="H95" s="69"/>
      <c r="M95" s="69"/>
      <c r="Z95" s="315"/>
      <c r="AA95" s="315"/>
      <c r="AB95" s="283"/>
      <c r="AC95" s="283"/>
      <c r="AD95" s="177">
        <f>SUM(AD62:AD94)</f>
        <v>1.9108804478860858E-10</v>
      </c>
      <c r="AE95" s="177">
        <f t="shared" ref="AE95:AF95" si="15">SUM(AE62:AE94)</f>
        <v>3.7897429979115289E-9</v>
      </c>
      <c r="AF95" s="177">
        <f t="shared" si="15"/>
        <v>187.46493444377543</v>
      </c>
      <c r="AG95" s="283"/>
      <c r="AH95" s="283"/>
      <c r="AI95" s="305"/>
      <c r="AJ95" s="305"/>
      <c r="AK95" s="305"/>
    </row>
    <row r="96" spans="1:41" x14ac:dyDescent="0.2">
      <c r="A96" s="259" t="s">
        <v>736</v>
      </c>
    </row>
    <row r="99" spans="1:1" x14ac:dyDescent="0.2">
      <c r="A99" s="35" t="s">
        <v>687</v>
      </c>
    </row>
    <row r="100" spans="1:1" x14ac:dyDescent="0.2">
      <c r="A100" s="244" t="s">
        <v>1102</v>
      </c>
    </row>
    <row r="101" spans="1:1" x14ac:dyDescent="0.2">
      <c r="A101" s="244" t="s">
        <v>1103</v>
      </c>
    </row>
    <row r="102" spans="1:1" x14ac:dyDescent="0.2">
      <c r="A102" t="s">
        <v>1068</v>
      </c>
    </row>
    <row r="103" spans="1:1" x14ac:dyDescent="0.2">
      <c r="A103" s="244" t="s">
        <v>1083</v>
      </c>
    </row>
    <row r="104" spans="1:1" x14ac:dyDescent="0.2">
      <c r="A104" s="244" t="s">
        <v>1104</v>
      </c>
    </row>
    <row r="105" spans="1:1" x14ac:dyDescent="0.2">
      <c r="A105" s="244" t="s">
        <v>1087</v>
      </c>
    </row>
    <row r="106" spans="1:1" x14ac:dyDescent="0.2">
      <c r="A106" s="244" t="s">
        <v>1105</v>
      </c>
    </row>
    <row r="107" spans="1:1" x14ac:dyDescent="0.2">
      <c r="A107" s="244" t="s">
        <v>1106</v>
      </c>
    </row>
    <row r="108" spans="1:1" x14ac:dyDescent="0.2">
      <c r="A108" s="244" t="s">
        <v>1097</v>
      </c>
    </row>
    <row r="109" spans="1:1" x14ac:dyDescent="0.2">
      <c r="A109" s="244" t="s">
        <v>1162</v>
      </c>
    </row>
    <row r="110" spans="1:1" x14ac:dyDescent="0.2">
      <c r="A110" s="244" t="s">
        <v>1091</v>
      </c>
    </row>
    <row r="111" spans="1:1" x14ac:dyDescent="0.2">
      <c r="A111" s="244" t="s">
        <v>1107</v>
      </c>
    </row>
    <row r="112" spans="1:1" x14ac:dyDescent="0.2">
      <c r="A112" t="s">
        <v>1098</v>
      </c>
    </row>
    <row r="113" spans="1:1" x14ac:dyDescent="0.2">
      <c r="A113" s="244" t="s">
        <v>1099</v>
      </c>
    </row>
    <row r="114" spans="1:1" x14ac:dyDescent="0.2">
      <c r="A114" s="244" t="s">
        <v>1070</v>
      </c>
    </row>
    <row r="115" spans="1:1" x14ac:dyDescent="0.2">
      <c r="A115" s="244" t="s">
        <v>1096</v>
      </c>
    </row>
    <row r="116" spans="1:1" x14ac:dyDescent="0.2">
      <c r="A116" s="244" t="s">
        <v>1108</v>
      </c>
    </row>
    <row r="117" spans="1:1" x14ac:dyDescent="0.2">
      <c r="A117" s="244" t="s">
        <v>1109</v>
      </c>
    </row>
    <row r="118" spans="1:1" x14ac:dyDescent="0.2">
      <c r="A118" s="244" t="s">
        <v>1072</v>
      </c>
    </row>
    <row r="119" spans="1:1" x14ac:dyDescent="0.2">
      <c r="A119" s="244" t="s">
        <v>1100</v>
      </c>
    </row>
    <row r="120" spans="1:1" x14ac:dyDescent="0.2">
      <c r="A120" s="244" t="s">
        <v>1101</v>
      </c>
    </row>
  </sheetData>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G26"/>
  <sheetViews>
    <sheetView zoomScale="60" zoomScaleNormal="60" workbookViewId="0">
      <selection activeCell="A16" sqref="A16:A25"/>
    </sheetView>
  </sheetViews>
  <sheetFormatPr defaultRowHeight="12.75" x14ac:dyDescent="0.2"/>
  <cols>
    <col min="5" max="5" width="11" customWidth="1"/>
    <col min="32" max="32" width="9.85546875" bestFit="1" customWidth="1"/>
  </cols>
  <sheetData>
    <row r="1" spans="1:33" ht="16.5" thickBot="1" x14ac:dyDescent="0.3">
      <c r="A1" s="82" t="s">
        <v>866</v>
      </c>
      <c r="B1" s="83"/>
      <c r="C1" s="83" t="s">
        <v>217</v>
      </c>
      <c r="D1" s="83" t="s">
        <v>11</v>
      </c>
      <c r="E1" s="84" t="s">
        <v>180</v>
      </c>
      <c r="F1" s="34"/>
      <c r="G1" s="92" t="s">
        <v>867</v>
      </c>
      <c r="H1" s="93"/>
      <c r="I1" s="93" t="s">
        <v>217</v>
      </c>
      <c r="J1" s="93" t="s">
        <v>11</v>
      </c>
      <c r="K1" s="94" t="s">
        <v>180</v>
      </c>
      <c r="L1" s="34"/>
      <c r="M1" s="95" t="s">
        <v>868</v>
      </c>
      <c r="N1" s="96"/>
      <c r="O1" s="97" t="s">
        <v>217</v>
      </c>
      <c r="P1" s="97" t="s">
        <v>11</v>
      </c>
      <c r="Q1" s="98" t="s">
        <v>180</v>
      </c>
      <c r="R1" s="34"/>
      <c r="S1" s="44" t="s">
        <v>869</v>
      </c>
      <c r="T1" s="45"/>
      <c r="U1" s="45" t="s">
        <v>217</v>
      </c>
      <c r="V1" s="45" t="s">
        <v>11</v>
      </c>
      <c r="W1" s="46" t="s">
        <v>180</v>
      </c>
      <c r="X1" s="34"/>
      <c r="Y1" s="41" t="s">
        <v>870</v>
      </c>
      <c r="Z1" s="42"/>
      <c r="AA1" s="42" t="s">
        <v>217</v>
      </c>
      <c r="AB1" s="42" t="s">
        <v>11</v>
      </c>
      <c r="AC1" s="43" t="s">
        <v>180</v>
      </c>
      <c r="AD1" s="40"/>
      <c r="AE1" s="40"/>
      <c r="AF1" s="48" t="s">
        <v>288</v>
      </c>
    </row>
    <row r="2" spans="1:33"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E2" s="40"/>
      <c r="AF2" s="34" t="s">
        <v>935</v>
      </c>
      <c r="AG2" s="40" t="s">
        <v>709</v>
      </c>
    </row>
    <row r="3" spans="1:33" x14ac:dyDescent="0.2">
      <c r="A3" s="88" t="s">
        <v>921</v>
      </c>
      <c r="B3" s="89"/>
      <c r="C3" s="89">
        <v>1</v>
      </c>
      <c r="D3" s="89" t="s">
        <v>2</v>
      </c>
      <c r="E3" s="90"/>
      <c r="F3" s="34"/>
      <c r="G3" s="88" t="s">
        <v>921</v>
      </c>
      <c r="H3" s="89"/>
      <c r="I3" s="89">
        <v>1</v>
      </c>
      <c r="J3" s="89" t="s">
        <v>2</v>
      </c>
      <c r="K3" s="90"/>
      <c r="L3" s="34"/>
      <c r="M3" s="88" t="s">
        <v>921</v>
      </c>
      <c r="N3" s="89"/>
      <c r="O3" s="89">
        <v>1</v>
      </c>
      <c r="P3" s="89" t="s">
        <v>2</v>
      </c>
      <c r="Q3" s="90"/>
      <c r="R3" s="34"/>
      <c r="S3" s="88" t="s">
        <v>921</v>
      </c>
      <c r="T3" s="89"/>
      <c r="U3" s="89">
        <v>1</v>
      </c>
      <c r="V3" s="89" t="s">
        <v>2</v>
      </c>
      <c r="W3" s="90"/>
      <c r="X3" s="34"/>
      <c r="Y3" s="88" t="s">
        <v>921</v>
      </c>
      <c r="Z3" s="89"/>
      <c r="AA3" s="89">
        <v>1</v>
      </c>
      <c r="AB3" s="89" t="s">
        <v>2</v>
      </c>
      <c r="AC3" s="90"/>
      <c r="AD3" s="40"/>
      <c r="AE3" s="40" t="s">
        <v>260</v>
      </c>
      <c r="AF3" s="227">
        <v>1.4191233453299199</v>
      </c>
      <c r="AG3" s="40"/>
    </row>
    <row r="4" spans="1:33" x14ac:dyDescent="0.2">
      <c r="A4" s="85" t="s">
        <v>205</v>
      </c>
      <c r="B4" s="89"/>
      <c r="C4" s="89"/>
      <c r="D4" s="89"/>
      <c r="E4" s="91"/>
      <c r="G4" s="85" t="s">
        <v>205</v>
      </c>
      <c r="H4" s="89"/>
      <c r="I4" s="89"/>
      <c r="J4" s="89"/>
      <c r="K4" s="91"/>
      <c r="M4" s="85" t="s">
        <v>205</v>
      </c>
      <c r="N4" s="89"/>
      <c r="O4" s="89"/>
      <c r="P4" s="89"/>
      <c r="Q4" s="91"/>
      <c r="S4" s="85" t="s">
        <v>205</v>
      </c>
      <c r="T4" s="89"/>
      <c r="U4" s="89"/>
      <c r="V4" s="89"/>
      <c r="W4" s="91"/>
      <c r="Y4" s="85" t="s">
        <v>205</v>
      </c>
      <c r="Z4" s="89"/>
      <c r="AA4" s="89"/>
      <c r="AB4" s="89"/>
      <c r="AC4" s="91"/>
      <c r="AE4" s="40" t="s">
        <v>261</v>
      </c>
      <c r="AF4" s="226">
        <v>1.6999999346768799E-4</v>
      </c>
      <c r="AG4" s="99"/>
    </row>
    <row r="5" spans="1:33" x14ac:dyDescent="0.2">
      <c r="A5" s="280" t="s">
        <v>208</v>
      </c>
      <c r="B5" s="89"/>
      <c r="C5" s="376">
        <f>8/3.6</f>
        <v>2.2222222222222223</v>
      </c>
      <c r="D5" s="89" t="s">
        <v>207</v>
      </c>
      <c r="E5" s="90" t="s">
        <v>1076</v>
      </c>
      <c r="F5" s="34"/>
      <c r="G5" s="280" t="s">
        <v>208</v>
      </c>
      <c r="H5" s="89"/>
      <c r="I5" s="89">
        <v>0</v>
      </c>
      <c r="J5" s="89" t="s">
        <v>207</v>
      </c>
      <c r="K5" s="90"/>
      <c r="L5" s="34"/>
      <c r="M5" s="280" t="s">
        <v>208</v>
      </c>
      <c r="N5" s="89"/>
      <c r="O5" s="89">
        <v>0</v>
      </c>
      <c r="P5" s="89" t="s">
        <v>207</v>
      </c>
      <c r="Q5" s="90"/>
      <c r="R5" s="34"/>
      <c r="S5" s="280" t="s">
        <v>208</v>
      </c>
      <c r="T5" s="89"/>
      <c r="U5" s="376">
        <f>8/3.6</f>
        <v>2.2222222222222223</v>
      </c>
      <c r="V5" s="89" t="s">
        <v>207</v>
      </c>
      <c r="W5" s="90"/>
      <c r="X5" s="34"/>
      <c r="Y5" s="280" t="s">
        <v>208</v>
      </c>
      <c r="Z5" s="89"/>
      <c r="AA5" s="376">
        <f>8/3.6</f>
        <v>2.2222222222222223</v>
      </c>
      <c r="AB5" s="89" t="s">
        <v>207</v>
      </c>
      <c r="AC5" s="90"/>
      <c r="AD5" s="40"/>
      <c r="AE5" s="40" t="s">
        <v>262</v>
      </c>
      <c r="AF5" s="227">
        <v>1.3194278564370899E-2</v>
      </c>
      <c r="AG5" s="40"/>
    </row>
    <row r="6" spans="1:33" ht="13.5" thickBot="1" x14ac:dyDescent="0.25">
      <c r="A6" s="100" t="s">
        <v>206</v>
      </c>
      <c r="B6" s="101"/>
      <c r="C6" s="101">
        <v>0.8</v>
      </c>
      <c r="D6" s="101" t="s">
        <v>207</v>
      </c>
      <c r="E6" s="225" t="s">
        <v>179</v>
      </c>
      <c r="G6" s="100" t="s">
        <v>206</v>
      </c>
      <c r="H6" s="101"/>
      <c r="I6" s="101">
        <v>1.4</v>
      </c>
      <c r="J6" s="101" t="s">
        <v>207</v>
      </c>
      <c r="K6" s="225" t="s">
        <v>179</v>
      </c>
      <c r="M6" s="100" t="s">
        <v>206</v>
      </c>
      <c r="N6" s="101"/>
      <c r="O6" s="101">
        <v>2.5</v>
      </c>
      <c r="P6" s="101" t="s">
        <v>207</v>
      </c>
      <c r="Q6" s="377" t="s">
        <v>1086</v>
      </c>
      <c r="S6" s="100" t="s">
        <v>206</v>
      </c>
      <c r="T6" s="101"/>
      <c r="U6" s="101">
        <v>0.8</v>
      </c>
      <c r="V6" s="101" t="s">
        <v>207</v>
      </c>
      <c r="W6" s="225" t="s">
        <v>179</v>
      </c>
      <c r="Y6" s="100" t="s">
        <v>206</v>
      </c>
      <c r="Z6" s="101"/>
      <c r="AA6" s="101">
        <v>0.8</v>
      </c>
      <c r="AB6" s="101" t="s">
        <v>207</v>
      </c>
      <c r="AC6" s="225" t="s">
        <v>179</v>
      </c>
      <c r="AE6" s="40" t="s">
        <v>263</v>
      </c>
      <c r="AF6" s="226">
        <v>4.7171395759615401E-3</v>
      </c>
      <c r="AG6" s="40"/>
    </row>
    <row r="7" spans="1:33" ht="15" x14ac:dyDescent="0.2">
      <c r="AE7" s="40" t="s">
        <v>675</v>
      </c>
      <c r="AF7" s="227">
        <v>6.2461950839866904E-3</v>
      </c>
      <c r="AG7" s="99"/>
    </row>
    <row r="8" spans="1:33" x14ac:dyDescent="0.2">
      <c r="AE8" s="40" t="s">
        <v>264</v>
      </c>
      <c r="AF8" s="227">
        <v>0.85412950608580696</v>
      </c>
      <c r="AG8" s="40"/>
    </row>
    <row r="9" spans="1:33" x14ac:dyDescent="0.2">
      <c r="AE9" s="40" t="s">
        <v>266</v>
      </c>
      <c r="AF9" s="227">
        <v>1.75169967797829E-7</v>
      </c>
      <c r="AG9" s="40"/>
    </row>
    <row r="10" spans="1:33" x14ac:dyDescent="0.2">
      <c r="AE10" s="40" t="s">
        <v>267</v>
      </c>
      <c r="AF10" s="227">
        <v>3.5661132114364198E-8</v>
      </c>
      <c r="AG10" s="191"/>
    </row>
    <row r="11" spans="1:33" x14ac:dyDescent="0.2">
      <c r="AE11" s="40" t="s">
        <v>268</v>
      </c>
      <c r="AF11" s="227">
        <v>2.787969288657</v>
      </c>
      <c r="AG11" s="191"/>
    </row>
    <row r="12" spans="1:33" x14ac:dyDescent="0.2">
      <c r="AG12" s="191"/>
    </row>
    <row r="13" spans="1:33" x14ac:dyDescent="0.2">
      <c r="AE13" s="40"/>
      <c r="AF13" s="40"/>
      <c r="AG13" s="40"/>
    </row>
    <row r="16" spans="1:33" x14ac:dyDescent="0.2">
      <c r="A16" s="35" t="s">
        <v>687</v>
      </c>
    </row>
    <row r="17" spans="1:1" x14ac:dyDescent="0.2">
      <c r="A17" t="s">
        <v>1068</v>
      </c>
    </row>
    <row r="18" spans="1:1" x14ac:dyDescent="0.2">
      <c r="A18" s="244" t="s">
        <v>1083</v>
      </c>
    </row>
    <row r="19" spans="1:1" x14ac:dyDescent="0.2">
      <c r="A19" s="244" t="s">
        <v>1087</v>
      </c>
    </row>
    <row r="20" spans="1:1" x14ac:dyDescent="0.2">
      <c r="A20" s="244" t="s">
        <v>1091</v>
      </c>
    </row>
    <row r="21" spans="1:1" x14ac:dyDescent="0.2">
      <c r="A21" s="244" t="s">
        <v>1107</v>
      </c>
    </row>
    <row r="22" spans="1:1" x14ac:dyDescent="0.2">
      <c r="A22" s="244" t="s">
        <v>1070</v>
      </c>
    </row>
    <row r="23" spans="1:1" x14ac:dyDescent="0.2">
      <c r="A23" s="244" t="s">
        <v>1096</v>
      </c>
    </row>
    <row r="24" spans="1:1" x14ac:dyDescent="0.2">
      <c r="A24" s="244" t="s">
        <v>1109</v>
      </c>
    </row>
    <row r="25" spans="1:1" x14ac:dyDescent="0.2">
      <c r="A25" s="244" t="s">
        <v>1072</v>
      </c>
    </row>
    <row r="26" spans="1:1" x14ac:dyDescent="0.2">
      <c r="A26" s="24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G25"/>
  <sheetViews>
    <sheetView zoomScale="60" zoomScaleNormal="60" workbookViewId="0">
      <selection activeCell="C37" sqref="C37"/>
    </sheetView>
  </sheetViews>
  <sheetFormatPr defaultRowHeight="12.75" x14ac:dyDescent="0.2"/>
  <cols>
    <col min="5" max="5" width="11" customWidth="1"/>
    <col min="11" max="11" width="10.85546875" customWidth="1"/>
    <col min="17" max="17" width="11" customWidth="1"/>
    <col min="23" max="23" width="11" customWidth="1"/>
    <col min="29" max="29" width="10.85546875" customWidth="1"/>
  </cols>
  <sheetData>
    <row r="1" spans="1:33" ht="16.5" thickBot="1" x14ac:dyDescent="0.3">
      <c r="A1" s="82" t="s">
        <v>871</v>
      </c>
      <c r="B1" s="83"/>
      <c r="C1" s="83" t="s">
        <v>217</v>
      </c>
      <c r="D1" s="83" t="s">
        <v>11</v>
      </c>
      <c r="E1" s="84" t="s">
        <v>180</v>
      </c>
      <c r="F1" s="34"/>
      <c r="G1" s="92" t="s">
        <v>872</v>
      </c>
      <c r="H1" s="93"/>
      <c r="I1" s="93" t="s">
        <v>217</v>
      </c>
      <c r="J1" s="93" t="s">
        <v>11</v>
      </c>
      <c r="K1" s="94" t="s">
        <v>180</v>
      </c>
      <c r="L1" s="34"/>
      <c r="M1" s="95" t="s">
        <v>873</v>
      </c>
      <c r="N1" s="96"/>
      <c r="O1" s="97" t="s">
        <v>217</v>
      </c>
      <c r="P1" s="97" t="s">
        <v>11</v>
      </c>
      <c r="Q1" s="98" t="s">
        <v>180</v>
      </c>
      <c r="R1" s="34"/>
      <c r="S1" s="44" t="s">
        <v>874</v>
      </c>
      <c r="T1" s="45"/>
      <c r="U1" s="45" t="s">
        <v>217</v>
      </c>
      <c r="V1" s="45" t="s">
        <v>11</v>
      </c>
      <c r="W1" s="46" t="s">
        <v>180</v>
      </c>
      <c r="X1" s="34"/>
      <c r="Y1" s="41" t="s">
        <v>875</v>
      </c>
      <c r="Z1" s="42"/>
      <c r="AA1" s="42" t="s">
        <v>217</v>
      </c>
      <c r="AB1" s="42" t="s">
        <v>11</v>
      </c>
      <c r="AC1" s="43" t="s">
        <v>180</v>
      </c>
      <c r="AD1" s="40"/>
      <c r="AE1" s="40"/>
      <c r="AF1" s="48" t="s">
        <v>288</v>
      </c>
    </row>
    <row r="2" spans="1:33"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E2" s="40"/>
      <c r="AF2" s="34" t="s">
        <v>936</v>
      </c>
      <c r="AG2" s="40" t="s">
        <v>709</v>
      </c>
    </row>
    <row r="3" spans="1:33" x14ac:dyDescent="0.2">
      <c r="A3" s="88" t="s">
        <v>921</v>
      </c>
      <c r="B3" s="89"/>
      <c r="C3" s="89">
        <v>1</v>
      </c>
      <c r="D3" s="89" t="s">
        <v>2</v>
      </c>
      <c r="E3" s="90"/>
      <c r="F3" s="34"/>
      <c r="G3" s="88" t="s">
        <v>921</v>
      </c>
      <c r="H3" s="89"/>
      <c r="I3" s="89">
        <v>1</v>
      </c>
      <c r="J3" s="89" t="s">
        <v>2</v>
      </c>
      <c r="K3" s="90"/>
      <c r="L3" s="34"/>
      <c r="M3" s="88" t="s">
        <v>921</v>
      </c>
      <c r="N3" s="89"/>
      <c r="O3" s="89">
        <v>1</v>
      </c>
      <c r="P3" s="89" t="s">
        <v>2</v>
      </c>
      <c r="Q3" s="90"/>
      <c r="R3" s="34"/>
      <c r="S3" s="88" t="s">
        <v>921</v>
      </c>
      <c r="T3" s="89"/>
      <c r="U3" s="89">
        <v>1</v>
      </c>
      <c r="V3" s="89" t="s">
        <v>2</v>
      </c>
      <c r="W3" s="90"/>
      <c r="X3" s="34"/>
      <c r="Y3" s="88" t="s">
        <v>921</v>
      </c>
      <c r="Z3" s="89"/>
      <c r="AA3" s="89">
        <v>1</v>
      </c>
      <c r="AB3" s="89" t="s">
        <v>2</v>
      </c>
      <c r="AC3" s="90"/>
      <c r="AD3" s="40"/>
      <c r="AE3" s="40" t="s">
        <v>260</v>
      </c>
      <c r="AF3" s="227">
        <v>1.2670744154731399</v>
      </c>
      <c r="AG3" s="40"/>
    </row>
    <row r="4" spans="1:33" x14ac:dyDescent="0.2">
      <c r="A4" s="85" t="s">
        <v>205</v>
      </c>
      <c r="B4" s="89"/>
      <c r="C4" s="89"/>
      <c r="D4" s="89"/>
      <c r="E4" s="91"/>
      <c r="G4" s="85" t="s">
        <v>205</v>
      </c>
      <c r="H4" s="89"/>
      <c r="I4" s="89"/>
      <c r="J4" s="89"/>
      <c r="K4" s="91"/>
      <c r="M4" s="85" t="s">
        <v>205</v>
      </c>
      <c r="N4" s="89"/>
      <c r="O4" s="89"/>
      <c r="P4" s="89"/>
      <c r="Q4" s="91"/>
      <c r="S4" s="85" t="s">
        <v>205</v>
      </c>
      <c r="T4" s="89"/>
      <c r="U4" s="89"/>
      <c r="V4" s="89"/>
      <c r="W4" s="91"/>
      <c r="Y4" s="85" t="s">
        <v>205</v>
      </c>
      <c r="Z4" s="89"/>
      <c r="AA4" s="89"/>
      <c r="AB4" s="89"/>
      <c r="AC4" s="91"/>
      <c r="AD4" s="99"/>
      <c r="AE4" s="40" t="s">
        <v>261</v>
      </c>
      <c r="AF4" s="226">
        <v>1.51785708453293E-4</v>
      </c>
      <c r="AG4" s="99"/>
    </row>
    <row r="5" spans="1:33" x14ac:dyDescent="0.2">
      <c r="A5" s="280" t="s">
        <v>208</v>
      </c>
      <c r="B5" s="89"/>
      <c r="C5" s="376">
        <f>8/3.6</f>
        <v>2.2222222222222223</v>
      </c>
      <c r="D5" s="89" t="s">
        <v>207</v>
      </c>
      <c r="E5" s="90" t="s">
        <v>1076</v>
      </c>
      <c r="F5" s="34"/>
      <c r="G5" s="280" t="s">
        <v>208</v>
      </c>
      <c r="H5" s="89"/>
      <c r="I5" s="89">
        <v>0</v>
      </c>
      <c r="J5" s="89" t="s">
        <v>207</v>
      </c>
      <c r="K5" s="90"/>
      <c r="L5" s="34"/>
      <c r="M5" s="280" t="s">
        <v>208</v>
      </c>
      <c r="N5" s="89"/>
      <c r="O5" s="89">
        <v>0</v>
      </c>
      <c r="P5" s="89" t="s">
        <v>207</v>
      </c>
      <c r="Q5" s="90"/>
      <c r="R5" s="34"/>
      <c r="S5" s="280" t="s">
        <v>208</v>
      </c>
      <c r="T5" s="89"/>
      <c r="U5" s="376">
        <f>8/3.6</f>
        <v>2.2222222222222223</v>
      </c>
      <c r="V5" s="89" t="s">
        <v>207</v>
      </c>
      <c r="W5" s="90"/>
      <c r="X5" s="34"/>
      <c r="Y5" s="280" t="s">
        <v>208</v>
      </c>
      <c r="Z5" s="89"/>
      <c r="AA5" s="376">
        <f>8/3.6</f>
        <v>2.2222222222222223</v>
      </c>
      <c r="AB5" s="89" t="s">
        <v>207</v>
      </c>
      <c r="AC5" s="90"/>
      <c r="AD5" s="40"/>
      <c r="AE5" s="40" t="s">
        <v>262</v>
      </c>
      <c r="AF5" s="227">
        <v>1.17806058610455E-2</v>
      </c>
      <c r="AG5" s="40"/>
    </row>
    <row r="6" spans="1:33" ht="13.5" thickBot="1" x14ac:dyDescent="0.25">
      <c r="A6" s="100" t="s">
        <v>206</v>
      </c>
      <c r="B6" s="101"/>
      <c r="C6" s="101">
        <v>0.8</v>
      </c>
      <c r="D6" s="101" t="s">
        <v>207</v>
      </c>
      <c r="E6" s="225" t="s">
        <v>179</v>
      </c>
      <c r="G6" s="100" t="s">
        <v>206</v>
      </c>
      <c r="H6" s="101"/>
      <c r="I6" s="101">
        <v>1.4</v>
      </c>
      <c r="J6" s="101" t="s">
        <v>207</v>
      </c>
      <c r="K6" s="225" t="s">
        <v>179</v>
      </c>
      <c r="M6" s="100" t="s">
        <v>206</v>
      </c>
      <c r="N6" s="101"/>
      <c r="O6" s="101">
        <v>2.5</v>
      </c>
      <c r="P6" s="101" t="s">
        <v>207</v>
      </c>
      <c r="Q6" s="377" t="s">
        <v>1086</v>
      </c>
      <c r="S6" s="100" t="s">
        <v>206</v>
      </c>
      <c r="T6" s="101"/>
      <c r="U6" s="101">
        <v>0.8</v>
      </c>
      <c r="V6" s="101" t="s">
        <v>207</v>
      </c>
      <c r="W6" s="225" t="s">
        <v>179</v>
      </c>
      <c r="Y6" s="100" t="s">
        <v>206</v>
      </c>
      <c r="Z6" s="101"/>
      <c r="AA6" s="101">
        <v>0.8</v>
      </c>
      <c r="AB6" s="101" t="s">
        <v>207</v>
      </c>
      <c r="AC6" s="225" t="s">
        <v>179</v>
      </c>
      <c r="AE6" s="40" t="s">
        <v>263</v>
      </c>
      <c r="AF6" s="226">
        <v>4.2117317642513799E-3</v>
      </c>
      <c r="AG6" s="99"/>
    </row>
    <row r="7" spans="1:33" ht="15" x14ac:dyDescent="0.2">
      <c r="AE7" s="40" t="s">
        <v>675</v>
      </c>
      <c r="AF7" s="227">
        <v>5.5769598964166799E-3</v>
      </c>
      <c r="AG7" s="40"/>
    </row>
    <row r="8" spans="1:33" x14ac:dyDescent="0.2">
      <c r="AE8" s="40" t="s">
        <v>264</v>
      </c>
      <c r="AF8" s="227">
        <v>0.76261563043375602</v>
      </c>
      <c r="AG8" s="40"/>
    </row>
    <row r="9" spans="1:33" x14ac:dyDescent="0.2">
      <c r="AE9" s="40" t="s">
        <v>266</v>
      </c>
      <c r="AF9" s="227">
        <v>1.56401756962347E-7</v>
      </c>
      <c r="AG9" s="191"/>
    </row>
    <row r="10" spans="1:33" x14ac:dyDescent="0.2">
      <c r="AE10" s="40" t="s">
        <v>267</v>
      </c>
      <c r="AF10" s="227">
        <v>3.1840296530682302E-8</v>
      </c>
      <c r="AG10" s="191"/>
    </row>
    <row r="11" spans="1:33" x14ac:dyDescent="0.2">
      <c r="AE11" s="40" t="s">
        <v>268</v>
      </c>
      <c r="AF11" s="227">
        <v>2.4892582934437502</v>
      </c>
      <c r="AG11" s="191"/>
    </row>
    <row r="12" spans="1:33" x14ac:dyDescent="0.2">
      <c r="AE12" s="40"/>
      <c r="AF12" s="40"/>
      <c r="AG12" s="40"/>
    </row>
    <row r="16" spans="1:33" x14ac:dyDescent="0.2">
      <c r="A16" s="35" t="s">
        <v>687</v>
      </c>
    </row>
    <row r="17" spans="1:1" x14ac:dyDescent="0.2">
      <c r="A17" t="s">
        <v>1068</v>
      </c>
    </row>
    <row r="18" spans="1:1" x14ac:dyDescent="0.2">
      <c r="A18" s="244" t="s">
        <v>1083</v>
      </c>
    </row>
    <row r="19" spans="1:1" x14ac:dyDescent="0.2">
      <c r="A19" s="244" t="s">
        <v>1087</v>
      </c>
    </row>
    <row r="20" spans="1:1" x14ac:dyDescent="0.2">
      <c r="A20" s="244" t="s">
        <v>1091</v>
      </c>
    </row>
    <row r="21" spans="1:1" x14ac:dyDescent="0.2">
      <c r="A21" s="244" t="s">
        <v>1107</v>
      </c>
    </row>
    <row r="22" spans="1:1" x14ac:dyDescent="0.2">
      <c r="A22" s="244" t="s">
        <v>1070</v>
      </c>
    </row>
    <row r="23" spans="1:1" x14ac:dyDescent="0.2">
      <c r="A23" s="244" t="s">
        <v>1096</v>
      </c>
    </row>
    <row r="24" spans="1:1" x14ac:dyDescent="0.2">
      <c r="A24" s="244" t="s">
        <v>1109</v>
      </c>
    </row>
    <row r="25" spans="1:1" x14ac:dyDescent="0.2">
      <c r="A25" s="244" t="s">
        <v>1072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8"/>
  <sheetViews>
    <sheetView zoomScale="80" zoomScaleNormal="80" workbookViewId="0">
      <selection activeCell="A49" sqref="A49"/>
    </sheetView>
  </sheetViews>
  <sheetFormatPr defaultRowHeight="12.75" x14ac:dyDescent="0.2"/>
  <cols>
    <col min="1" max="1" width="54.42578125" style="244" customWidth="1"/>
    <col min="2" max="2" width="39.85546875" style="244" customWidth="1"/>
    <col min="3" max="16384" width="9.140625" style="244"/>
  </cols>
  <sheetData>
    <row r="1" spans="1:7" x14ac:dyDescent="0.2">
      <c r="A1" s="1" t="s">
        <v>176</v>
      </c>
    </row>
    <row r="2" spans="1:7" x14ac:dyDescent="0.2">
      <c r="A2" s="244" t="s">
        <v>688</v>
      </c>
    </row>
    <row r="3" spans="1:7" x14ac:dyDescent="0.2">
      <c r="A3" s="244" t="s">
        <v>425</v>
      </c>
    </row>
    <row r="4" spans="1:7" x14ac:dyDescent="0.2">
      <c r="A4" s="244" t="s">
        <v>689</v>
      </c>
    </row>
    <row r="8" spans="1:7" s="1" customFormat="1" x14ac:dyDescent="0.2">
      <c r="A8" s="17" t="s">
        <v>690</v>
      </c>
      <c r="B8" s="17" t="s">
        <v>259</v>
      </c>
      <c r="E8" s="244"/>
      <c r="F8" s="244"/>
      <c r="G8" s="244"/>
    </row>
    <row r="9" spans="1:7" x14ac:dyDescent="0.2">
      <c r="A9" s="244" t="s">
        <v>260</v>
      </c>
      <c r="B9" s="316">
        <v>1.78</v>
      </c>
    </row>
    <row r="10" spans="1:7" x14ac:dyDescent="0.2">
      <c r="A10" s="244" t="s">
        <v>261</v>
      </c>
      <c r="B10" s="316">
        <v>4.281E-4</v>
      </c>
    </row>
    <row r="11" spans="1:7" x14ac:dyDescent="0.2">
      <c r="A11" s="244" t="s">
        <v>262</v>
      </c>
      <c r="B11" s="316">
        <v>3.1359999999999999E-2</v>
      </c>
    </row>
    <row r="12" spans="1:7" x14ac:dyDescent="0.2">
      <c r="A12" s="244" t="s">
        <v>263</v>
      </c>
      <c r="B12" s="316">
        <v>8.1469999999999997E-3</v>
      </c>
    </row>
    <row r="13" spans="1:7" x14ac:dyDescent="0.2">
      <c r="A13" s="244" t="s">
        <v>264</v>
      </c>
      <c r="B13" s="316">
        <v>10920</v>
      </c>
    </row>
    <row r="14" spans="1:7" ht="15" x14ac:dyDescent="0.2">
      <c r="A14" s="244" t="s">
        <v>265</v>
      </c>
      <c r="B14" s="316">
        <v>10.07</v>
      </c>
    </row>
    <row r="15" spans="1:7" x14ac:dyDescent="0.2">
      <c r="A15" s="244" t="s">
        <v>266</v>
      </c>
      <c r="B15" s="316">
        <v>2.4279999999999998E-7</v>
      </c>
    </row>
    <row r="16" spans="1:7" x14ac:dyDescent="0.2">
      <c r="A16" s="244" t="s">
        <v>267</v>
      </c>
      <c r="B16" s="316">
        <v>1.715E-9</v>
      </c>
    </row>
    <row r="17" spans="1:3" x14ac:dyDescent="0.2">
      <c r="A17" s="244" t="s">
        <v>268</v>
      </c>
      <c r="B17" s="316">
        <v>30.62</v>
      </c>
    </row>
    <row r="18" spans="1:3" x14ac:dyDescent="0.2">
      <c r="A18" s="293" t="s">
        <v>691</v>
      </c>
      <c r="B18" s="317">
        <v>14.97</v>
      </c>
    </row>
    <row r="19" spans="1:3" x14ac:dyDescent="0.2">
      <c r="A19" s="260" t="s">
        <v>693</v>
      </c>
      <c r="B19" s="285"/>
    </row>
    <row r="21" spans="1:3" x14ac:dyDescent="0.2">
      <c r="A21" s="17" t="s">
        <v>692</v>
      </c>
      <c r="B21" s="17" t="s">
        <v>259</v>
      </c>
    </row>
    <row r="22" spans="1:3" x14ac:dyDescent="0.2">
      <c r="A22" s="244" t="s">
        <v>260</v>
      </c>
      <c r="B22" s="316">
        <v>0.31804295857234599</v>
      </c>
    </row>
    <row r="23" spans="1:3" x14ac:dyDescent="0.2">
      <c r="A23" s="244" t="s">
        <v>261</v>
      </c>
      <c r="B23" s="316">
        <v>9.0829495331691101E-4</v>
      </c>
    </row>
    <row r="24" spans="1:3" x14ac:dyDescent="0.2">
      <c r="A24" s="244" t="s">
        <v>262</v>
      </c>
      <c r="B24" s="316">
        <v>3.7446257768192402E-2</v>
      </c>
    </row>
    <row r="25" spans="1:3" x14ac:dyDescent="0.2">
      <c r="A25" s="244" t="s">
        <v>263</v>
      </c>
      <c r="B25" s="316">
        <v>1.25339059585698E-2</v>
      </c>
    </row>
    <row r="26" spans="1:3" x14ac:dyDescent="0.2">
      <c r="A26" s="244" t="s">
        <v>264</v>
      </c>
      <c r="B26" s="316">
        <v>1306.58274096472</v>
      </c>
    </row>
    <row r="27" spans="1:3" x14ac:dyDescent="0.2">
      <c r="A27" s="244" t="s">
        <v>995</v>
      </c>
      <c r="B27" s="316">
        <v>70.972751288438701</v>
      </c>
    </row>
    <row r="28" spans="1:3" ht="14.25" x14ac:dyDescent="0.2">
      <c r="A28" s="244" t="s">
        <v>996</v>
      </c>
      <c r="B28" s="316">
        <v>6.8828778545537856</v>
      </c>
    </row>
    <row r="29" spans="1:3" x14ac:dyDescent="0.2">
      <c r="A29" s="244" t="s">
        <v>266</v>
      </c>
      <c r="B29" s="316">
        <v>7.7975172946957204E-7</v>
      </c>
    </row>
    <row r="30" spans="1:3" x14ac:dyDescent="0.2">
      <c r="A30" s="244" t="s">
        <v>267</v>
      </c>
      <c r="B30" s="316">
        <v>1.39469359901695E-7</v>
      </c>
    </row>
    <row r="31" spans="1:3" x14ac:dyDescent="0.2">
      <c r="A31" s="244" t="s">
        <v>268</v>
      </c>
      <c r="B31" s="316">
        <v>52.601578285565601</v>
      </c>
      <c r="C31" s="244" t="s">
        <v>917</v>
      </c>
    </row>
    <row r="32" spans="1:3" x14ac:dyDescent="0.2">
      <c r="A32" s="293" t="s">
        <v>691</v>
      </c>
      <c r="B32" s="317">
        <v>32.936901249150004</v>
      </c>
    </row>
    <row r="33" spans="1:2" x14ac:dyDescent="0.2">
      <c r="A33" s="260" t="s">
        <v>693</v>
      </c>
      <c r="B33" s="285"/>
    </row>
    <row r="34" spans="1:2" x14ac:dyDescent="0.2">
      <c r="A34" s="260" t="s">
        <v>694</v>
      </c>
      <c r="B34" s="285"/>
    </row>
    <row r="35" spans="1:2" x14ac:dyDescent="0.2">
      <c r="A35" s="260"/>
      <c r="B35" s="285"/>
    </row>
    <row r="36" spans="1:2" x14ac:dyDescent="0.2">
      <c r="A36" s="1" t="s">
        <v>687</v>
      </c>
    </row>
    <row r="37" spans="1:2" x14ac:dyDescent="0.2">
      <c r="A37" s="244" t="s">
        <v>897</v>
      </c>
    </row>
    <row r="38" spans="1:2" x14ac:dyDescent="0.2">
      <c r="A38" s="244" t="s">
        <v>695</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G24"/>
  <sheetViews>
    <sheetView zoomScale="60" zoomScaleNormal="60" workbookViewId="0">
      <selection activeCell="O8" sqref="O8"/>
    </sheetView>
  </sheetViews>
  <sheetFormatPr defaultRowHeight="12.75" x14ac:dyDescent="0.2"/>
  <cols>
    <col min="5" max="5" width="11" customWidth="1"/>
    <col min="11" max="11" width="10.7109375" customWidth="1"/>
    <col min="17" max="17" width="10.42578125" customWidth="1"/>
    <col min="23" max="23" width="10.5703125" customWidth="1"/>
    <col min="29" max="29" width="10.7109375" customWidth="1"/>
  </cols>
  <sheetData>
    <row r="1" spans="1:33" ht="16.5" thickBot="1" x14ac:dyDescent="0.3">
      <c r="A1" s="82" t="s">
        <v>876</v>
      </c>
      <c r="B1" s="83"/>
      <c r="C1" s="83" t="s">
        <v>217</v>
      </c>
      <c r="D1" s="83" t="s">
        <v>11</v>
      </c>
      <c r="E1" s="84" t="s">
        <v>180</v>
      </c>
      <c r="F1" s="34"/>
      <c r="G1" s="92" t="s">
        <v>877</v>
      </c>
      <c r="H1" s="93"/>
      <c r="I1" s="93" t="s">
        <v>217</v>
      </c>
      <c r="J1" s="93" t="s">
        <v>11</v>
      </c>
      <c r="K1" s="94" t="s">
        <v>180</v>
      </c>
      <c r="L1" s="34"/>
      <c r="M1" s="95" t="s">
        <v>878</v>
      </c>
      <c r="N1" s="96"/>
      <c r="O1" s="97" t="s">
        <v>217</v>
      </c>
      <c r="P1" s="97" t="s">
        <v>11</v>
      </c>
      <c r="Q1" s="98" t="s">
        <v>180</v>
      </c>
      <c r="R1" s="34"/>
      <c r="S1" s="44" t="s">
        <v>879</v>
      </c>
      <c r="T1" s="45"/>
      <c r="U1" s="45" t="s">
        <v>217</v>
      </c>
      <c r="V1" s="45" t="s">
        <v>11</v>
      </c>
      <c r="W1" s="46" t="s">
        <v>180</v>
      </c>
      <c r="X1" s="34"/>
      <c r="Y1" s="41" t="s">
        <v>880</v>
      </c>
      <c r="Z1" s="42"/>
      <c r="AA1" s="42" t="s">
        <v>217</v>
      </c>
      <c r="AB1" s="42" t="s">
        <v>11</v>
      </c>
      <c r="AC1" s="43" t="s">
        <v>180</v>
      </c>
      <c r="AD1" s="40"/>
      <c r="AE1" s="40"/>
      <c r="AF1" s="48" t="s">
        <v>288</v>
      </c>
    </row>
    <row r="2" spans="1:33"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E2" s="40"/>
      <c r="AF2" s="34" t="s">
        <v>932</v>
      </c>
      <c r="AG2" s="40" t="s">
        <v>709</v>
      </c>
    </row>
    <row r="3" spans="1:33" x14ac:dyDescent="0.2">
      <c r="A3" s="88" t="s">
        <v>922</v>
      </c>
      <c r="B3" s="89"/>
      <c r="C3" s="89">
        <v>1</v>
      </c>
      <c r="D3" s="89" t="s">
        <v>2</v>
      </c>
      <c r="E3" s="90"/>
      <c r="F3" s="34"/>
      <c r="G3" s="88" t="s">
        <v>922</v>
      </c>
      <c r="H3" s="89"/>
      <c r="I3" s="89">
        <v>1</v>
      </c>
      <c r="J3" s="89" t="s">
        <v>2</v>
      </c>
      <c r="K3" s="90"/>
      <c r="L3" s="34"/>
      <c r="M3" s="88" t="s">
        <v>922</v>
      </c>
      <c r="N3" s="89"/>
      <c r="O3" s="89">
        <v>1</v>
      </c>
      <c r="P3" s="89" t="s">
        <v>2</v>
      </c>
      <c r="Q3" s="90"/>
      <c r="R3" s="34"/>
      <c r="S3" s="88" t="s">
        <v>922</v>
      </c>
      <c r="T3" s="89"/>
      <c r="U3" s="89">
        <v>1</v>
      </c>
      <c r="V3" s="89" t="s">
        <v>2</v>
      </c>
      <c r="W3" s="90"/>
      <c r="X3" s="34"/>
      <c r="Y3" s="88" t="s">
        <v>922</v>
      </c>
      <c r="Z3" s="89"/>
      <c r="AA3" s="89">
        <v>1</v>
      </c>
      <c r="AB3" s="89" t="s">
        <v>2</v>
      </c>
      <c r="AC3" s="90"/>
      <c r="AD3" s="40"/>
      <c r="AE3" s="40" t="s">
        <v>260</v>
      </c>
      <c r="AF3" s="227">
        <v>0.32280549540757603</v>
      </c>
      <c r="AG3" s="40"/>
    </row>
    <row r="4" spans="1:33" x14ac:dyDescent="0.2">
      <c r="A4" s="85" t="s">
        <v>205</v>
      </c>
      <c r="B4" s="89"/>
      <c r="C4" s="89"/>
      <c r="D4" s="89"/>
      <c r="E4" s="91"/>
      <c r="G4" s="85" t="s">
        <v>205</v>
      </c>
      <c r="H4" s="89"/>
      <c r="I4" s="89"/>
      <c r="J4" s="89"/>
      <c r="K4" s="91"/>
      <c r="M4" s="85" t="s">
        <v>205</v>
      </c>
      <c r="N4" s="89"/>
      <c r="O4" s="89"/>
      <c r="P4" s="89"/>
      <c r="Q4" s="91"/>
      <c r="S4" s="85" t="s">
        <v>205</v>
      </c>
      <c r="T4" s="89"/>
      <c r="U4" s="89"/>
      <c r="V4" s="89"/>
      <c r="W4" s="91"/>
      <c r="Y4" s="85" t="s">
        <v>205</v>
      </c>
      <c r="Z4" s="89"/>
      <c r="AA4" s="89"/>
      <c r="AB4" s="89"/>
      <c r="AC4" s="91"/>
      <c r="AE4" s="40" t="s">
        <v>261</v>
      </c>
      <c r="AF4" s="226">
        <v>1.69564291177273E-7</v>
      </c>
      <c r="AG4" s="99"/>
    </row>
    <row r="5" spans="1:33" x14ac:dyDescent="0.2">
      <c r="A5" s="88" t="s">
        <v>206</v>
      </c>
      <c r="B5" s="89"/>
      <c r="C5" s="89">
        <v>1E-3</v>
      </c>
      <c r="D5" s="89" t="s">
        <v>207</v>
      </c>
      <c r="E5" s="91" t="s">
        <v>179</v>
      </c>
      <c r="G5" s="88" t="s">
        <v>206</v>
      </c>
      <c r="H5" s="89"/>
      <c r="I5" s="89">
        <v>1E-3</v>
      </c>
      <c r="J5" s="89" t="s">
        <v>207</v>
      </c>
      <c r="K5" s="91" t="s">
        <v>179</v>
      </c>
      <c r="M5" s="88" t="s">
        <v>206</v>
      </c>
      <c r="N5" s="89"/>
      <c r="O5" s="89">
        <v>1E-3</v>
      </c>
      <c r="P5" s="89" t="s">
        <v>207</v>
      </c>
      <c r="Q5" s="91" t="s">
        <v>179</v>
      </c>
      <c r="S5" s="88" t="s">
        <v>206</v>
      </c>
      <c r="T5" s="89"/>
      <c r="U5" s="89">
        <v>1E-3</v>
      </c>
      <c r="V5" s="89" t="s">
        <v>207</v>
      </c>
      <c r="W5" s="91" t="s">
        <v>179</v>
      </c>
      <c r="Y5" s="88" t="s">
        <v>206</v>
      </c>
      <c r="Z5" s="89"/>
      <c r="AA5" s="89">
        <v>1E-3</v>
      </c>
      <c r="AB5" s="89" t="s">
        <v>207</v>
      </c>
      <c r="AC5" s="91" t="s">
        <v>179</v>
      </c>
      <c r="AE5" s="40" t="s">
        <v>262</v>
      </c>
      <c r="AF5" s="227">
        <v>3.9386699917051199E-4</v>
      </c>
      <c r="AG5" s="40"/>
    </row>
    <row r="6" spans="1:33" x14ac:dyDescent="0.2">
      <c r="A6" s="85" t="s">
        <v>212</v>
      </c>
      <c r="B6" s="89"/>
      <c r="C6" s="89"/>
      <c r="D6" s="89"/>
      <c r="E6" s="90"/>
      <c r="G6" s="85" t="s">
        <v>212</v>
      </c>
      <c r="H6" s="89"/>
      <c r="I6" s="89"/>
      <c r="J6" s="89"/>
      <c r="K6" s="90"/>
      <c r="M6" s="85" t="s">
        <v>212</v>
      </c>
      <c r="N6" s="89"/>
      <c r="O6" s="89"/>
      <c r="P6" s="89"/>
      <c r="Q6" s="90"/>
      <c r="S6" s="85" t="s">
        <v>212</v>
      </c>
      <c r="T6" s="89"/>
      <c r="U6" s="89"/>
      <c r="V6" s="89"/>
      <c r="W6" s="90"/>
      <c r="Y6" s="85" t="s">
        <v>212</v>
      </c>
      <c r="Z6" s="89"/>
      <c r="AA6" s="89"/>
      <c r="AB6" s="89"/>
      <c r="AC6" s="90"/>
      <c r="AE6" s="40" t="s">
        <v>263</v>
      </c>
      <c r="AF6" s="226">
        <v>4.3835967200044301E-4</v>
      </c>
      <c r="AG6" s="99"/>
    </row>
    <row r="7" spans="1:33" ht="15.75" thickBot="1" x14ac:dyDescent="0.25">
      <c r="A7" s="100" t="s">
        <v>485</v>
      </c>
      <c r="B7" s="101"/>
      <c r="C7" s="101">
        <v>0.2</v>
      </c>
      <c r="D7" s="101" t="s">
        <v>2</v>
      </c>
      <c r="E7" s="112" t="s">
        <v>923</v>
      </c>
      <c r="G7" s="100" t="s">
        <v>485</v>
      </c>
      <c r="H7" s="101"/>
      <c r="I7" s="101">
        <v>0.15</v>
      </c>
      <c r="J7" s="101" t="s">
        <v>2</v>
      </c>
      <c r="K7" s="112" t="s">
        <v>1363</v>
      </c>
      <c r="M7" s="100" t="s">
        <v>485</v>
      </c>
      <c r="N7" s="101"/>
      <c r="O7" s="101">
        <v>0.3</v>
      </c>
      <c r="P7" s="101" t="s">
        <v>2</v>
      </c>
      <c r="Q7" s="112" t="s">
        <v>1364</v>
      </c>
      <c r="S7" s="100" t="s">
        <v>485</v>
      </c>
      <c r="T7" s="101"/>
      <c r="U7" s="101">
        <v>0.2</v>
      </c>
      <c r="V7" s="101" t="s">
        <v>2</v>
      </c>
      <c r="W7" s="112" t="s">
        <v>923</v>
      </c>
      <c r="Y7" s="100" t="s">
        <v>485</v>
      </c>
      <c r="Z7" s="101"/>
      <c r="AA7" s="101">
        <v>0.2</v>
      </c>
      <c r="AB7" s="101" t="s">
        <v>2</v>
      </c>
      <c r="AC7" s="112" t="s">
        <v>923</v>
      </c>
      <c r="AE7" s="40" t="s">
        <v>675</v>
      </c>
      <c r="AF7" s="227">
        <v>2.0463832397127099E-4</v>
      </c>
      <c r="AG7" s="40"/>
    </row>
    <row r="8" spans="1:33" x14ac:dyDescent="0.2">
      <c r="AE8" s="40" t="s">
        <v>264</v>
      </c>
      <c r="AF8" s="227">
        <v>6.1009250434700504E-4</v>
      </c>
      <c r="AG8" s="40"/>
    </row>
    <row r="9" spans="1:33" x14ac:dyDescent="0.2">
      <c r="AE9" s="40" t="s">
        <v>266</v>
      </c>
      <c r="AF9" s="227">
        <v>7.2893588017102796E-9</v>
      </c>
      <c r="AG9" s="191"/>
    </row>
    <row r="10" spans="1:33" x14ac:dyDescent="0.2">
      <c r="AE10" s="40" t="s">
        <v>267</v>
      </c>
      <c r="AF10" s="227">
        <v>9.5149454633460106E-11</v>
      </c>
      <c r="AG10" s="191"/>
    </row>
    <row r="11" spans="1:33" x14ac:dyDescent="0.2">
      <c r="AE11" s="40" t="s">
        <v>268</v>
      </c>
      <c r="AF11" s="227">
        <v>2.1732492898161402E-3</v>
      </c>
      <c r="AG11" s="191"/>
    </row>
    <row r="12" spans="1:33" x14ac:dyDescent="0.2">
      <c r="AE12" s="40"/>
      <c r="AF12" s="40"/>
      <c r="AG12" s="40"/>
    </row>
    <row r="18" spans="1:1" x14ac:dyDescent="0.2">
      <c r="A18" s="35" t="s">
        <v>687</v>
      </c>
    </row>
    <row r="19" spans="1:1" x14ac:dyDescent="0.2">
      <c r="A19" t="s">
        <v>1068</v>
      </c>
    </row>
    <row r="20" spans="1:1" x14ac:dyDescent="0.2">
      <c r="A20" s="244" t="s">
        <v>1091</v>
      </c>
    </row>
    <row r="21" spans="1:1" x14ac:dyDescent="0.2">
      <c r="A21" s="244" t="s">
        <v>1107</v>
      </c>
    </row>
    <row r="22" spans="1:1" x14ac:dyDescent="0.2">
      <c r="A22" s="244" t="s">
        <v>1070</v>
      </c>
    </row>
    <row r="23" spans="1:1" x14ac:dyDescent="0.2">
      <c r="A23" s="244" t="s">
        <v>1096</v>
      </c>
    </row>
    <row r="24" spans="1:1" x14ac:dyDescent="0.2">
      <c r="A24" s="244" t="s">
        <v>1072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G24"/>
  <sheetViews>
    <sheetView zoomScale="60" zoomScaleNormal="60" workbookViewId="0">
      <selection activeCell="P53" sqref="P53"/>
    </sheetView>
  </sheetViews>
  <sheetFormatPr defaultRowHeight="12.75" x14ac:dyDescent="0.2"/>
  <cols>
    <col min="5" max="5" width="11" customWidth="1"/>
    <col min="11" max="11" width="11.7109375" bestFit="1" customWidth="1"/>
    <col min="17" max="17" width="11.7109375" bestFit="1" customWidth="1"/>
    <col min="23" max="23" width="11.7109375" bestFit="1" customWidth="1"/>
    <col min="29" max="29" width="11.7109375" bestFit="1" customWidth="1"/>
  </cols>
  <sheetData>
    <row r="1" spans="1:33" ht="16.5" thickBot="1" x14ac:dyDescent="0.3">
      <c r="A1" s="82" t="s">
        <v>881</v>
      </c>
      <c r="B1" s="83"/>
      <c r="C1" s="83" t="s">
        <v>217</v>
      </c>
      <c r="D1" s="83" t="s">
        <v>11</v>
      </c>
      <c r="E1" s="84" t="s">
        <v>180</v>
      </c>
      <c r="F1" s="34"/>
      <c r="G1" s="92" t="s">
        <v>882</v>
      </c>
      <c r="H1" s="93"/>
      <c r="I1" s="93" t="s">
        <v>217</v>
      </c>
      <c r="J1" s="93" t="s">
        <v>11</v>
      </c>
      <c r="K1" s="94" t="s">
        <v>180</v>
      </c>
      <c r="L1" s="34"/>
      <c r="M1" s="95" t="s">
        <v>883</v>
      </c>
      <c r="N1" s="96"/>
      <c r="O1" s="97" t="s">
        <v>217</v>
      </c>
      <c r="P1" s="97" t="s">
        <v>11</v>
      </c>
      <c r="Q1" s="98" t="s">
        <v>180</v>
      </c>
      <c r="R1" s="34"/>
      <c r="S1" s="44" t="s">
        <v>884</v>
      </c>
      <c r="T1" s="45"/>
      <c r="U1" s="45" t="s">
        <v>217</v>
      </c>
      <c r="V1" s="45" t="s">
        <v>11</v>
      </c>
      <c r="W1" s="46" t="s">
        <v>180</v>
      </c>
      <c r="X1" s="34"/>
      <c r="Y1" s="41" t="s">
        <v>885</v>
      </c>
      <c r="Z1" s="42"/>
      <c r="AA1" s="42" t="s">
        <v>217</v>
      </c>
      <c r="AB1" s="42" t="s">
        <v>11</v>
      </c>
      <c r="AC1" s="43" t="s">
        <v>180</v>
      </c>
      <c r="AD1" s="40"/>
      <c r="AE1" s="40"/>
      <c r="AF1" s="48" t="s">
        <v>288</v>
      </c>
    </row>
    <row r="2" spans="1:33"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E2" s="40"/>
      <c r="AF2" s="226" t="s">
        <v>953</v>
      </c>
      <c r="AG2" s="40" t="s">
        <v>709</v>
      </c>
    </row>
    <row r="3" spans="1:33" x14ac:dyDescent="0.2">
      <c r="A3" s="88" t="s">
        <v>924</v>
      </c>
      <c r="B3" s="89"/>
      <c r="C3" s="89">
        <v>1</v>
      </c>
      <c r="D3" s="89" t="s">
        <v>2</v>
      </c>
      <c r="E3" s="90"/>
      <c r="F3" s="34"/>
      <c r="G3" s="88" t="s">
        <v>924</v>
      </c>
      <c r="H3" s="89"/>
      <c r="I3" s="89">
        <v>1</v>
      </c>
      <c r="J3" s="89" t="s">
        <v>2</v>
      </c>
      <c r="K3" s="90"/>
      <c r="L3" s="34"/>
      <c r="M3" s="88" t="s">
        <v>924</v>
      </c>
      <c r="N3" s="89"/>
      <c r="O3" s="89">
        <v>1</v>
      </c>
      <c r="P3" s="89" t="s">
        <v>2</v>
      </c>
      <c r="Q3" s="90"/>
      <c r="R3" s="34"/>
      <c r="S3" s="88" t="s">
        <v>924</v>
      </c>
      <c r="T3" s="89"/>
      <c r="U3" s="89">
        <v>1</v>
      </c>
      <c r="V3" s="89" t="s">
        <v>2</v>
      </c>
      <c r="W3" s="90"/>
      <c r="X3" s="34"/>
      <c r="Y3" s="88" t="s">
        <v>924</v>
      </c>
      <c r="Z3" s="89"/>
      <c r="AA3" s="89">
        <v>1</v>
      </c>
      <c r="AB3" s="89" t="s">
        <v>2</v>
      </c>
      <c r="AC3" s="90"/>
      <c r="AD3" s="40"/>
      <c r="AE3" s="40" t="s">
        <v>260</v>
      </c>
      <c r="AF3" s="227">
        <v>0.220360767908372</v>
      </c>
      <c r="AG3" s="40"/>
    </row>
    <row r="4" spans="1:33" x14ac:dyDescent="0.2">
      <c r="A4" s="85" t="s">
        <v>205</v>
      </c>
      <c r="B4" s="89"/>
      <c r="C4" s="89"/>
      <c r="D4" s="89"/>
      <c r="E4" s="91"/>
      <c r="G4" s="85" t="s">
        <v>205</v>
      </c>
      <c r="H4" s="89"/>
      <c r="I4" s="89"/>
      <c r="J4" s="89"/>
      <c r="K4" s="91"/>
      <c r="M4" s="85" t="s">
        <v>205</v>
      </c>
      <c r="N4" s="89"/>
      <c r="O4" s="89"/>
      <c r="P4" s="89"/>
      <c r="Q4" s="91"/>
      <c r="S4" s="85" t="s">
        <v>205</v>
      </c>
      <c r="T4" s="89"/>
      <c r="U4" s="89"/>
      <c r="V4" s="89"/>
      <c r="W4" s="91"/>
      <c r="Y4" s="85" t="s">
        <v>205</v>
      </c>
      <c r="Z4" s="89"/>
      <c r="AA4" s="89"/>
      <c r="AB4" s="89"/>
      <c r="AC4" s="91"/>
      <c r="AE4" s="40" t="s">
        <v>261</v>
      </c>
      <c r="AF4" s="226">
        <v>2.6397514513616199E-5</v>
      </c>
      <c r="AG4" s="99"/>
    </row>
    <row r="5" spans="1:33" ht="13.5" thickBot="1" x14ac:dyDescent="0.25">
      <c r="A5" s="100" t="s">
        <v>206</v>
      </c>
      <c r="B5" s="101"/>
      <c r="C5" s="101">
        <v>0.217</v>
      </c>
      <c r="D5" s="101" t="s">
        <v>207</v>
      </c>
      <c r="E5" s="225" t="s">
        <v>179</v>
      </c>
      <c r="G5" s="100" t="s">
        <v>206</v>
      </c>
      <c r="H5" s="101"/>
      <c r="I5" s="101">
        <v>0.217</v>
      </c>
      <c r="J5" s="101" t="s">
        <v>207</v>
      </c>
      <c r="K5" s="225" t="s">
        <v>179</v>
      </c>
      <c r="M5" s="100" t="s">
        <v>206</v>
      </c>
      <c r="N5" s="101"/>
      <c r="O5" s="101">
        <v>0.217</v>
      </c>
      <c r="P5" s="101" t="s">
        <v>207</v>
      </c>
      <c r="Q5" s="225" t="s">
        <v>179</v>
      </c>
      <c r="S5" s="100" t="s">
        <v>206</v>
      </c>
      <c r="T5" s="101"/>
      <c r="U5" s="101">
        <v>0.217</v>
      </c>
      <c r="V5" s="101" t="s">
        <v>207</v>
      </c>
      <c r="W5" s="225" t="s">
        <v>179</v>
      </c>
      <c r="Y5" s="100" t="s">
        <v>206</v>
      </c>
      <c r="Z5" s="101"/>
      <c r="AA5" s="101">
        <v>0.217</v>
      </c>
      <c r="AB5" s="101" t="s">
        <v>207</v>
      </c>
      <c r="AC5" s="225" t="s">
        <v>179</v>
      </c>
      <c r="AE5" s="40" t="s">
        <v>262</v>
      </c>
      <c r="AF5" s="227">
        <v>2.04880101931226E-3</v>
      </c>
      <c r="AG5" s="40"/>
    </row>
    <row r="6" spans="1:33" x14ac:dyDescent="0.2">
      <c r="AE6" s="40" t="s">
        <v>263</v>
      </c>
      <c r="AF6" s="226">
        <v>7.3247508943502201E-4</v>
      </c>
      <c r="AG6" s="99"/>
    </row>
    <row r="7" spans="1:33" ht="15" x14ac:dyDescent="0.2">
      <c r="AE7" s="40" t="s">
        <v>675</v>
      </c>
      <c r="AF7" s="227">
        <v>9.6990606894203197E-4</v>
      </c>
      <c r="AG7" s="40"/>
    </row>
    <row r="8" spans="1:33" x14ac:dyDescent="0.2">
      <c r="AE8" s="40" t="s">
        <v>264</v>
      </c>
      <c r="AF8" s="227">
        <v>0.132628805292827</v>
      </c>
      <c r="AG8" s="40"/>
    </row>
    <row r="9" spans="1:33" x14ac:dyDescent="0.2">
      <c r="AE9" s="40" t="s">
        <v>266</v>
      </c>
      <c r="AF9" s="227">
        <v>2.7200305558669001E-8</v>
      </c>
      <c r="AG9" s="191"/>
    </row>
    <row r="10" spans="1:33" x14ac:dyDescent="0.2">
      <c r="AE10" s="40" t="s">
        <v>267</v>
      </c>
      <c r="AF10" s="227">
        <v>5.5374428749012797E-9</v>
      </c>
      <c r="AG10" s="191"/>
    </row>
    <row r="11" spans="1:33" x14ac:dyDescent="0.2">
      <c r="AE11" s="40" t="s">
        <v>268</v>
      </c>
      <c r="AF11" s="227">
        <v>0.43291448581630498</v>
      </c>
      <c r="AG11" s="191"/>
    </row>
    <row r="12" spans="1:33" x14ac:dyDescent="0.2">
      <c r="AE12" s="40"/>
      <c r="AF12" s="40"/>
      <c r="AG12" s="40"/>
    </row>
    <row r="18" spans="1:1" x14ac:dyDescent="0.2">
      <c r="A18" s="35" t="s">
        <v>687</v>
      </c>
    </row>
    <row r="19" spans="1:1" x14ac:dyDescent="0.2">
      <c r="A19" t="s">
        <v>1068</v>
      </c>
    </row>
    <row r="20" spans="1:1" x14ac:dyDescent="0.2">
      <c r="A20" s="244" t="s">
        <v>1091</v>
      </c>
    </row>
    <row r="21" spans="1:1" x14ac:dyDescent="0.2">
      <c r="A21" s="244" t="s">
        <v>1107</v>
      </c>
    </row>
    <row r="22" spans="1:1" x14ac:dyDescent="0.2">
      <c r="A22" s="244" t="s">
        <v>1070</v>
      </c>
    </row>
    <row r="23" spans="1:1" x14ac:dyDescent="0.2">
      <c r="A23" s="244" t="s">
        <v>1096</v>
      </c>
    </row>
    <row r="24" spans="1:1" x14ac:dyDescent="0.2">
      <c r="A24" s="244" t="s">
        <v>1072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G25"/>
  <sheetViews>
    <sheetView zoomScale="60" zoomScaleNormal="60" workbookViewId="0">
      <selection activeCell="A19" sqref="A19:A25"/>
    </sheetView>
  </sheetViews>
  <sheetFormatPr defaultRowHeight="12.75" x14ac:dyDescent="0.2"/>
  <cols>
    <col min="5" max="5" width="11" customWidth="1"/>
    <col min="32" max="32" width="9.85546875" bestFit="1" customWidth="1"/>
  </cols>
  <sheetData>
    <row r="1" spans="1:33" ht="16.5" thickBot="1" x14ac:dyDescent="0.3">
      <c r="A1" s="82" t="s">
        <v>886</v>
      </c>
      <c r="B1" s="83"/>
      <c r="C1" s="83" t="s">
        <v>217</v>
      </c>
      <c r="D1" s="83" t="s">
        <v>11</v>
      </c>
      <c r="E1" s="84" t="s">
        <v>180</v>
      </c>
      <c r="F1" s="34"/>
      <c r="G1" s="92" t="s">
        <v>887</v>
      </c>
      <c r="H1" s="93"/>
      <c r="I1" s="93" t="s">
        <v>217</v>
      </c>
      <c r="J1" s="93" t="s">
        <v>11</v>
      </c>
      <c r="K1" s="94" t="s">
        <v>180</v>
      </c>
      <c r="L1" s="34"/>
      <c r="M1" s="95" t="s">
        <v>888</v>
      </c>
      <c r="N1" s="96"/>
      <c r="O1" s="97" t="s">
        <v>217</v>
      </c>
      <c r="P1" s="97" t="s">
        <v>11</v>
      </c>
      <c r="Q1" s="98" t="s">
        <v>180</v>
      </c>
      <c r="R1" s="34"/>
      <c r="S1" s="44" t="s">
        <v>889</v>
      </c>
      <c r="T1" s="45"/>
      <c r="U1" s="45" t="s">
        <v>217</v>
      </c>
      <c r="V1" s="45" t="s">
        <v>11</v>
      </c>
      <c r="W1" s="46" t="s">
        <v>180</v>
      </c>
      <c r="X1" s="34"/>
      <c r="Y1" s="41" t="s">
        <v>890</v>
      </c>
      <c r="Z1" s="42"/>
      <c r="AA1" s="42" t="s">
        <v>217</v>
      </c>
      <c r="AB1" s="42" t="s">
        <v>11</v>
      </c>
      <c r="AC1" s="43" t="s">
        <v>180</v>
      </c>
      <c r="AD1" s="40"/>
      <c r="AE1" s="40"/>
      <c r="AF1" s="48" t="s">
        <v>288</v>
      </c>
    </row>
    <row r="2" spans="1:33" x14ac:dyDescent="0.2">
      <c r="A2" s="85" t="s">
        <v>218</v>
      </c>
      <c r="B2" s="89"/>
      <c r="C2" s="89"/>
      <c r="D2" s="89"/>
      <c r="E2" s="87"/>
      <c r="F2" s="34"/>
      <c r="G2" s="85" t="s">
        <v>218</v>
      </c>
      <c r="H2" s="89"/>
      <c r="I2" s="89"/>
      <c r="J2" s="89"/>
      <c r="K2" s="87"/>
      <c r="L2" s="34"/>
      <c r="M2" s="85" t="s">
        <v>218</v>
      </c>
      <c r="N2" s="89"/>
      <c r="O2" s="89"/>
      <c r="P2" s="89"/>
      <c r="Q2" s="87"/>
      <c r="R2" s="34"/>
      <c r="S2" s="85" t="s">
        <v>218</v>
      </c>
      <c r="T2" s="89"/>
      <c r="U2" s="89"/>
      <c r="V2" s="89"/>
      <c r="W2" s="87"/>
      <c r="X2" s="34"/>
      <c r="Y2" s="85" t="s">
        <v>218</v>
      </c>
      <c r="Z2" s="89"/>
      <c r="AA2" s="89"/>
      <c r="AB2" s="89"/>
      <c r="AC2" s="87"/>
      <c r="AD2" s="40"/>
      <c r="AE2" s="40"/>
      <c r="AF2" s="34" t="s">
        <v>944</v>
      </c>
      <c r="AG2" s="40" t="s">
        <v>709</v>
      </c>
    </row>
    <row r="3" spans="1:33" x14ac:dyDescent="0.2">
      <c r="A3" s="88" t="s">
        <v>925</v>
      </c>
      <c r="B3" s="89"/>
      <c r="C3" s="89">
        <v>1</v>
      </c>
      <c r="D3" s="89" t="s">
        <v>2</v>
      </c>
      <c r="E3" s="90"/>
      <c r="F3" s="34"/>
      <c r="G3" s="88" t="s">
        <v>925</v>
      </c>
      <c r="H3" s="89"/>
      <c r="I3" s="89">
        <v>1</v>
      </c>
      <c r="J3" s="89" t="s">
        <v>2</v>
      </c>
      <c r="K3" s="90"/>
      <c r="L3" s="34"/>
      <c r="M3" s="88" t="s">
        <v>925</v>
      </c>
      <c r="N3" s="89"/>
      <c r="O3" s="89">
        <v>1</v>
      </c>
      <c r="P3" s="89" t="s">
        <v>2</v>
      </c>
      <c r="Q3" s="90"/>
      <c r="R3" s="34"/>
      <c r="S3" s="88" t="s">
        <v>925</v>
      </c>
      <c r="T3" s="89"/>
      <c r="U3" s="89">
        <v>1</v>
      </c>
      <c r="V3" s="89" t="s">
        <v>2</v>
      </c>
      <c r="W3" s="90"/>
      <c r="X3" s="34"/>
      <c r="Y3" s="88" t="s">
        <v>925</v>
      </c>
      <c r="Z3" s="89"/>
      <c r="AA3" s="89">
        <v>1</v>
      </c>
      <c r="AB3" s="89" t="s">
        <v>2</v>
      </c>
      <c r="AC3" s="90"/>
      <c r="AD3" s="40"/>
      <c r="AE3" s="40" t="s">
        <v>260</v>
      </c>
      <c r="AF3" s="231">
        <v>0.22666278513211399</v>
      </c>
      <c r="AG3" s="40"/>
    </row>
    <row r="4" spans="1:33" x14ac:dyDescent="0.2">
      <c r="A4" s="85" t="s">
        <v>205</v>
      </c>
      <c r="B4" s="89"/>
      <c r="C4" s="89"/>
      <c r="D4" s="89"/>
      <c r="E4" s="91"/>
      <c r="G4" s="85" t="s">
        <v>205</v>
      </c>
      <c r="H4" s="89"/>
      <c r="I4" s="89"/>
      <c r="J4" s="89"/>
      <c r="K4" s="91"/>
      <c r="M4" s="85" t="s">
        <v>205</v>
      </c>
      <c r="N4" s="89"/>
      <c r="O4" s="89"/>
      <c r="P4" s="89"/>
      <c r="Q4" s="91"/>
      <c r="S4" s="85" t="s">
        <v>205</v>
      </c>
      <c r="T4" s="89"/>
      <c r="U4" s="89"/>
      <c r="V4" s="89"/>
      <c r="W4" s="91"/>
      <c r="Y4" s="85" t="s">
        <v>205</v>
      </c>
      <c r="Z4" s="89"/>
      <c r="AA4" s="89"/>
      <c r="AB4" s="89"/>
      <c r="AC4" s="91"/>
      <c r="AE4" s="40" t="s">
        <v>261</v>
      </c>
      <c r="AF4" s="232">
        <v>7.6711286989202007E-5</v>
      </c>
      <c r="AG4" s="99"/>
    </row>
    <row r="5" spans="1:33" ht="13.5" thickBot="1" x14ac:dyDescent="0.25">
      <c r="A5" s="100" t="s">
        <v>206</v>
      </c>
      <c r="B5" s="101"/>
      <c r="C5" s="101">
        <v>0.217</v>
      </c>
      <c r="D5" s="101" t="s">
        <v>207</v>
      </c>
      <c r="E5" s="225" t="s">
        <v>179</v>
      </c>
      <c r="G5" s="100" t="s">
        <v>206</v>
      </c>
      <c r="H5" s="101"/>
      <c r="I5" s="101">
        <v>0.217</v>
      </c>
      <c r="J5" s="101" t="s">
        <v>207</v>
      </c>
      <c r="K5" s="225" t="s">
        <v>179</v>
      </c>
      <c r="M5" s="100" t="s">
        <v>206</v>
      </c>
      <c r="N5" s="101"/>
      <c r="O5" s="101">
        <v>0.217</v>
      </c>
      <c r="P5" s="101" t="s">
        <v>207</v>
      </c>
      <c r="Q5" s="225" t="s">
        <v>179</v>
      </c>
      <c r="S5" s="100" t="s">
        <v>206</v>
      </c>
      <c r="T5" s="101"/>
      <c r="U5" s="101">
        <v>0.217</v>
      </c>
      <c r="V5" s="101" t="s">
        <v>207</v>
      </c>
      <c r="W5" s="225" t="s">
        <v>179</v>
      </c>
      <c r="Y5" s="100" t="s">
        <v>206</v>
      </c>
      <c r="Z5" s="101"/>
      <c r="AA5" s="101">
        <v>0.217</v>
      </c>
      <c r="AB5" s="101" t="s">
        <v>207</v>
      </c>
      <c r="AC5" s="225" t="s">
        <v>179</v>
      </c>
      <c r="AE5" s="40" t="s">
        <v>262</v>
      </c>
      <c r="AF5" s="231">
        <v>1.64905629369324E-3</v>
      </c>
      <c r="AG5" s="40"/>
    </row>
    <row r="6" spans="1:33" x14ac:dyDescent="0.2">
      <c r="AE6" s="40" t="s">
        <v>263</v>
      </c>
      <c r="AF6" s="232">
        <v>3.43588269397918E-3</v>
      </c>
      <c r="AG6" s="99"/>
    </row>
    <row r="7" spans="1:33" ht="15" x14ac:dyDescent="0.2">
      <c r="AE7" s="40" t="s">
        <v>675</v>
      </c>
      <c r="AF7" s="231">
        <v>1.4887374840719999E-3</v>
      </c>
      <c r="AG7" s="40"/>
    </row>
    <row r="8" spans="1:33" x14ac:dyDescent="0.2">
      <c r="AE8" s="40" t="s">
        <v>264</v>
      </c>
      <c r="AF8" s="231">
        <v>1.27125557162695</v>
      </c>
      <c r="AG8" s="40"/>
    </row>
    <row r="9" spans="1:33" x14ac:dyDescent="0.2">
      <c r="AE9" s="40" t="s">
        <v>266</v>
      </c>
      <c r="AF9" s="231">
        <v>7.1678994942801994E-8</v>
      </c>
      <c r="AG9" s="191"/>
    </row>
    <row r="10" spans="1:33" x14ac:dyDescent="0.2">
      <c r="AE10" s="40" t="s">
        <v>267</v>
      </c>
      <c r="AF10" s="231">
        <v>1.22621449970202E-8</v>
      </c>
      <c r="AG10" s="191"/>
    </row>
    <row r="11" spans="1:33" x14ac:dyDescent="0.2">
      <c r="AE11" s="40" t="s">
        <v>268</v>
      </c>
      <c r="AF11" s="231">
        <v>1.5931830134787801</v>
      </c>
      <c r="AG11" s="191"/>
    </row>
    <row r="12" spans="1:33" x14ac:dyDescent="0.2">
      <c r="AE12" s="40"/>
      <c r="AF12" s="40"/>
      <c r="AG12" s="40"/>
    </row>
    <row r="19" spans="1:1" x14ac:dyDescent="0.2">
      <c r="A19" s="35" t="s">
        <v>687</v>
      </c>
    </row>
    <row r="20" spans="1:1" x14ac:dyDescent="0.2">
      <c r="A20" t="s">
        <v>1068</v>
      </c>
    </row>
    <row r="21" spans="1:1" x14ac:dyDescent="0.2">
      <c r="A21" s="244" t="s">
        <v>1091</v>
      </c>
    </row>
    <row r="22" spans="1:1" x14ac:dyDescent="0.2">
      <c r="A22" s="244" t="s">
        <v>1107</v>
      </c>
    </row>
    <row r="23" spans="1:1" x14ac:dyDescent="0.2">
      <c r="A23" s="244" t="s">
        <v>1070</v>
      </c>
    </row>
    <row r="24" spans="1:1" x14ac:dyDescent="0.2">
      <c r="A24" s="244" t="s">
        <v>1096</v>
      </c>
    </row>
    <row r="25" spans="1:1" x14ac:dyDescent="0.2">
      <c r="A25" s="244" t="s">
        <v>1072</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O77"/>
  <sheetViews>
    <sheetView zoomScale="60" zoomScaleNormal="60" workbookViewId="0">
      <selection activeCell="AB29" sqref="AB29"/>
    </sheetView>
  </sheetViews>
  <sheetFormatPr defaultRowHeight="12.75" x14ac:dyDescent="0.2"/>
  <cols>
    <col min="1" max="1" width="45.7109375" customWidth="1"/>
    <col min="2" max="2" width="25.5703125" customWidth="1"/>
    <col min="3" max="3" width="20.85546875" customWidth="1"/>
    <col min="4" max="4" width="20" customWidth="1"/>
    <col min="6" max="6" width="1.7109375" customWidth="1"/>
    <col min="7" max="7" width="17.7109375" customWidth="1"/>
    <col min="8" max="8" width="9.140625" customWidth="1"/>
    <col min="9" max="9" width="16.7109375" customWidth="1"/>
    <col min="10" max="10" width="12" customWidth="1"/>
    <col min="11" max="11" width="11.85546875" customWidth="1"/>
    <col min="12" max="12" width="1.7109375" customWidth="1"/>
    <col min="13" max="13" width="14.5703125" customWidth="1"/>
    <col min="14" max="17" width="9.140625" customWidth="1"/>
    <col min="18" max="19" width="1.7109375" customWidth="1"/>
    <col min="20" max="20" width="10.140625" customWidth="1"/>
    <col min="21" max="26" width="13.85546875" customWidth="1"/>
    <col min="27" max="27" width="11.5703125" customWidth="1"/>
    <col min="28" max="28" width="15.28515625" customWidth="1"/>
    <col min="29" max="29" width="12.5703125" customWidth="1"/>
    <col min="30" max="32" width="17.42578125" customWidth="1"/>
    <col min="33" max="38" width="17.140625" customWidth="1"/>
    <col min="39" max="42" width="9.140625" customWidth="1"/>
  </cols>
  <sheetData>
    <row r="1" spans="1:30" x14ac:dyDescent="0.2">
      <c r="A1" s="20" t="s">
        <v>181</v>
      </c>
      <c r="B1" s="19" t="s">
        <v>253</v>
      </c>
      <c r="C1" s="21" t="s">
        <v>11</v>
      </c>
      <c r="X1" s="58" t="s">
        <v>674</v>
      </c>
      <c r="Y1" s="58"/>
      <c r="Z1" s="58"/>
      <c r="AA1" s="58" t="s">
        <v>676</v>
      </c>
      <c r="AB1" s="58" t="s">
        <v>677</v>
      </c>
      <c r="AC1" s="58" t="s">
        <v>678</v>
      </c>
      <c r="AD1" s="58" t="s">
        <v>679</v>
      </c>
    </row>
    <row r="2" spans="1:30" x14ac:dyDescent="0.2">
      <c r="A2" s="9" t="s">
        <v>246</v>
      </c>
      <c r="B2" s="3">
        <v>1</v>
      </c>
      <c r="C2" s="10" t="s">
        <v>2</v>
      </c>
      <c r="X2" s="34" t="s">
        <v>260</v>
      </c>
      <c r="AA2" s="60"/>
      <c r="AB2" s="60">
        <v>2.314024625706224</v>
      </c>
      <c r="AD2" s="60">
        <v>1.9110340062080562</v>
      </c>
    </row>
    <row r="3" spans="1:30" x14ac:dyDescent="0.2">
      <c r="A3" s="36" t="s">
        <v>187</v>
      </c>
      <c r="B3" s="3"/>
      <c r="C3" s="10"/>
      <c r="X3" s="34" t="s">
        <v>261</v>
      </c>
      <c r="AA3" s="60"/>
      <c r="AB3" s="60">
        <v>3.8487079191827558E-4</v>
      </c>
      <c r="AD3" s="60">
        <v>2.8666155812471968E-4</v>
      </c>
    </row>
    <row r="4" spans="1:30" x14ac:dyDescent="0.2">
      <c r="A4" s="9" t="s">
        <v>247</v>
      </c>
      <c r="B4" s="3">
        <v>1.62</v>
      </c>
      <c r="C4" s="10" t="s">
        <v>2</v>
      </c>
      <c r="X4" s="34" t="s">
        <v>262</v>
      </c>
      <c r="AA4" s="60"/>
      <c r="AB4" s="60">
        <v>2.2648930293276952E-2</v>
      </c>
      <c r="AD4" s="60">
        <v>1.9513530972714039E-2</v>
      </c>
    </row>
    <row r="5" spans="1:30" x14ac:dyDescent="0.2">
      <c r="A5" s="9" t="s">
        <v>248</v>
      </c>
      <c r="B5" s="3">
        <v>1.62</v>
      </c>
      <c r="C5" s="10" t="s">
        <v>2</v>
      </c>
      <c r="I5" s="166" t="s">
        <v>573</v>
      </c>
      <c r="X5" s="34" t="s">
        <v>263</v>
      </c>
      <c r="AA5" s="60"/>
      <c r="AB5" s="60">
        <v>1.0525281349165059E-2</v>
      </c>
      <c r="AD5" s="60">
        <v>7.3224282764944616E-3</v>
      </c>
    </row>
    <row r="6" spans="1:30" x14ac:dyDescent="0.2">
      <c r="A6" s="9" t="s">
        <v>249</v>
      </c>
      <c r="B6" s="3">
        <v>1.4</v>
      </c>
      <c r="C6" s="10" t="s">
        <v>2</v>
      </c>
      <c r="I6" s="13" t="s">
        <v>103</v>
      </c>
      <c r="J6" s="13" t="s">
        <v>31</v>
      </c>
      <c r="K6" s="13" t="s">
        <v>32</v>
      </c>
      <c r="M6" s="14" t="s">
        <v>33</v>
      </c>
      <c r="X6" s="34" t="s">
        <v>264</v>
      </c>
      <c r="AA6" s="60"/>
      <c r="AB6" s="60">
        <v>2666.3022338057986</v>
      </c>
      <c r="AD6" s="60">
        <v>2652.0934064473895</v>
      </c>
    </row>
    <row r="7" spans="1:30" ht="15" x14ac:dyDescent="0.2">
      <c r="A7" s="9" t="s">
        <v>182</v>
      </c>
      <c r="B7" s="3">
        <v>1.19</v>
      </c>
      <c r="C7" s="10" t="s">
        <v>2</v>
      </c>
      <c r="D7" t="s">
        <v>559</v>
      </c>
      <c r="J7" s="4">
        <f>AD49</f>
        <v>4.681646116988417E-12</v>
      </c>
      <c r="K7" s="4">
        <f>AE49</f>
        <v>6.0497544670238874E-11</v>
      </c>
      <c r="M7" s="4">
        <f>AF49</f>
        <v>0.36488426153943043</v>
      </c>
      <c r="X7" s="34" t="s">
        <v>675</v>
      </c>
      <c r="AA7" s="60"/>
      <c r="AB7" s="60">
        <v>1.6238425637218261</v>
      </c>
      <c r="AD7" s="60">
        <v>1.6251116503645078</v>
      </c>
    </row>
    <row r="8" spans="1:30" x14ac:dyDescent="0.2">
      <c r="A8" s="9" t="s">
        <v>250</v>
      </c>
      <c r="B8" s="3">
        <v>1.01</v>
      </c>
      <c r="C8" s="10" t="s">
        <v>2</v>
      </c>
      <c r="X8" s="34" t="s">
        <v>266</v>
      </c>
      <c r="AA8" s="60"/>
      <c r="AB8" s="60">
        <v>3.1022588909659956E-7</v>
      </c>
      <c r="AD8" s="60">
        <v>2.1668191779485783E-7</v>
      </c>
    </row>
    <row r="9" spans="1:30" x14ac:dyDescent="0.2">
      <c r="A9" s="11" t="s">
        <v>251</v>
      </c>
      <c r="B9" s="7">
        <f>750/1000</f>
        <v>0.75</v>
      </c>
      <c r="C9" s="12" t="s">
        <v>252</v>
      </c>
      <c r="I9" s="134" t="s">
        <v>544</v>
      </c>
      <c r="X9" s="34" t="s">
        <v>267</v>
      </c>
      <c r="AA9" s="60"/>
      <c r="AB9" s="60">
        <v>8.4299640799804599E-8</v>
      </c>
      <c r="AD9" s="60">
        <v>5.0643237092162709E-8</v>
      </c>
    </row>
    <row r="10" spans="1:30" x14ac:dyDescent="0.2">
      <c r="I10" s="1" t="s">
        <v>554</v>
      </c>
      <c r="V10">
        <f>1.15*0.11</f>
        <v>0.1265</v>
      </c>
      <c r="X10" s="34" t="s">
        <v>268</v>
      </c>
      <c r="AA10" s="60">
        <v>6.1044425444149022</v>
      </c>
      <c r="AB10" s="60">
        <f>AA10+J21</f>
        <v>6.4693268059543323</v>
      </c>
      <c r="AC10" s="60">
        <v>8.077075811907557</v>
      </c>
      <c r="AD10" s="4">
        <f>AC10+J21</f>
        <v>8.4419600734469871</v>
      </c>
    </row>
    <row r="11" spans="1:30" x14ac:dyDescent="0.2">
      <c r="I11" s="18" t="s">
        <v>542</v>
      </c>
      <c r="X11" s="59" t="s">
        <v>269</v>
      </c>
      <c r="Y11" s="59"/>
      <c r="Z11" s="59"/>
      <c r="AA11" s="61"/>
      <c r="AB11" s="61">
        <v>34.204780542832587</v>
      </c>
      <c r="AC11" s="61"/>
      <c r="AD11" s="61">
        <v>21.435151621321666</v>
      </c>
    </row>
    <row r="12" spans="1:30" x14ac:dyDescent="0.2">
      <c r="A12" s="20" t="s">
        <v>540</v>
      </c>
      <c r="B12" s="19" t="s">
        <v>99</v>
      </c>
      <c r="C12" s="19" t="s">
        <v>541</v>
      </c>
      <c r="D12" s="19" t="s">
        <v>104</v>
      </c>
      <c r="E12" s="21" t="s">
        <v>11</v>
      </c>
      <c r="F12" s="18"/>
      <c r="I12" s="18" t="s">
        <v>543</v>
      </c>
      <c r="L12" s="18"/>
      <c r="R12" s="18"/>
      <c r="S12" s="18"/>
    </row>
    <row r="13" spans="1:30" x14ac:dyDescent="0.2">
      <c r="A13" s="9" t="s">
        <v>141</v>
      </c>
      <c r="B13" s="3" t="s">
        <v>145</v>
      </c>
      <c r="C13" s="3">
        <f>D13*1.15*0.11</f>
        <v>1.0120000000000001E-2</v>
      </c>
      <c r="D13" s="3">
        <v>0.08</v>
      </c>
      <c r="E13" s="10" t="s">
        <v>2</v>
      </c>
      <c r="F13" s="3"/>
      <c r="G13" s="3"/>
      <c r="H13" s="3"/>
      <c r="L13" s="3"/>
      <c r="R13" s="3"/>
      <c r="S13" s="3"/>
    </row>
    <row r="14" spans="1:30" x14ac:dyDescent="0.2">
      <c r="A14" s="9" t="s">
        <v>45</v>
      </c>
      <c r="B14" s="3" t="s">
        <v>145</v>
      </c>
      <c r="C14" s="3">
        <f t="shared" ref="C14:C21" si="0">D14*1.15*0.11</f>
        <v>5.0600000000000003E-3</v>
      </c>
      <c r="D14" s="3">
        <v>0.04</v>
      </c>
      <c r="E14" s="10" t="s">
        <v>2</v>
      </c>
      <c r="F14" s="3"/>
      <c r="G14" s="3"/>
      <c r="H14" s="3"/>
      <c r="I14" s="18" t="s">
        <v>134</v>
      </c>
      <c r="L14" s="3"/>
      <c r="R14" s="3"/>
      <c r="S14" s="3"/>
    </row>
    <row r="15" spans="1:30" x14ac:dyDescent="0.2">
      <c r="A15" s="9" t="s">
        <v>142</v>
      </c>
      <c r="B15" s="3" t="s">
        <v>145</v>
      </c>
      <c r="C15" s="3">
        <f t="shared" si="0"/>
        <v>1.2650000000000001E-3</v>
      </c>
      <c r="D15" s="3">
        <v>0.01</v>
      </c>
      <c r="E15" s="10" t="s">
        <v>2</v>
      </c>
      <c r="F15" s="3"/>
      <c r="G15" s="3"/>
      <c r="H15" s="3"/>
      <c r="L15" s="3"/>
      <c r="R15" s="3"/>
      <c r="S15" s="3"/>
    </row>
    <row r="16" spans="1:30" x14ac:dyDescent="0.2">
      <c r="A16" s="9" t="s">
        <v>46</v>
      </c>
      <c r="B16" s="3" t="s">
        <v>145</v>
      </c>
      <c r="C16" s="3">
        <f t="shared" si="0"/>
        <v>2.5300000000000002E-4</v>
      </c>
      <c r="D16" s="3">
        <v>2E-3</v>
      </c>
      <c r="E16" s="10" t="s">
        <v>2</v>
      </c>
      <c r="F16" s="3"/>
      <c r="G16" s="3"/>
      <c r="H16" s="3"/>
      <c r="L16" s="3"/>
      <c r="R16" s="3"/>
      <c r="S16" s="3"/>
    </row>
    <row r="17" spans="1:41" x14ac:dyDescent="0.2">
      <c r="A17" s="9" t="s">
        <v>47</v>
      </c>
      <c r="B17" s="3" t="s">
        <v>145</v>
      </c>
      <c r="C17" s="3">
        <f t="shared" si="0"/>
        <v>3.1624999999999999E-3</v>
      </c>
      <c r="D17" s="3">
        <v>2.5000000000000001E-2</v>
      </c>
      <c r="E17" s="10" t="s">
        <v>2</v>
      </c>
      <c r="F17" s="3"/>
      <c r="G17" s="3"/>
      <c r="H17" s="3"/>
      <c r="J17" t="s">
        <v>138</v>
      </c>
      <c r="L17" s="3"/>
      <c r="R17" s="3"/>
      <c r="S17" s="3"/>
    </row>
    <row r="18" spans="1:41" x14ac:dyDescent="0.2">
      <c r="A18" s="9" t="s">
        <v>48</v>
      </c>
      <c r="B18" s="3" t="s">
        <v>145</v>
      </c>
      <c r="C18" s="3">
        <f t="shared" si="0"/>
        <v>8.855E-3</v>
      </c>
      <c r="D18" s="3">
        <v>7.0000000000000007E-2</v>
      </c>
      <c r="E18" s="10" t="s">
        <v>2</v>
      </c>
      <c r="F18" s="3"/>
      <c r="G18" s="3"/>
      <c r="H18" s="3"/>
      <c r="J18" t="s">
        <v>103</v>
      </c>
      <c r="K18" t="s">
        <v>140</v>
      </c>
      <c r="L18" s="3"/>
      <c r="M18" t="s">
        <v>117</v>
      </c>
      <c r="N18" t="s">
        <v>139</v>
      </c>
      <c r="O18" t="s">
        <v>114</v>
      </c>
      <c r="P18" t="s">
        <v>115</v>
      </c>
      <c r="Q18" t="s">
        <v>121</v>
      </c>
      <c r="R18" s="3"/>
      <c r="S18" s="3"/>
      <c r="T18" t="s">
        <v>128</v>
      </c>
      <c r="U18" t="s">
        <v>108</v>
      </c>
      <c r="V18" t="s">
        <v>113</v>
      </c>
    </row>
    <row r="19" spans="1:41" x14ac:dyDescent="0.2">
      <c r="A19" s="9" t="s">
        <v>143</v>
      </c>
      <c r="B19" s="3" t="s">
        <v>145</v>
      </c>
      <c r="C19" s="3">
        <f t="shared" si="0"/>
        <v>7.5899999999999995E-3</v>
      </c>
      <c r="D19" s="3">
        <v>0.06</v>
      </c>
      <c r="E19" s="10" t="s">
        <v>2</v>
      </c>
      <c r="F19" s="3"/>
      <c r="G19" s="3"/>
      <c r="H19" s="3"/>
      <c r="I19" t="s">
        <v>133</v>
      </c>
      <c r="J19" s="4">
        <f>SUM(K19:V19)</f>
        <v>6.1044425444149013</v>
      </c>
      <c r="K19" s="4">
        <v>4.63405260217736</v>
      </c>
      <c r="L19" s="3"/>
      <c r="M19" s="4">
        <v>1.0021724036839801</v>
      </c>
      <c r="N19" s="4">
        <v>0.123389053149527</v>
      </c>
      <c r="O19" s="4">
        <v>1.4482691573958635</v>
      </c>
      <c r="P19" s="4">
        <v>0.23487368972228601</v>
      </c>
      <c r="Q19" s="4">
        <v>0.63431890577853911</v>
      </c>
      <c r="R19" s="3"/>
      <c r="S19" s="3"/>
      <c r="T19" s="4">
        <v>2.5769816825968022</v>
      </c>
      <c r="U19" s="4">
        <v>0.52504940940539491</v>
      </c>
      <c r="V19" s="4">
        <v>-5.0746643594948502</v>
      </c>
    </row>
    <row r="20" spans="1:41" x14ac:dyDescent="0.2">
      <c r="A20" s="9" t="s">
        <v>54</v>
      </c>
      <c r="B20" s="3" t="s">
        <v>145</v>
      </c>
      <c r="C20" s="3">
        <f t="shared" si="0"/>
        <v>2.5300000000000001E-3</v>
      </c>
      <c r="D20" s="3">
        <v>0.02</v>
      </c>
      <c r="E20" s="10" t="s">
        <v>2</v>
      </c>
      <c r="F20" s="3"/>
      <c r="G20" s="3"/>
      <c r="H20" s="3"/>
      <c r="I20" t="s">
        <v>135</v>
      </c>
      <c r="J20" s="5"/>
      <c r="L20" s="3"/>
      <c r="M20" s="4"/>
      <c r="R20" s="3"/>
      <c r="S20" s="3"/>
    </row>
    <row r="21" spans="1:41" x14ac:dyDescent="0.2">
      <c r="A21" s="11" t="s">
        <v>144</v>
      </c>
      <c r="B21" s="7" t="s">
        <v>145</v>
      </c>
      <c r="C21" s="7">
        <f t="shared" si="0"/>
        <v>3.7949999999999998E-3</v>
      </c>
      <c r="D21" s="7">
        <v>0.03</v>
      </c>
      <c r="E21" s="12" t="s">
        <v>2</v>
      </c>
      <c r="F21" s="3"/>
      <c r="G21" s="3"/>
      <c r="H21" s="3"/>
      <c r="I21" t="s">
        <v>136</v>
      </c>
      <c r="J21" s="4">
        <f>M7</f>
        <v>0.36488426153943043</v>
      </c>
      <c r="L21" s="3"/>
      <c r="M21" s="4"/>
      <c r="R21" s="3"/>
      <c r="S21" s="3"/>
    </row>
    <row r="22" spans="1:41" x14ac:dyDescent="0.2">
      <c r="G22" s="3"/>
      <c r="H22" s="3"/>
      <c r="I22" t="s">
        <v>137</v>
      </c>
      <c r="J22" s="5"/>
    </row>
    <row r="23" spans="1:41" x14ac:dyDescent="0.2">
      <c r="G23" s="3"/>
      <c r="H23" s="3"/>
    </row>
    <row r="24" spans="1:41" x14ac:dyDescent="0.2">
      <c r="G24" s="3"/>
      <c r="H24" s="3"/>
      <c r="I24" s="179" t="s">
        <v>607</v>
      </c>
      <c r="J24" s="1">
        <f>J19+J21</f>
        <v>6.4693268059543314</v>
      </c>
      <c r="Z24" s="31"/>
    </row>
    <row r="25" spans="1:41" x14ac:dyDescent="0.2">
      <c r="Z25" s="30"/>
    </row>
    <row r="27" spans="1:41" s="7" customFormat="1" x14ac:dyDescent="0.2">
      <c r="A27" s="17" t="s">
        <v>708</v>
      </c>
      <c r="U27" s="151" t="s">
        <v>550</v>
      </c>
      <c r="V27" s="152" t="s">
        <v>551</v>
      </c>
      <c r="W27" s="152" t="s">
        <v>550</v>
      </c>
      <c r="X27" s="152" t="s">
        <v>551</v>
      </c>
      <c r="Y27" s="153" t="s">
        <v>552</v>
      </c>
      <c r="Z27" s="154"/>
      <c r="AA27" s="155"/>
      <c r="AB27" s="17" t="s">
        <v>105</v>
      </c>
      <c r="AC27" s="17"/>
      <c r="AD27" s="32" t="s">
        <v>549</v>
      </c>
      <c r="AE27" s="33"/>
      <c r="AF27" s="33"/>
      <c r="AG27" s="33" t="s">
        <v>548</v>
      </c>
      <c r="AH27" s="33"/>
      <c r="AI27" s="33"/>
      <c r="AJ27" s="33" t="s">
        <v>547</v>
      </c>
      <c r="AK27" s="33"/>
      <c r="AL27" s="33"/>
      <c r="AM27" s="158" t="s">
        <v>553</v>
      </c>
      <c r="AN27" s="154"/>
      <c r="AO27" s="155"/>
    </row>
    <row r="28" spans="1:41" s="49" customFormat="1" ht="15" customHeight="1" x14ac:dyDescent="0.2">
      <c r="A28" s="57" t="s">
        <v>58</v>
      </c>
      <c r="B28" s="55" t="s">
        <v>289</v>
      </c>
      <c r="C28" s="56" t="s">
        <v>100</v>
      </c>
      <c r="D28" s="56" t="s">
        <v>11</v>
      </c>
      <c r="E28" s="63" t="s">
        <v>291</v>
      </c>
      <c r="F28" s="63"/>
      <c r="G28" s="66" t="s">
        <v>292</v>
      </c>
      <c r="H28" s="66" t="s">
        <v>8</v>
      </c>
      <c r="I28" s="66" t="s">
        <v>217</v>
      </c>
      <c r="J28" s="66" t="s">
        <v>11</v>
      </c>
      <c r="K28" s="66" t="s">
        <v>291</v>
      </c>
      <c r="L28" s="63"/>
      <c r="M28" s="67" t="s">
        <v>293</v>
      </c>
      <c r="N28" s="67" t="s">
        <v>8</v>
      </c>
      <c r="O28" s="67" t="s">
        <v>217</v>
      </c>
      <c r="P28" s="67" t="s">
        <v>11</v>
      </c>
      <c r="Q28" s="67" t="s">
        <v>291</v>
      </c>
      <c r="R28" s="63"/>
      <c r="S28" s="63"/>
      <c r="T28" s="79" t="s">
        <v>275</v>
      </c>
      <c r="U28" s="126" t="s">
        <v>530</v>
      </c>
      <c r="V28" s="114" t="s">
        <v>531</v>
      </c>
      <c r="W28" s="114" t="s">
        <v>532</v>
      </c>
      <c r="X28" s="114" t="s">
        <v>533</v>
      </c>
      <c r="Y28" s="114" t="s">
        <v>534</v>
      </c>
      <c r="Z28" s="114" t="s">
        <v>535</v>
      </c>
      <c r="AA28" s="131" t="s">
        <v>536</v>
      </c>
      <c r="AB28" s="22" t="s">
        <v>545</v>
      </c>
      <c r="AC28" s="23" t="s">
        <v>546</v>
      </c>
      <c r="AD28" s="148" t="s">
        <v>31</v>
      </c>
      <c r="AE28" s="149" t="s">
        <v>32</v>
      </c>
      <c r="AF28" s="150" t="s">
        <v>33</v>
      </c>
      <c r="AG28" s="148" t="s">
        <v>31</v>
      </c>
      <c r="AH28" s="149" t="s">
        <v>32</v>
      </c>
      <c r="AI28" s="150" t="s">
        <v>33</v>
      </c>
      <c r="AJ28" s="148" t="s">
        <v>31</v>
      </c>
      <c r="AK28" s="149" t="s">
        <v>32</v>
      </c>
      <c r="AL28" s="149" t="s">
        <v>33</v>
      </c>
      <c r="AM28" s="159"/>
      <c r="AN28" s="156"/>
      <c r="AO28" s="160"/>
    </row>
    <row r="29" spans="1:41" s="8" customFormat="1" ht="15" customHeight="1" x14ac:dyDescent="0.2">
      <c r="A29" s="68" t="s">
        <v>90</v>
      </c>
      <c r="B29" s="53" t="s">
        <v>35</v>
      </c>
      <c r="C29" s="74">
        <v>0.3</v>
      </c>
      <c r="D29" s="51" t="s">
        <v>2</v>
      </c>
      <c r="E29" s="62" t="s">
        <v>296</v>
      </c>
      <c r="F29" s="62"/>
      <c r="G29" s="53" t="s">
        <v>12</v>
      </c>
      <c r="H29" s="51"/>
      <c r="I29" s="69"/>
      <c r="J29" s="51"/>
      <c r="K29" s="51"/>
      <c r="L29" s="62"/>
      <c r="M29" s="53" t="s">
        <v>35</v>
      </c>
      <c r="N29" s="51" t="s">
        <v>7</v>
      </c>
      <c r="O29" s="69">
        <v>2.9700000000000001E-2</v>
      </c>
      <c r="P29" s="51" t="s">
        <v>2</v>
      </c>
      <c r="Q29" s="8" t="s">
        <v>1367</v>
      </c>
      <c r="R29" s="62">
        <v>0</v>
      </c>
      <c r="S29" s="62">
        <v>0</v>
      </c>
      <c r="T29" s="54" t="s">
        <v>524</v>
      </c>
      <c r="U29" s="127">
        <v>0</v>
      </c>
      <c r="V29" s="115">
        <v>1.318367210059499E-10</v>
      </c>
      <c r="W29" s="115">
        <v>0</v>
      </c>
      <c r="X29" s="115">
        <v>1.3016448977650344E-10</v>
      </c>
      <c r="Y29" s="115">
        <v>1.1181204517092254</v>
      </c>
      <c r="Z29" s="115">
        <v>78.957506928451508</v>
      </c>
      <c r="AA29" s="132" t="s">
        <v>538</v>
      </c>
      <c r="AB29" s="27">
        <f>$C$13*I29</f>
        <v>0</v>
      </c>
      <c r="AC29" s="29">
        <f>$C$13*O29</f>
        <v>3.0056400000000002E-4</v>
      </c>
      <c r="AD29" s="135">
        <f>AB29*U29+AC29*W29</f>
        <v>0</v>
      </c>
      <c r="AE29" s="135">
        <f>AB29*V29+AC29*X29</f>
        <v>3.9122759705184981E-14</v>
      </c>
      <c r="AF29" s="24">
        <f>AB29*Y29+AC29*Z29</f>
        <v>2.3731784112443099E-2</v>
      </c>
      <c r="AG29" s="24">
        <f>AB29*U29</f>
        <v>0</v>
      </c>
      <c r="AH29" s="24">
        <f>AB29*V29</f>
        <v>0</v>
      </c>
      <c r="AI29" s="24">
        <f>AB29*Y29</f>
        <v>0</v>
      </c>
      <c r="AJ29" s="24">
        <f>AC29*W29</f>
        <v>0</v>
      </c>
      <c r="AK29" s="24">
        <f>AC29*X29</f>
        <v>3.9122759705184981E-14</v>
      </c>
      <c r="AL29" s="24">
        <f>AC29*Z29</f>
        <v>2.3731784112443099E-2</v>
      </c>
      <c r="AM29" s="161">
        <f>AG29+AJ29</f>
        <v>0</v>
      </c>
      <c r="AN29" s="157">
        <f t="shared" ref="AN29:AO44" si="1">AH29+AK29</f>
        <v>3.9122759705184981E-14</v>
      </c>
      <c r="AO29" s="162">
        <f t="shared" si="1"/>
        <v>2.3731784112443099E-2</v>
      </c>
    </row>
    <row r="30" spans="1:41" s="8" customFormat="1" ht="15" customHeight="1" x14ac:dyDescent="0.2">
      <c r="A30" s="68" t="s">
        <v>90</v>
      </c>
      <c r="B30" s="2" t="s">
        <v>89</v>
      </c>
      <c r="C30" s="74"/>
      <c r="D30" s="51"/>
      <c r="E30" s="62" t="s">
        <v>1064</v>
      </c>
      <c r="F30" s="62"/>
      <c r="G30" s="51" t="s">
        <v>89</v>
      </c>
      <c r="H30" s="51" t="s">
        <v>6</v>
      </c>
      <c r="I30" s="69">
        <v>3.0000000000000001E-6</v>
      </c>
      <c r="J30" s="51" t="s">
        <v>2</v>
      </c>
      <c r="K30" s="51"/>
      <c r="L30" s="62"/>
      <c r="M30" s="51" t="s">
        <v>89</v>
      </c>
      <c r="N30" s="51" t="s">
        <v>7</v>
      </c>
      <c r="O30" s="69">
        <v>3.0000000000000004E-5</v>
      </c>
      <c r="P30" s="51" t="s">
        <v>2</v>
      </c>
      <c r="Q30" s="51" t="s">
        <v>1368</v>
      </c>
      <c r="R30" s="62">
        <v>0</v>
      </c>
      <c r="S30" s="62">
        <v>0</v>
      </c>
      <c r="T30" s="81" t="s">
        <v>98</v>
      </c>
      <c r="U30" s="127">
        <v>3.0023364753950555E-5</v>
      </c>
      <c r="V30" s="129">
        <v>1.2481126126868064E-4</v>
      </c>
      <c r="W30" s="129">
        <v>1.1959264101490567E-5</v>
      </c>
      <c r="X30" s="129">
        <v>4.9716307568620708E-5</v>
      </c>
      <c r="Y30" s="129">
        <v>10.037499181426883</v>
      </c>
      <c r="Z30" s="129">
        <v>119.14199796898779</v>
      </c>
      <c r="AA30" s="133" t="s">
        <v>537</v>
      </c>
      <c r="AB30" s="27">
        <f>$C$13*I30</f>
        <v>3.0360000000000002E-8</v>
      </c>
      <c r="AC30" s="29">
        <f t="shared" ref="AC30:AC31" si="2">$C$13*O30</f>
        <v>3.0360000000000005E-7</v>
      </c>
      <c r="AD30" s="135">
        <f t="shared" ref="AD30:AD48" si="3">AB30*U30+AC30*W30</f>
        <v>4.542341935142476E-12</v>
      </c>
      <c r="AE30" s="135">
        <f t="shared" ref="AE30:AE48" si="4">AB30*V30+AC30*X30</f>
        <v>1.8883140869950394E-11</v>
      </c>
      <c r="AF30" s="24">
        <f t="shared" ref="AF30:AF48" si="5">AB30*Y30+AC30*Z30</f>
        <v>3.6476249058532818E-5</v>
      </c>
      <c r="AG30" s="24">
        <f t="shared" ref="AG30:AG48" si="6">AB30*U30</f>
        <v>9.1150935392993898E-13</v>
      </c>
      <c r="AH30" s="24">
        <f t="shared" ref="AH30:AH48" si="7">AB30*V30</f>
        <v>3.7892698921171441E-12</v>
      </c>
      <c r="AI30" s="24">
        <f t="shared" ref="AI30:AI48" si="8">AB30*Y30</f>
        <v>3.0473847514812016E-7</v>
      </c>
      <c r="AJ30" s="24">
        <f t="shared" ref="AJ30:AJ48" si="9">AC30*W30</f>
        <v>3.6308325812125368E-12</v>
      </c>
      <c r="AK30" s="24">
        <f t="shared" ref="AK30:AK48" si="10">AC30*X30</f>
        <v>1.5093870977833248E-11</v>
      </c>
      <c r="AL30" s="24">
        <f t="shared" ref="AL30:AL48" si="11">AC30*Z30</f>
        <v>3.6171510583384698E-5</v>
      </c>
      <c r="AM30" s="161">
        <f t="shared" ref="AM30:AM48" si="12">AG30+AJ30</f>
        <v>4.542341935142476E-12</v>
      </c>
      <c r="AN30" s="157">
        <f t="shared" si="1"/>
        <v>1.8883140869950394E-11</v>
      </c>
      <c r="AO30" s="162">
        <f t="shared" si="1"/>
        <v>3.6476249058532818E-5</v>
      </c>
    </row>
    <row r="31" spans="1:41" s="8" customFormat="1" ht="15" customHeight="1" x14ac:dyDescent="0.2">
      <c r="A31" s="68" t="s">
        <v>90</v>
      </c>
      <c r="B31" s="53"/>
      <c r="C31" s="74"/>
      <c r="D31" s="51"/>
      <c r="E31" s="62" t="s">
        <v>1370</v>
      </c>
      <c r="F31" s="62"/>
      <c r="G31" s="2" t="s">
        <v>3</v>
      </c>
      <c r="H31" s="51" t="s">
        <v>6</v>
      </c>
      <c r="I31" s="69">
        <v>2.9999999999999999E-7</v>
      </c>
      <c r="J31" s="51" t="s">
        <v>2</v>
      </c>
      <c r="K31" s="51"/>
      <c r="L31" s="62"/>
      <c r="M31" s="51" t="s">
        <v>3</v>
      </c>
      <c r="N31" s="51" t="s">
        <v>7</v>
      </c>
      <c r="O31" s="69">
        <v>3.0000000000000001E-6</v>
      </c>
      <c r="P31" s="51" t="s">
        <v>2</v>
      </c>
      <c r="Q31" s="51" t="s">
        <v>1371</v>
      </c>
      <c r="R31" s="62">
        <v>0</v>
      </c>
      <c r="S31" s="62">
        <v>0</v>
      </c>
      <c r="T31" s="54" t="s">
        <v>28</v>
      </c>
      <c r="U31" s="127">
        <v>2.5208446330720887E-5</v>
      </c>
      <c r="V31" s="115">
        <v>2.6504960021309262E-7</v>
      </c>
      <c r="W31" s="115">
        <v>1.4222228897488039E-7</v>
      </c>
      <c r="X31" s="115">
        <v>3.170874313501273E-7</v>
      </c>
      <c r="Y31" s="115">
        <v>17.989178582912412</v>
      </c>
      <c r="Z31" s="115">
        <v>290.05086067463066</v>
      </c>
      <c r="AA31" s="132" t="s">
        <v>537</v>
      </c>
      <c r="AB31" s="27">
        <f t="shared" ref="AB31" si="13">$C$13*I31</f>
        <v>3.0359999999999999E-9</v>
      </c>
      <c r="AC31" s="29">
        <f t="shared" si="2"/>
        <v>3.0360000000000002E-8</v>
      </c>
      <c r="AD31" s="135">
        <f t="shared" si="3"/>
        <v>8.0850711753345979E-14</v>
      </c>
      <c r="AE31" s="135">
        <f t="shared" si="4"/>
        <v>1.0431465002036814E-14</v>
      </c>
      <c r="AF31" s="24">
        <f t="shared" si="5"/>
        <v>8.8605592762595101E-6</v>
      </c>
      <c r="AG31" s="24">
        <f t="shared" si="6"/>
        <v>7.6532843060068605E-14</v>
      </c>
      <c r="AH31" s="24">
        <f t="shared" si="7"/>
        <v>8.0469058624694914E-16</v>
      </c>
      <c r="AI31" s="24">
        <f t="shared" si="8"/>
        <v>5.4615146177722081E-8</v>
      </c>
      <c r="AJ31" s="24">
        <f t="shared" si="9"/>
        <v>4.3178686932773687E-15</v>
      </c>
      <c r="AK31" s="24">
        <f t="shared" si="10"/>
        <v>9.6267744157898659E-15</v>
      </c>
      <c r="AL31" s="24">
        <f t="shared" si="11"/>
        <v>8.8059441300817874E-6</v>
      </c>
      <c r="AM31" s="161">
        <f t="shared" si="12"/>
        <v>8.0850711753345979E-14</v>
      </c>
      <c r="AN31" s="157">
        <f t="shared" si="1"/>
        <v>1.0431465002036814E-14</v>
      </c>
      <c r="AO31" s="162">
        <f t="shared" si="1"/>
        <v>8.8605592762595101E-6</v>
      </c>
    </row>
    <row r="32" spans="1:41" s="8" customFormat="1" ht="15" customHeight="1" x14ac:dyDescent="0.2">
      <c r="A32" s="68" t="s">
        <v>59</v>
      </c>
      <c r="B32" s="54" t="s">
        <v>30</v>
      </c>
      <c r="C32" s="51">
        <v>0.1</v>
      </c>
      <c r="D32" s="51" t="s">
        <v>2</v>
      </c>
      <c r="E32" s="62" t="s">
        <v>294</v>
      </c>
      <c r="F32" s="62"/>
      <c r="G32" s="51" t="s">
        <v>12</v>
      </c>
      <c r="H32" s="51"/>
      <c r="I32" s="69"/>
      <c r="J32" s="51"/>
      <c r="K32" s="51"/>
      <c r="L32" s="62"/>
      <c r="M32" s="51" t="s">
        <v>30</v>
      </c>
      <c r="N32" s="51" t="s">
        <v>7</v>
      </c>
      <c r="O32" s="69">
        <v>9.9000000000000008E-3</v>
      </c>
      <c r="P32" s="51" t="s">
        <v>2</v>
      </c>
      <c r="Q32" s="51" t="s">
        <v>1367</v>
      </c>
      <c r="R32" s="62">
        <v>0</v>
      </c>
      <c r="S32" s="62">
        <v>0</v>
      </c>
      <c r="T32" s="80" t="s">
        <v>34</v>
      </c>
      <c r="U32" s="127">
        <v>0</v>
      </c>
      <c r="V32" s="115">
        <v>0</v>
      </c>
      <c r="W32" s="115">
        <v>0</v>
      </c>
      <c r="X32" s="115">
        <v>0</v>
      </c>
      <c r="Y32" s="129">
        <v>7.06</v>
      </c>
      <c r="Z32" s="129">
        <v>78.599999999999994</v>
      </c>
      <c r="AA32" s="132" t="s">
        <v>539</v>
      </c>
      <c r="AB32" s="27">
        <f>$C$14*I32</f>
        <v>0</v>
      </c>
      <c r="AC32" s="29">
        <f>$C$14*O32</f>
        <v>5.0094000000000005E-5</v>
      </c>
      <c r="AD32" s="135">
        <f t="shared" si="3"/>
        <v>0</v>
      </c>
      <c r="AE32" s="135">
        <f t="shared" si="4"/>
        <v>0</v>
      </c>
      <c r="AF32" s="24">
        <f t="shared" si="5"/>
        <v>3.9373884000000001E-3</v>
      </c>
      <c r="AG32" s="24">
        <f t="shared" si="6"/>
        <v>0</v>
      </c>
      <c r="AH32" s="24">
        <f t="shared" si="7"/>
        <v>0</v>
      </c>
      <c r="AI32" s="24">
        <f t="shared" si="8"/>
        <v>0</v>
      </c>
      <c r="AJ32" s="24">
        <f t="shared" si="9"/>
        <v>0</v>
      </c>
      <c r="AK32" s="24">
        <f t="shared" si="10"/>
        <v>0</v>
      </c>
      <c r="AL32" s="24">
        <f t="shared" si="11"/>
        <v>3.9373884000000001E-3</v>
      </c>
      <c r="AM32" s="161">
        <f t="shared" si="12"/>
        <v>0</v>
      </c>
      <c r="AN32" s="157">
        <f t="shared" si="1"/>
        <v>0</v>
      </c>
      <c r="AO32" s="162">
        <f t="shared" si="1"/>
        <v>3.9373884000000001E-3</v>
      </c>
    </row>
    <row r="33" spans="1:41" s="8" customFormat="1" ht="15" customHeight="1" x14ac:dyDescent="0.2">
      <c r="A33" s="68" t="s">
        <v>59</v>
      </c>
      <c r="B33" s="54" t="s">
        <v>15</v>
      </c>
      <c r="C33" s="51">
        <v>0.25</v>
      </c>
      <c r="D33" s="51" t="s">
        <v>2</v>
      </c>
      <c r="E33" s="62" t="s">
        <v>294</v>
      </c>
      <c r="F33" s="62"/>
      <c r="G33" s="51" t="s">
        <v>12</v>
      </c>
      <c r="H33" s="51"/>
      <c r="I33" s="69"/>
      <c r="J33" s="51"/>
      <c r="K33" s="51"/>
      <c r="L33" s="62"/>
      <c r="M33" s="51" t="s">
        <v>15</v>
      </c>
      <c r="N33" s="51" t="s">
        <v>7</v>
      </c>
      <c r="O33" s="69">
        <v>2.5000000000000001E-2</v>
      </c>
      <c r="P33" s="51" t="s">
        <v>2</v>
      </c>
      <c r="Q33" s="51">
        <v>0</v>
      </c>
      <c r="R33" s="62">
        <v>0</v>
      </c>
      <c r="S33" s="62">
        <v>0</v>
      </c>
      <c r="T33" s="54" t="s">
        <v>13</v>
      </c>
      <c r="U33" s="127">
        <v>0</v>
      </c>
      <c r="V33" s="115">
        <v>1.2009414857886904E-7</v>
      </c>
      <c r="W33" s="115">
        <v>0</v>
      </c>
      <c r="X33" s="115">
        <v>3.2843909509658706E-7</v>
      </c>
      <c r="Y33" s="115">
        <v>14.526941022240393</v>
      </c>
      <c r="Z33" s="115">
        <v>111.251141519207</v>
      </c>
      <c r="AA33" s="132" t="s">
        <v>538</v>
      </c>
      <c r="AB33" s="27">
        <f t="shared" ref="AB33:AB37" si="14">$C$14*I33</f>
        <v>0</v>
      </c>
      <c r="AC33" s="29">
        <f t="shared" ref="AC33:AC37" si="15">$C$14*O33</f>
        <v>1.2650000000000001E-4</v>
      </c>
      <c r="AD33" s="135">
        <f t="shared" si="3"/>
        <v>0</v>
      </c>
      <c r="AE33" s="135">
        <f t="shared" si="4"/>
        <v>4.1547545529718269E-11</v>
      </c>
      <c r="AF33" s="24">
        <f t="shared" si="5"/>
        <v>1.4073269402179686E-2</v>
      </c>
      <c r="AG33" s="24">
        <f t="shared" si="6"/>
        <v>0</v>
      </c>
      <c r="AH33" s="24">
        <f t="shared" si="7"/>
        <v>0</v>
      </c>
      <c r="AI33" s="24">
        <f t="shared" si="8"/>
        <v>0</v>
      </c>
      <c r="AJ33" s="24">
        <f t="shared" si="9"/>
        <v>0</v>
      </c>
      <c r="AK33" s="24">
        <f t="shared" si="10"/>
        <v>4.1547545529718269E-11</v>
      </c>
      <c r="AL33" s="24">
        <f t="shared" si="11"/>
        <v>1.4073269402179686E-2</v>
      </c>
      <c r="AM33" s="161">
        <f t="shared" si="12"/>
        <v>0</v>
      </c>
      <c r="AN33" s="157">
        <f t="shared" si="1"/>
        <v>4.1547545529718269E-11</v>
      </c>
      <c r="AO33" s="162">
        <f t="shared" si="1"/>
        <v>1.4073269402179686E-2</v>
      </c>
    </row>
    <row r="34" spans="1:41" s="8" customFormat="1" ht="15" customHeight="1" x14ac:dyDescent="0.2">
      <c r="A34" s="68" t="s">
        <v>59</v>
      </c>
      <c r="B34" s="54" t="s">
        <v>16</v>
      </c>
      <c r="C34" s="51">
        <v>0.1</v>
      </c>
      <c r="D34" s="51" t="s">
        <v>2</v>
      </c>
      <c r="E34" s="62" t="s">
        <v>294</v>
      </c>
      <c r="F34" s="62"/>
      <c r="G34" s="51" t="s">
        <v>12</v>
      </c>
      <c r="H34" s="51"/>
      <c r="I34" s="69"/>
      <c r="J34" s="51"/>
      <c r="K34" s="51"/>
      <c r="L34" s="62"/>
      <c r="M34" s="51" t="s">
        <v>69</v>
      </c>
      <c r="N34" s="51" t="s">
        <v>7</v>
      </c>
      <c r="O34" s="69">
        <v>1.0000000000000002E-2</v>
      </c>
      <c r="P34" s="51" t="s">
        <v>2</v>
      </c>
      <c r="Q34" s="51">
        <v>0</v>
      </c>
      <c r="R34" s="62">
        <v>0</v>
      </c>
      <c r="S34" s="62">
        <v>0</v>
      </c>
      <c r="T34" s="54" t="s">
        <v>17</v>
      </c>
      <c r="U34" s="127">
        <v>0</v>
      </c>
      <c r="V34" s="115">
        <v>0</v>
      </c>
      <c r="W34" s="115">
        <v>0</v>
      </c>
      <c r="X34" s="115">
        <v>0</v>
      </c>
      <c r="Y34" s="115">
        <v>47</v>
      </c>
      <c r="Z34" s="115">
        <v>913</v>
      </c>
      <c r="AA34" s="132" t="s">
        <v>539</v>
      </c>
      <c r="AB34" s="27">
        <f t="shared" si="14"/>
        <v>0</v>
      </c>
      <c r="AC34" s="29">
        <f t="shared" si="15"/>
        <v>5.060000000000001E-5</v>
      </c>
      <c r="AD34" s="135">
        <f t="shared" si="3"/>
        <v>0</v>
      </c>
      <c r="AE34" s="135">
        <f t="shared" si="4"/>
        <v>0</v>
      </c>
      <c r="AF34" s="24">
        <f t="shared" si="5"/>
        <v>4.6197800000000011E-2</v>
      </c>
      <c r="AG34" s="24">
        <f t="shared" si="6"/>
        <v>0</v>
      </c>
      <c r="AH34" s="24">
        <f t="shared" si="7"/>
        <v>0</v>
      </c>
      <c r="AI34" s="24">
        <f t="shared" si="8"/>
        <v>0</v>
      </c>
      <c r="AJ34" s="24">
        <f t="shared" si="9"/>
        <v>0</v>
      </c>
      <c r="AK34" s="24">
        <f t="shared" si="10"/>
        <v>0</v>
      </c>
      <c r="AL34" s="24">
        <f t="shared" si="11"/>
        <v>4.6197800000000011E-2</v>
      </c>
      <c r="AM34" s="161">
        <f t="shared" si="12"/>
        <v>0</v>
      </c>
      <c r="AN34" s="157">
        <f t="shared" si="1"/>
        <v>0</v>
      </c>
      <c r="AO34" s="162">
        <f t="shared" si="1"/>
        <v>4.6197800000000011E-2</v>
      </c>
    </row>
    <row r="35" spans="1:41" s="8" customFormat="1" ht="15" customHeight="1" x14ac:dyDescent="0.2">
      <c r="A35" s="68" t="s">
        <v>59</v>
      </c>
      <c r="B35" s="54" t="s">
        <v>18</v>
      </c>
      <c r="C35" s="51">
        <v>0.05</v>
      </c>
      <c r="D35" s="51" t="s">
        <v>2</v>
      </c>
      <c r="E35" s="62" t="s">
        <v>294</v>
      </c>
      <c r="F35" s="62"/>
      <c r="G35" s="51" t="s">
        <v>12</v>
      </c>
      <c r="H35" s="51"/>
      <c r="I35" s="69"/>
      <c r="J35" s="51"/>
      <c r="K35" s="51"/>
      <c r="L35" s="62"/>
      <c r="M35" s="51" t="s">
        <v>18</v>
      </c>
      <c r="N35" s="51" t="s">
        <v>7</v>
      </c>
      <c r="O35" s="69">
        <v>5.000000000000001E-3</v>
      </c>
      <c r="P35" s="51" t="s">
        <v>2</v>
      </c>
      <c r="Q35" s="51">
        <v>0</v>
      </c>
      <c r="R35" s="62">
        <v>0</v>
      </c>
      <c r="S35" s="62">
        <v>0</v>
      </c>
      <c r="T35" s="54" t="s">
        <v>14</v>
      </c>
      <c r="U35" s="127">
        <v>0</v>
      </c>
      <c r="V35" s="115">
        <v>0</v>
      </c>
      <c r="W35" s="115">
        <v>0</v>
      </c>
      <c r="X35" s="115">
        <v>0</v>
      </c>
      <c r="Y35" s="115">
        <v>109.72</v>
      </c>
      <c r="Z35" s="115">
        <v>110</v>
      </c>
      <c r="AA35" s="132" t="s">
        <v>539</v>
      </c>
      <c r="AB35" s="27">
        <f t="shared" si="14"/>
        <v>0</v>
      </c>
      <c r="AC35" s="29">
        <f t="shared" si="15"/>
        <v>2.5300000000000005E-5</v>
      </c>
      <c r="AD35" s="135">
        <f t="shared" si="3"/>
        <v>0</v>
      </c>
      <c r="AE35" s="135">
        <f t="shared" si="4"/>
        <v>0</v>
      </c>
      <c r="AF35" s="24">
        <f t="shared" si="5"/>
        <v>2.7830000000000008E-3</v>
      </c>
      <c r="AG35" s="24">
        <f t="shared" si="6"/>
        <v>0</v>
      </c>
      <c r="AH35" s="24">
        <f t="shared" si="7"/>
        <v>0</v>
      </c>
      <c r="AI35" s="24">
        <f t="shared" si="8"/>
        <v>0</v>
      </c>
      <c r="AJ35" s="24">
        <f t="shared" si="9"/>
        <v>0</v>
      </c>
      <c r="AK35" s="24">
        <f t="shared" si="10"/>
        <v>0</v>
      </c>
      <c r="AL35" s="24">
        <f t="shared" si="11"/>
        <v>2.7830000000000008E-3</v>
      </c>
      <c r="AM35" s="161">
        <f t="shared" si="12"/>
        <v>0</v>
      </c>
      <c r="AN35" s="157">
        <f t="shared" si="1"/>
        <v>0</v>
      </c>
      <c r="AO35" s="162">
        <f t="shared" si="1"/>
        <v>2.7830000000000008E-3</v>
      </c>
    </row>
    <row r="36" spans="1:41" s="8" customFormat="1" ht="15" customHeight="1" x14ac:dyDescent="0.2">
      <c r="A36" s="68" t="s">
        <v>59</v>
      </c>
      <c r="B36" s="50" t="s">
        <v>39</v>
      </c>
      <c r="C36" s="51"/>
      <c r="D36" s="51"/>
      <c r="E36" s="62" t="s">
        <v>1369</v>
      </c>
      <c r="F36" s="62"/>
      <c r="G36" s="51" t="s">
        <v>39</v>
      </c>
      <c r="H36" s="51" t="s">
        <v>6</v>
      </c>
      <c r="I36" s="69">
        <v>1.0000000000000001E-7</v>
      </c>
      <c r="J36" s="51" t="s">
        <v>2</v>
      </c>
      <c r="K36" s="54"/>
      <c r="L36" s="62"/>
      <c r="M36" s="51" t="s">
        <v>39</v>
      </c>
      <c r="N36" s="51" t="s">
        <v>7</v>
      </c>
      <c r="O36" s="69">
        <v>1.0000000000000001E-5</v>
      </c>
      <c r="P36" s="51" t="s">
        <v>2</v>
      </c>
      <c r="Q36" s="54" t="s">
        <v>295</v>
      </c>
      <c r="R36" s="62">
        <v>0</v>
      </c>
      <c r="S36" s="62">
        <v>0</v>
      </c>
      <c r="T36" s="54" t="s">
        <v>60</v>
      </c>
      <c r="U36" s="127">
        <v>1.0252176328593382E-6</v>
      </c>
      <c r="V36" s="115">
        <v>0</v>
      </c>
      <c r="W36" s="115">
        <v>8.6533271568247147E-7</v>
      </c>
      <c r="X36" s="115">
        <v>0</v>
      </c>
      <c r="Y36" s="115">
        <v>0.65406517859613422</v>
      </c>
      <c r="Z36" s="115">
        <v>11.248588270889815</v>
      </c>
      <c r="AA36" s="132" t="s">
        <v>537</v>
      </c>
      <c r="AB36" s="27">
        <f t="shared" si="14"/>
        <v>5.0600000000000011E-10</v>
      </c>
      <c r="AC36" s="29">
        <f t="shared" si="15"/>
        <v>5.060000000000001E-8</v>
      </c>
      <c r="AD36" s="135">
        <f t="shared" si="3"/>
        <v>4.4304595535759892E-14</v>
      </c>
      <c r="AE36" s="135">
        <f t="shared" si="4"/>
        <v>0</v>
      </c>
      <c r="AF36" s="24">
        <f t="shared" si="5"/>
        <v>5.6950952348739444E-7</v>
      </c>
      <c r="AG36" s="24">
        <f t="shared" si="6"/>
        <v>5.1876012222682521E-16</v>
      </c>
      <c r="AH36" s="24">
        <f t="shared" si="7"/>
        <v>0</v>
      </c>
      <c r="AI36" s="24">
        <f t="shared" si="8"/>
        <v>3.3095698036964401E-10</v>
      </c>
      <c r="AJ36" s="24">
        <f t="shared" si="9"/>
        <v>4.3785835413533067E-14</v>
      </c>
      <c r="AK36" s="24">
        <f t="shared" si="10"/>
        <v>0</v>
      </c>
      <c r="AL36" s="24">
        <f t="shared" si="11"/>
        <v>5.6917856650702477E-7</v>
      </c>
      <c r="AM36" s="161">
        <f t="shared" si="12"/>
        <v>4.4304595535759892E-14</v>
      </c>
      <c r="AN36" s="157">
        <f t="shared" si="1"/>
        <v>0</v>
      </c>
      <c r="AO36" s="162">
        <f t="shared" si="1"/>
        <v>5.6950952348739444E-7</v>
      </c>
    </row>
    <row r="37" spans="1:41" s="8" customFormat="1" ht="15" customHeight="1" x14ac:dyDescent="0.2">
      <c r="A37" s="68" t="s">
        <v>59</v>
      </c>
      <c r="B37" s="54" t="s">
        <v>87</v>
      </c>
      <c r="C37" s="51"/>
      <c r="D37" s="51"/>
      <c r="E37" s="62" t="s">
        <v>1370</v>
      </c>
      <c r="F37" s="62"/>
      <c r="G37" s="51" t="s">
        <v>3</v>
      </c>
      <c r="H37" s="51" t="s">
        <v>6</v>
      </c>
      <c r="I37" s="69">
        <v>1.0000000000000001E-7</v>
      </c>
      <c r="J37" s="51" t="s">
        <v>2</v>
      </c>
      <c r="K37" s="51"/>
      <c r="L37" s="62"/>
      <c r="M37" s="51" t="s">
        <v>3</v>
      </c>
      <c r="N37" s="51" t="s">
        <v>7</v>
      </c>
      <c r="O37" s="69">
        <v>1.0000000000000002E-6</v>
      </c>
      <c r="P37" s="51" t="s">
        <v>2</v>
      </c>
      <c r="Q37" s="51" t="s">
        <v>1371</v>
      </c>
      <c r="R37" s="62">
        <v>0</v>
      </c>
      <c r="S37" s="62">
        <v>0</v>
      </c>
      <c r="T37" s="54" t="s">
        <v>28</v>
      </c>
      <c r="U37" s="127">
        <v>2.5208446330720887E-5</v>
      </c>
      <c r="V37" s="115">
        <v>2.6504960021309262E-7</v>
      </c>
      <c r="W37" s="115">
        <v>1.4222228897488039E-7</v>
      </c>
      <c r="X37" s="115">
        <v>3.170874313501273E-7</v>
      </c>
      <c r="Y37" s="115">
        <v>17.989178582912412</v>
      </c>
      <c r="Z37" s="115">
        <v>290.05086067463066</v>
      </c>
      <c r="AA37" s="132" t="s">
        <v>537</v>
      </c>
      <c r="AB37" s="27">
        <f t="shared" si="14"/>
        <v>5.0600000000000011E-10</v>
      </c>
      <c r="AC37" s="29">
        <f t="shared" si="15"/>
        <v>5.0600000000000011E-9</v>
      </c>
      <c r="AD37" s="135">
        <f t="shared" si="3"/>
        <v>1.3475118625557667E-14</v>
      </c>
      <c r="AE37" s="135">
        <f t="shared" si="4"/>
        <v>1.7385775003394693E-15</v>
      </c>
      <c r="AF37" s="24">
        <f t="shared" si="5"/>
        <v>1.4767598793765852E-6</v>
      </c>
      <c r="AG37" s="24">
        <f t="shared" si="6"/>
        <v>1.2755473843344772E-14</v>
      </c>
      <c r="AH37" s="24">
        <f t="shared" si="7"/>
        <v>1.3411509770782491E-16</v>
      </c>
      <c r="AI37" s="24">
        <f t="shared" si="8"/>
        <v>9.1025243629536834E-9</v>
      </c>
      <c r="AJ37" s="24">
        <f t="shared" si="9"/>
        <v>7.1964478221289498E-16</v>
      </c>
      <c r="AK37" s="24">
        <f t="shared" si="10"/>
        <v>1.6044624026316445E-15</v>
      </c>
      <c r="AL37" s="24">
        <f t="shared" si="11"/>
        <v>1.4676573550136314E-6</v>
      </c>
      <c r="AM37" s="161">
        <f t="shared" si="12"/>
        <v>1.3475118625557667E-14</v>
      </c>
      <c r="AN37" s="157">
        <f t="shared" si="1"/>
        <v>1.7385775003394693E-15</v>
      </c>
      <c r="AO37" s="162">
        <f t="shared" si="1"/>
        <v>1.4767598793765852E-6</v>
      </c>
    </row>
    <row r="38" spans="1:41" s="8" customFormat="1" ht="15" customHeight="1" x14ac:dyDescent="0.2">
      <c r="A38" s="73" t="s">
        <v>429</v>
      </c>
      <c r="B38" s="54" t="s">
        <v>0</v>
      </c>
      <c r="C38" s="74">
        <v>1</v>
      </c>
      <c r="D38" s="51" t="s">
        <v>2</v>
      </c>
      <c r="E38" s="64">
        <v>1</v>
      </c>
      <c r="F38" s="64"/>
      <c r="G38" s="54" t="s">
        <v>0</v>
      </c>
      <c r="H38" s="51" t="s">
        <v>6</v>
      </c>
      <c r="I38" s="69">
        <v>1E-3</v>
      </c>
      <c r="J38" s="51" t="s">
        <v>2</v>
      </c>
      <c r="K38" s="51"/>
      <c r="L38" s="64"/>
      <c r="M38" s="51" t="s">
        <v>0</v>
      </c>
      <c r="N38" s="51" t="s">
        <v>7</v>
      </c>
      <c r="O38" s="69">
        <v>0.1</v>
      </c>
      <c r="P38" s="51" t="s">
        <v>2</v>
      </c>
      <c r="Q38" s="51">
        <v>0</v>
      </c>
      <c r="R38" s="64">
        <v>0</v>
      </c>
      <c r="S38" s="64">
        <v>0</v>
      </c>
      <c r="T38" s="54" t="s">
        <v>21</v>
      </c>
      <c r="U38" s="127">
        <v>0</v>
      </c>
      <c r="V38" s="115">
        <v>0</v>
      </c>
      <c r="W38" s="115">
        <v>0</v>
      </c>
      <c r="X38" s="115">
        <v>0</v>
      </c>
      <c r="Y38" s="115">
        <v>2.8072892978694037</v>
      </c>
      <c r="Z38" s="115">
        <v>44.680467206809801</v>
      </c>
      <c r="AA38" s="132" t="s">
        <v>537</v>
      </c>
      <c r="AB38" s="27">
        <f>$C$15*I38</f>
        <v>1.2650000000000002E-6</v>
      </c>
      <c r="AC38" s="29">
        <f>$C$15*O38</f>
        <v>1.2650000000000001E-4</v>
      </c>
      <c r="AD38" s="135">
        <f t="shared" si="3"/>
        <v>0</v>
      </c>
      <c r="AE38" s="135">
        <f t="shared" si="4"/>
        <v>0</v>
      </c>
      <c r="AF38" s="24">
        <f t="shared" si="5"/>
        <v>5.655630322623245E-3</v>
      </c>
      <c r="AG38" s="24">
        <f t="shared" si="6"/>
        <v>0</v>
      </c>
      <c r="AH38" s="24">
        <f t="shared" si="7"/>
        <v>0</v>
      </c>
      <c r="AI38" s="24">
        <f t="shared" si="8"/>
        <v>3.5512209618047962E-6</v>
      </c>
      <c r="AJ38" s="24">
        <f t="shared" si="9"/>
        <v>0</v>
      </c>
      <c r="AK38" s="24">
        <f t="shared" si="10"/>
        <v>0</v>
      </c>
      <c r="AL38" s="24">
        <f t="shared" si="11"/>
        <v>5.6520791016614405E-3</v>
      </c>
      <c r="AM38" s="161">
        <f t="shared" si="12"/>
        <v>0</v>
      </c>
      <c r="AN38" s="157">
        <f t="shared" si="1"/>
        <v>0</v>
      </c>
      <c r="AO38" s="162">
        <f t="shared" si="1"/>
        <v>5.655630322623245E-3</v>
      </c>
    </row>
    <row r="39" spans="1:41" s="8" customFormat="1" ht="15" customHeight="1" x14ac:dyDescent="0.2">
      <c r="A39" s="70" t="s">
        <v>64</v>
      </c>
      <c r="B39" s="53" t="s">
        <v>30</v>
      </c>
      <c r="C39" s="71">
        <v>0.1</v>
      </c>
      <c r="D39" s="51" t="s">
        <v>2</v>
      </c>
      <c r="E39" s="62" t="s">
        <v>296</v>
      </c>
      <c r="F39" s="62"/>
      <c r="G39" s="8" t="s">
        <v>12</v>
      </c>
      <c r="H39" s="51"/>
      <c r="I39" s="69"/>
      <c r="J39" s="51"/>
      <c r="K39" s="51"/>
      <c r="L39" s="62"/>
      <c r="M39" s="51" t="s">
        <v>30</v>
      </c>
      <c r="N39" s="51" t="s">
        <v>7</v>
      </c>
      <c r="O39" s="69">
        <v>1.0000000000000002E-2</v>
      </c>
      <c r="P39" s="51" t="s">
        <v>2</v>
      </c>
      <c r="Q39" s="51">
        <v>0</v>
      </c>
      <c r="R39" s="62">
        <v>0</v>
      </c>
      <c r="S39" s="62">
        <v>0</v>
      </c>
      <c r="T39" s="80" t="s">
        <v>34</v>
      </c>
      <c r="U39" s="127">
        <v>0</v>
      </c>
      <c r="V39" s="115">
        <v>0</v>
      </c>
      <c r="W39" s="115">
        <v>0</v>
      </c>
      <c r="X39" s="115">
        <v>0</v>
      </c>
      <c r="Y39" s="129">
        <v>7.06</v>
      </c>
      <c r="Z39" s="129">
        <v>78.599999999999994</v>
      </c>
      <c r="AA39" s="132" t="s">
        <v>539</v>
      </c>
      <c r="AB39" s="27">
        <f>$C$16*I39</f>
        <v>0</v>
      </c>
      <c r="AC39" s="29">
        <f>$C$16*O39</f>
        <v>2.5300000000000008E-6</v>
      </c>
      <c r="AD39" s="135">
        <f t="shared" si="3"/>
        <v>0</v>
      </c>
      <c r="AE39" s="135">
        <f t="shared" si="4"/>
        <v>0</v>
      </c>
      <c r="AF39" s="24">
        <f t="shared" si="5"/>
        <v>1.9885800000000005E-4</v>
      </c>
      <c r="AG39" s="24">
        <f t="shared" si="6"/>
        <v>0</v>
      </c>
      <c r="AH39" s="24">
        <f t="shared" si="7"/>
        <v>0</v>
      </c>
      <c r="AI39" s="24">
        <f t="shared" si="8"/>
        <v>0</v>
      </c>
      <c r="AJ39" s="24">
        <f t="shared" si="9"/>
        <v>0</v>
      </c>
      <c r="AK39" s="24">
        <f t="shared" si="10"/>
        <v>0</v>
      </c>
      <c r="AL39" s="24">
        <f t="shared" si="11"/>
        <v>1.9885800000000005E-4</v>
      </c>
      <c r="AM39" s="161">
        <f t="shared" si="12"/>
        <v>0</v>
      </c>
      <c r="AN39" s="157">
        <f t="shared" si="1"/>
        <v>0</v>
      </c>
      <c r="AO39" s="162">
        <f t="shared" si="1"/>
        <v>1.9885800000000005E-4</v>
      </c>
    </row>
    <row r="40" spans="1:41" s="8" customFormat="1" ht="15" customHeight="1" x14ac:dyDescent="0.2">
      <c r="A40" s="70" t="s">
        <v>64</v>
      </c>
      <c r="B40" s="53" t="s">
        <v>19</v>
      </c>
      <c r="C40" s="71">
        <v>0.1</v>
      </c>
      <c r="D40" s="51" t="s">
        <v>2</v>
      </c>
      <c r="E40" s="62" t="s">
        <v>296</v>
      </c>
      <c r="F40" s="62"/>
      <c r="G40" s="8" t="s">
        <v>12</v>
      </c>
      <c r="H40" s="51"/>
      <c r="I40" s="69"/>
      <c r="J40" s="51"/>
      <c r="K40" s="51"/>
      <c r="L40" s="62"/>
      <c r="M40" s="51" t="s">
        <v>65</v>
      </c>
      <c r="N40" s="51" t="s">
        <v>7</v>
      </c>
      <c r="O40" s="69">
        <v>1.0000000000000002E-2</v>
      </c>
      <c r="P40" s="51" t="s">
        <v>2</v>
      </c>
      <c r="Q40" s="51">
        <v>0</v>
      </c>
      <c r="R40" s="62">
        <v>0</v>
      </c>
      <c r="S40" s="62">
        <v>0</v>
      </c>
      <c r="T40" s="54" t="s">
        <v>20</v>
      </c>
      <c r="U40" s="127">
        <v>0</v>
      </c>
      <c r="V40" s="115">
        <v>2.5624272316803493E-8</v>
      </c>
      <c r="W40" s="115">
        <v>0</v>
      </c>
      <c r="X40" s="115">
        <v>6.1179997974786175E-9</v>
      </c>
      <c r="Y40" s="115">
        <v>95.727827940780713</v>
      </c>
      <c r="Z40" s="115">
        <v>451.93033608164546</v>
      </c>
      <c r="AA40" s="132" t="s">
        <v>538</v>
      </c>
      <c r="AB40" s="27">
        <f t="shared" ref="AB40:AB42" si="16">$C$16*I40</f>
        <v>0</v>
      </c>
      <c r="AC40" s="29">
        <f t="shared" ref="AC40:AC42" si="17">$C$16*O40</f>
        <v>2.5300000000000008E-6</v>
      </c>
      <c r="AD40" s="135">
        <f t="shared" si="3"/>
        <v>0</v>
      </c>
      <c r="AE40" s="135">
        <f t="shared" si="4"/>
        <v>1.5478539487620906E-14</v>
      </c>
      <c r="AF40" s="24">
        <f t="shared" si="5"/>
        <v>1.1433837502865633E-3</v>
      </c>
      <c r="AG40" s="24">
        <f t="shared" si="6"/>
        <v>0</v>
      </c>
      <c r="AH40" s="24">
        <f t="shared" si="7"/>
        <v>0</v>
      </c>
      <c r="AI40" s="24">
        <f t="shared" si="8"/>
        <v>0</v>
      </c>
      <c r="AJ40" s="24">
        <f t="shared" si="9"/>
        <v>0</v>
      </c>
      <c r="AK40" s="24">
        <f t="shared" si="10"/>
        <v>1.5478539487620906E-14</v>
      </c>
      <c r="AL40" s="24">
        <f t="shared" si="11"/>
        <v>1.1433837502865633E-3</v>
      </c>
      <c r="AM40" s="161">
        <f t="shared" si="12"/>
        <v>0</v>
      </c>
      <c r="AN40" s="157">
        <f t="shared" si="1"/>
        <v>1.5478539487620906E-14</v>
      </c>
      <c r="AO40" s="162">
        <f t="shared" si="1"/>
        <v>1.1433837502865633E-3</v>
      </c>
    </row>
    <row r="41" spans="1:41" s="8" customFormat="1" ht="15" customHeight="1" x14ac:dyDescent="0.2">
      <c r="A41" s="70" t="s">
        <v>64</v>
      </c>
      <c r="B41" s="53" t="s">
        <v>40</v>
      </c>
      <c r="C41" s="72">
        <v>5.0000000000000001E-3</v>
      </c>
      <c r="D41" s="51" t="s">
        <v>2</v>
      </c>
      <c r="E41" s="62" t="s">
        <v>296</v>
      </c>
      <c r="F41" s="62"/>
      <c r="G41" s="8" t="s">
        <v>12</v>
      </c>
      <c r="H41" s="51"/>
      <c r="I41" s="69"/>
      <c r="J41" s="51"/>
      <c r="K41" s="51" t="s">
        <v>297</v>
      </c>
      <c r="L41" s="62"/>
      <c r="M41" s="51" t="s">
        <v>40</v>
      </c>
      <c r="N41" s="51" t="s">
        <v>7</v>
      </c>
      <c r="O41" s="69">
        <v>5.0000000000000001E-4</v>
      </c>
      <c r="P41" s="51" t="s">
        <v>2</v>
      </c>
      <c r="Q41" s="51">
        <v>0</v>
      </c>
      <c r="R41" s="62">
        <v>0</v>
      </c>
      <c r="S41" s="62">
        <v>0</v>
      </c>
      <c r="T41" s="54" t="s">
        <v>24</v>
      </c>
      <c r="U41" s="127">
        <v>0</v>
      </c>
      <c r="V41" s="115">
        <v>0</v>
      </c>
      <c r="W41" s="115">
        <v>0</v>
      </c>
      <c r="X41" s="115">
        <v>0</v>
      </c>
      <c r="Y41" s="129">
        <v>7.4</v>
      </c>
      <c r="Z41" s="129">
        <v>17.7</v>
      </c>
      <c r="AA41" s="132" t="s">
        <v>539</v>
      </c>
      <c r="AB41" s="27">
        <f t="shared" si="16"/>
        <v>0</v>
      </c>
      <c r="AC41" s="29">
        <f t="shared" si="17"/>
        <v>1.2650000000000003E-7</v>
      </c>
      <c r="AD41" s="135">
        <f t="shared" si="3"/>
        <v>0</v>
      </c>
      <c r="AE41" s="135">
        <f t="shared" si="4"/>
        <v>0</v>
      </c>
      <c r="AF41" s="24">
        <f t="shared" si="5"/>
        <v>2.2390500000000006E-6</v>
      </c>
      <c r="AG41" s="24">
        <f t="shared" si="6"/>
        <v>0</v>
      </c>
      <c r="AH41" s="24">
        <f t="shared" si="7"/>
        <v>0</v>
      </c>
      <c r="AI41" s="24">
        <f t="shared" si="8"/>
        <v>0</v>
      </c>
      <c r="AJ41" s="24">
        <f t="shared" si="9"/>
        <v>0</v>
      </c>
      <c r="AK41" s="24">
        <f t="shared" si="10"/>
        <v>0</v>
      </c>
      <c r="AL41" s="24">
        <f t="shared" si="11"/>
        <v>2.2390500000000006E-6</v>
      </c>
      <c r="AM41" s="161">
        <f t="shared" si="12"/>
        <v>0</v>
      </c>
      <c r="AN41" s="157">
        <f t="shared" si="1"/>
        <v>0</v>
      </c>
      <c r="AO41" s="162">
        <f t="shared" si="1"/>
        <v>2.2390500000000006E-6</v>
      </c>
    </row>
    <row r="42" spans="1:41" s="8" customFormat="1" ht="15" customHeight="1" x14ac:dyDescent="0.2">
      <c r="A42" s="70" t="s">
        <v>64</v>
      </c>
      <c r="B42" s="53" t="s">
        <v>87</v>
      </c>
      <c r="C42" s="72"/>
      <c r="D42" s="51"/>
      <c r="E42" s="62" t="s">
        <v>1370</v>
      </c>
      <c r="F42" s="62"/>
      <c r="G42" s="8" t="s">
        <v>3</v>
      </c>
      <c r="H42" s="51" t="s">
        <v>6</v>
      </c>
      <c r="I42" s="69">
        <v>1.0000000000000001E-7</v>
      </c>
      <c r="J42" s="51" t="s">
        <v>2</v>
      </c>
      <c r="K42" s="51"/>
      <c r="L42" s="62"/>
      <c r="M42" s="51" t="s">
        <v>3</v>
      </c>
      <c r="N42" s="51" t="s">
        <v>7</v>
      </c>
      <c r="O42" s="69">
        <v>1.0000000000000002E-6</v>
      </c>
      <c r="P42" s="51" t="s">
        <v>2</v>
      </c>
      <c r="Q42" s="51" t="s">
        <v>1371</v>
      </c>
      <c r="R42" s="62">
        <v>0</v>
      </c>
      <c r="S42" s="62">
        <v>0</v>
      </c>
      <c r="T42" s="54" t="s">
        <v>28</v>
      </c>
      <c r="U42" s="127">
        <v>2.5208446330720887E-5</v>
      </c>
      <c r="V42" s="115">
        <v>2.6504960021309262E-7</v>
      </c>
      <c r="W42" s="115">
        <v>1.4222228897488039E-7</v>
      </c>
      <c r="X42" s="115">
        <v>3.170874313501273E-7</v>
      </c>
      <c r="Y42" s="115">
        <v>17.989178582912412</v>
      </c>
      <c r="Z42" s="115">
        <v>290.05086067463066</v>
      </c>
      <c r="AA42" s="132" t="s">
        <v>537</v>
      </c>
      <c r="AB42" s="27">
        <f t="shared" si="16"/>
        <v>2.5300000000000006E-11</v>
      </c>
      <c r="AC42" s="29">
        <f t="shared" si="17"/>
        <v>2.5300000000000006E-10</v>
      </c>
      <c r="AD42" s="135">
        <f t="shared" si="3"/>
        <v>6.7375593127788334E-16</v>
      </c>
      <c r="AE42" s="135">
        <f t="shared" si="4"/>
        <v>8.6928875016973471E-17</v>
      </c>
      <c r="AF42" s="24">
        <f t="shared" si="5"/>
        <v>7.3837993968829248E-8</v>
      </c>
      <c r="AG42" s="24">
        <f t="shared" si="6"/>
        <v>6.3777369216723858E-16</v>
      </c>
      <c r="AH42" s="24">
        <f t="shared" si="7"/>
        <v>6.7057548853912445E-18</v>
      </c>
      <c r="AI42" s="24">
        <f t="shared" si="8"/>
        <v>4.5512621814768414E-10</v>
      </c>
      <c r="AJ42" s="24">
        <f t="shared" si="9"/>
        <v>3.5982239110644747E-17</v>
      </c>
      <c r="AK42" s="24">
        <f t="shared" si="10"/>
        <v>8.0223120131582226E-17</v>
      </c>
      <c r="AL42" s="24">
        <f t="shared" si="11"/>
        <v>7.338286775068157E-8</v>
      </c>
      <c r="AM42" s="161">
        <f t="shared" si="12"/>
        <v>6.7375593127788334E-16</v>
      </c>
      <c r="AN42" s="157">
        <f t="shared" si="1"/>
        <v>8.6928875016973471E-17</v>
      </c>
      <c r="AO42" s="162">
        <f t="shared" si="1"/>
        <v>7.3837993968829248E-8</v>
      </c>
    </row>
    <row r="43" spans="1:41" s="8" customFormat="1" ht="15" customHeight="1" x14ac:dyDescent="0.2">
      <c r="A43" s="54" t="s">
        <v>47</v>
      </c>
      <c r="B43" s="54" t="s">
        <v>5</v>
      </c>
      <c r="C43" s="74">
        <v>1</v>
      </c>
      <c r="D43" s="51" t="s">
        <v>2</v>
      </c>
      <c r="E43" s="64">
        <v>1</v>
      </c>
      <c r="F43" s="64"/>
      <c r="G43" s="51" t="s">
        <v>12</v>
      </c>
      <c r="H43" s="51"/>
      <c r="I43" s="69"/>
      <c r="J43" s="51"/>
      <c r="K43" s="51" t="s">
        <v>297</v>
      </c>
      <c r="L43" s="64"/>
      <c r="M43" s="51" t="s">
        <v>5</v>
      </c>
      <c r="N43" s="51" t="s">
        <v>7</v>
      </c>
      <c r="O43" s="69">
        <v>0.1</v>
      </c>
      <c r="P43" s="51" t="s">
        <v>2</v>
      </c>
      <c r="Q43" s="51">
        <v>0</v>
      </c>
      <c r="R43" s="64">
        <v>0</v>
      </c>
      <c r="S43" s="64">
        <v>0</v>
      </c>
      <c r="T43" s="54" t="s">
        <v>25</v>
      </c>
      <c r="U43" s="127">
        <v>0</v>
      </c>
      <c r="V43" s="115">
        <v>0</v>
      </c>
      <c r="W43" s="115">
        <v>0</v>
      </c>
      <c r="X43" s="115">
        <v>0</v>
      </c>
      <c r="Y43" s="115">
        <v>164.24</v>
      </c>
      <c r="Z43" s="115">
        <v>400.09</v>
      </c>
      <c r="AA43" s="132" t="s">
        <v>539</v>
      </c>
      <c r="AB43" s="27">
        <f>$C$17*I43</f>
        <v>0</v>
      </c>
      <c r="AC43" s="29">
        <f>$C$17*O43</f>
        <v>3.1625000000000002E-4</v>
      </c>
      <c r="AD43" s="135">
        <f t="shared" si="3"/>
        <v>0</v>
      </c>
      <c r="AE43" s="135">
        <f t="shared" si="4"/>
        <v>0</v>
      </c>
      <c r="AF43" s="24">
        <f t="shared" si="5"/>
        <v>0.12652846249999999</v>
      </c>
      <c r="AG43" s="24">
        <f t="shared" si="6"/>
        <v>0</v>
      </c>
      <c r="AH43" s="24">
        <f t="shared" si="7"/>
        <v>0</v>
      </c>
      <c r="AI43" s="24">
        <f t="shared" si="8"/>
        <v>0</v>
      </c>
      <c r="AJ43" s="24">
        <f t="shared" si="9"/>
        <v>0</v>
      </c>
      <c r="AK43" s="24">
        <f t="shared" si="10"/>
        <v>0</v>
      </c>
      <c r="AL43" s="24">
        <f t="shared" si="11"/>
        <v>0.12652846249999999</v>
      </c>
      <c r="AM43" s="161">
        <f t="shared" si="12"/>
        <v>0</v>
      </c>
      <c r="AN43" s="157">
        <f t="shared" si="1"/>
        <v>0</v>
      </c>
      <c r="AO43" s="162">
        <f t="shared" si="1"/>
        <v>0.12652846249999999</v>
      </c>
    </row>
    <row r="44" spans="1:41" s="8" customFormat="1" ht="15" customHeight="1" x14ac:dyDescent="0.2">
      <c r="A44" s="54" t="s">
        <v>1048</v>
      </c>
      <c r="B44" s="54" t="s">
        <v>1</v>
      </c>
      <c r="C44" s="74">
        <v>1</v>
      </c>
      <c r="D44" s="51" t="s">
        <v>2</v>
      </c>
      <c r="E44" s="64">
        <v>1</v>
      </c>
      <c r="F44" s="64"/>
      <c r="G44" s="51" t="s">
        <v>1</v>
      </c>
      <c r="H44" s="51" t="s">
        <v>6</v>
      </c>
      <c r="I44" s="69">
        <v>1E-3</v>
      </c>
      <c r="J44" s="51" t="s">
        <v>2</v>
      </c>
      <c r="K44" s="51"/>
      <c r="L44" s="64"/>
      <c r="M44" s="51" t="s">
        <v>1</v>
      </c>
      <c r="N44" s="51" t="s">
        <v>7</v>
      </c>
      <c r="O44" s="69">
        <v>1.0000000000000002E-2</v>
      </c>
      <c r="P44" s="8" t="s">
        <v>2</v>
      </c>
      <c r="Q44" s="8" t="s">
        <v>1368</v>
      </c>
      <c r="R44" s="64">
        <v>0</v>
      </c>
      <c r="S44" s="64">
        <v>0</v>
      </c>
      <c r="T44" s="54" t="s">
        <v>23</v>
      </c>
      <c r="U44" s="127">
        <v>0</v>
      </c>
      <c r="V44" s="115">
        <v>0</v>
      </c>
      <c r="W44" s="115">
        <v>0</v>
      </c>
      <c r="X44" s="115">
        <v>0</v>
      </c>
      <c r="Y44" s="117">
        <v>220</v>
      </c>
      <c r="Z44" s="117">
        <v>532</v>
      </c>
      <c r="AA44" s="132" t="s">
        <v>539</v>
      </c>
      <c r="AB44" s="27">
        <f>$C$18*I44</f>
        <v>8.8550000000000008E-6</v>
      </c>
      <c r="AC44" s="29">
        <f>$C$18*O44</f>
        <v>8.8550000000000011E-5</v>
      </c>
      <c r="AD44" s="135">
        <f t="shared" si="3"/>
        <v>0</v>
      </c>
      <c r="AE44" s="135">
        <f t="shared" si="4"/>
        <v>0</v>
      </c>
      <c r="AF44" s="24">
        <f t="shared" si="5"/>
        <v>4.9056700000000009E-2</v>
      </c>
      <c r="AG44" s="24">
        <f t="shared" si="6"/>
        <v>0</v>
      </c>
      <c r="AH44" s="24">
        <f t="shared" si="7"/>
        <v>0</v>
      </c>
      <c r="AI44" s="24">
        <f t="shared" si="8"/>
        <v>1.9481000000000001E-3</v>
      </c>
      <c r="AJ44" s="24">
        <f t="shared" si="9"/>
        <v>0</v>
      </c>
      <c r="AK44" s="24">
        <f t="shared" si="10"/>
        <v>0</v>
      </c>
      <c r="AL44" s="24">
        <f t="shared" si="11"/>
        <v>4.7108600000000007E-2</v>
      </c>
      <c r="AM44" s="161">
        <f t="shared" si="12"/>
        <v>0</v>
      </c>
      <c r="AN44" s="157">
        <f t="shared" si="1"/>
        <v>0</v>
      </c>
      <c r="AO44" s="162">
        <f t="shared" si="1"/>
        <v>4.9056700000000009E-2</v>
      </c>
    </row>
    <row r="45" spans="1:41" s="8" customFormat="1" ht="15" customHeight="1" x14ac:dyDescent="0.2">
      <c r="A45" s="68" t="s">
        <v>10</v>
      </c>
      <c r="B45" s="54" t="s">
        <v>38</v>
      </c>
      <c r="C45" s="74">
        <v>1</v>
      </c>
      <c r="D45" s="51" t="s">
        <v>2</v>
      </c>
      <c r="E45" s="62" t="s">
        <v>298</v>
      </c>
      <c r="F45" s="62"/>
      <c r="G45" s="8" t="s">
        <v>12</v>
      </c>
      <c r="H45" s="51"/>
      <c r="I45" s="69"/>
      <c r="J45" s="51"/>
      <c r="K45" s="51"/>
      <c r="L45" s="62"/>
      <c r="M45" s="51" t="s">
        <v>38</v>
      </c>
      <c r="N45" s="51" t="s">
        <v>7</v>
      </c>
      <c r="O45" s="69">
        <v>5.000000000000001E-3</v>
      </c>
      <c r="P45" s="51" t="s">
        <v>2</v>
      </c>
      <c r="Q45" s="8" t="s">
        <v>562</v>
      </c>
      <c r="R45" s="62">
        <v>0</v>
      </c>
      <c r="S45" s="62">
        <v>0</v>
      </c>
      <c r="T45" s="54" t="s">
        <v>29</v>
      </c>
      <c r="U45" s="127">
        <v>0</v>
      </c>
      <c r="V45" s="115">
        <v>0</v>
      </c>
      <c r="W45" s="115">
        <v>0</v>
      </c>
      <c r="X45" s="115">
        <v>0</v>
      </c>
      <c r="Y45" s="115">
        <v>7.1</v>
      </c>
      <c r="Z45" s="115">
        <v>406.71</v>
      </c>
      <c r="AA45" s="132" t="s">
        <v>539</v>
      </c>
      <c r="AB45" s="27">
        <f>$C$19*I45</f>
        <v>0</v>
      </c>
      <c r="AC45" s="29">
        <f>$C$19*O45</f>
        <v>3.7950000000000008E-5</v>
      </c>
      <c r="AD45" s="135">
        <f t="shared" si="3"/>
        <v>0</v>
      </c>
      <c r="AE45" s="135">
        <f t="shared" si="4"/>
        <v>0</v>
      </c>
      <c r="AF45" s="24">
        <f t="shared" si="5"/>
        <v>1.5434644500000002E-2</v>
      </c>
      <c r="AG45" s="24">
        <f t="shared" si="6"/>
        <v>0</v>
      </c>
      <c r="AH45" s="24">
        <f t="shared" si="7"/>
        <v>0</v>
      </c>
      <c r="AI45" s="24">
        <f t="shared" si="8"/>
        <v>0</v>
      </c>
      <c r="AJ45" s="24">
        <f t="shared" si="9"/>
        <v>0</v>
      </c>
      <c r="AK45" s="24">
        <f t="shared" si="10"/>
        <v>0</v>
      </c>
      <c r="AL45" s="24">
        <f t="shared" si="11"/>
        <v>1.5434644500000002E-2</v>
      </c>
      <c r="AM45" s="161">
        <f t="shared" si="12"/>
        <v>0</v>
      </c>
      <c r="AN45" s="157">
        <f t="shared" ref="AN45:AN48" si="18">AH45+AK45</f>
        <v>0</v>
      </c>
      <c r="AO45" s="162">
        <f t="shared" ref="AO45:AO48" si="19">AI45+AL45</f>
        <v>1.5434644500000002E-2</v>
      </c>
    </row>
    <row r="46" spans="1:41" s="8" customFormat="1" ht="15" customHeight="1" x14ac:dyDescent="0.2">
      <c r="A46" s="73" t="s">
        <v>430</v>
      </c>
      <c r="B46" s="54" t="s">
        <v>44</v>
      </c>
      <c r="C46" s="74">
        <v>1</v>
      </c>
      <c r="D46" s="51" t="s">
        <v>2</v>
      </c>
      <c r="E46" s="64">
        <v>1</v>
      </c>
      <c r="F46" s="64"/>
      <c r="G46" s="51" t="s">
        <v>44</v>
      </c>
      <c r="H46" s="51" t="s">
        <v>6</v>
      </c>
      <c r="I46" s="69">
        <v>1E-3</v>
      </c>
      <c r="J46" s="51" t="s">
        <v>2</v>
      </c>
      <c r="K46" s="51"/>
      <c r="L46" s="64"/>
      <c r="M46" s="51" t="s">
        <v>44</v>
      </c>
      <c r="N46" s="51" t="s">
        <v>7</v>
      </c>
      <c r="O46" s="69">
        <v>0.1</v>
      </c>
      <c r="P46" s="51" t="s">
        <v>2</v>
      </c>
      <c r="Q46" s="51">
        <v>0</v>
      </c>
      <c r="R46" s="64">
        <v>0</v>
      </c>
      <c r="S46" s="64">
        <v>0</v>
      </c>
      <c r="T46" s="54" t="s">
        <v>78</v>
      </c>
      <c r="U46" s="127">
        <v>0</v>
      </c>
      <c r="V46" s="115">
        <v>0</v>
      </c>
      <c r="W46" s="115">
        <v>0</v>
      </c>
      <c r="X46" s="115">
        <v>0</v>
      </c>
      <c r="Y46" s="115">
        <v>49.010721972656775</v>
      </c>
      <c r="Z46" s="115">
        <v>299.66222151864491</v>
      </c>
      <c r="AA46" s="132" t="s">
        <v>537</v>
      </c>
      <c r="AB46" s="27">
        <f>$C$20*I46</f>
        <v>2.5300000000000003E-6</v>
      </c>
      <c r="AC46" s="29">
        <f>$C$20*O46</f>
        <v>2.5300000000000002E-4</v>
      </c>
      <c r="AD46" s="135">
        <f t="shared" si="3"/>
        <v>0</v>
      </c>
      <c r="AE46" s="135">
        <f t="shared" si="4"/>
        <v>0</v>
      </c>
      <c r="AF46" s="24">
        <f t="shared" si="5"/>
        <v>7.5938539170807992E-2</v>
      </c>
      <c r="AG46" s="24">
        <f t="shared" si="6"/>
        <v>0</v>
      </c>
      <c r="AH46" s="24">
        <f t="shared" si="7"/>
        <v>0</v>
      </c>
      <c r="AI46" s="24">
        <f t="shared" si="8"/>
        <v>1.2399712659082166E-4</v>
      </c>
      <c r="AJ46" s="24">
        <f t="shared" si="9"/>
        <v>0</v>
      </c>
      <c r="AK46" s="24">
        <f t="shared" si="10"/>
        <v>0</v>
      </c>
      <c r="AL46" s="24">
        <f t="shared" si="11"/>
        <v>7.581454204421717E-2</v>
      </c>
      <c r="AM46" s="161">
        <f t="shared" si="12"/>
        <v>0</v>
      </c>
      <c r="AN46" s="157">
        <f t="shared" si="18"/>
        <v>0</v>
      </c>
      <c r="AO46" s="162">
        <f t="shared" si="19"/>
        <v>7.5938539170807992E-2</v>
      </c>
    </row>
    <row r="47" spans="1:41" s="8" customFormat="1" ht="15" customHeight="1" x14ac:dyDescent="0.2">
      <c r="A47" s="70" t="s">
        <v>299</v>
      </c>
      <c r="B47" s="53" t="s">
        <v>36</v>
      </c>
      <c r="C47" s="74">
        <v>0.2</v>
      </c>
      <c r="D47" s="51" t="s">
        <v>2</v>
      </c>
      <c r="E47" s="62" t="s">
        <v>294</v>
      </c>
      <c r="F47" s="62"/>
      <c r="G47" s="51" t="s">
        <v>12</v>
      </c>
      <c r="H47" s="51"/>
      <c r="I47" s="69"/>
      <c r="K47" s="51"/>
      <c r="L47" s="62"/>
      <c r="M47" s="51" t="s">
        <v>36</v>
      </c>
      <c r="N47" s="51" t="s">
        <v>7</v>
      </c>
      <c r="O47" s="69">
        <v>1.0000000000000002E-3</v>
      </c>
      <c r="P47" s="51" t="s">
        <v>2</v>
      </c>
      <c r="Q47" s="51" t="s">
        <v>562</v>
      </c>
      <c r="R47" s="62">
        <v>0</v>
      </c>
      <c r="S47" s="62">
        <v>0</v>
      </c>
      <c r="T47" s="81" t="s">
        <v>37</v>
      </c>
      <c r="U47" s="127">
        <v>0</v>
      </c>
      <c r="V47" s="115">
        <v>0</v>
      </c>
      <c r="W47" s="115">
        <v>0</v>
      </c>
      <c r="X47" s="115">
        <v>0</v>
      </c>
      <c r="Y47" s="115">
        <v>9.2999999999999999E-2</v>
      </c>
      <c r="Z47" s="115">
        <v>33.799999999999997</v>
      </c>
      <c r="AA47" s="132" t="s">
        <v>539</v>
      </c>
      <c r="AB47" s="27">
        <f>$C$21*I47</f>
        <v>0</v>
      </c>
      <c r="AC47" s="29">
        <f>$C$21*O47</f>
        <v>3.7950000000000005E-6</v>
      </c>
      <c r="AD47" s="135">
        <f t="shared" si="3"/>
        <v>0</v>
      </c>
      <c r="AE47" s="135">
        <f t="shared" si="4"/>
        <v>0</v>
      </c>
      <c r="AF47" s="24">
        <f t="shared" si="5"/>
        <v>1.2827100000000001E-4</v>
      </c>
      <c r="AG47" s="24">
        <f t="shared" si="6"/>
        <v>0</v>
      </c>
      <c r="AH47" s="24">
        <f t="shared" si="7"/>
        <v>0</v>
      </c>
      <c r="AI47" s="24">
        <f t="shared" si="8"/>
        <v>0</v>
      </c>
      <c r="AJ47" s="24">
        <f t="shared" si="9"/>
        <v>0</v>
      </c>
      <c r="AK47" s="24">
        <f t="shared" si="10"/>
        <v>0</v>
      </c>
      <c r="AL47" s="24">
        <f t="shared" si="11"/>
        <v>1.2827100000000001E-4</v>
      </c>
      <c r="AM47" s="161">
        <f t="shared" si="12"/>
        <v>0</v>
      </c>
      <c r="AN47" s="157">
        <f t="shared" si="18"/>
        <v>0</v>
      </c>
      <c r="AO47" s="162">
        <f t="shared" si="19"/>
        <v>1.2827100000000001E-4</v>
      </c>
    </row>
    <row r="48" spans="1:41" s="49" customFormat="1" ht="15" customHeight="1" x14ac:dyDescent="0.2">
      <c r="A48" s="136" t="s">
        <v>299</v>
      </c>
      <c r="B48" s="137" t="s">
        <v>26</v>
      </c>
      <c r="C48" s="138">
        <v>0.03</v>
      </c>
      <c r="D48" s="139" t="s">
        <v>2</v>
      </c>
      <c r="E48" s="140" t="s">
        <v>294</v>
      </c>
      <c r="F48" s="140"/>
      <c r="G48" s="141" t="s">
        <v>12</v>
      </c>
      <c r="H48" s="139"/>
      <c r="I48" s="142"/>
      <c r="K48" s="139"/>
      <c r="L48" s="140"/>
      <c r="M48" s="139" t="s">
        <v>26</v>
      </c>
      <c r="N48" s="139" t="s">
        <v>7</v>
      </c>
      <c r="O48" s="142">
        <v>1.5000000000000001E-4</v>
      </c>
      <c r="P48" s="139" t="s">
        <v>2</v>
      </c>
      <c r="Q48" s="139" t="s">
        <v>562</v>
      </c>
      <c r="R48" s="140">
        <v>0</v>
      </c>
      <c r="S48" s="140">
        <v>0</v>
      </c>
      <c r="T48" s="141" t="s">
        <v>27</v>
      </c>
      <c r="U48" s="143">
        <v>0</v>
      </c>
      <c r="V48" s="144">
        <v>0</v>
      </c>
      <c r="W48" s="144">
        <v>0</v>
      </c>
      <c r="X48" s="144">
        <v>0</v>
      </c>
      <c r="Y48" s="144">
        <v>0.92690099117499369</v>
      </c>
      <c r="Z48" s="144">
        <v>47.139947928233759</v>
      </c>
      <c r="AA48" s="145" t="s">
        <v>537</v>
      </c>
      <c r="AB48" s="28">
        <f>$C$21*I48</f>
        <v>0</v>
      </c>
      <c r="AC48" s="146">
        <f>$C$21*O48</f>
        <v>5.6924999999999999E-7</v>
      </c>
      <c r="AD48" s="147">
        <f t="shared" si="3"/>
        <v>0</v>
      </c>
      <c r="AE48" s="147">
        <f t="shared" si="4"/>
        <v>0</v>
      </c>
      <c r="AF48" s="25">
        <f t="shared" si="5"/>
        <v>2.6834415358147068E-5</v>
      </c>
      <c r="AG48" s="25">
        <f t="shared" si="6"/>
        <v>0</v>
      </c>
      <c r="AH48" s="25">
        <f t="shared" si="7"/>
        <v>0</v>
      </c>
      <c r="AI48" s="25">
        <f t="shared" si="8"/>
        <v>0</v>
      </c>
      <c r="AJ48" s="25">
        <f t="shared" si="9"/>
        <v>0</v>
      </c>
      <c r="AK48" s="25">
        <f t="shared" si="10"/>
        <v>0</v>
      </c>
      <c r="AL48" s="25">
        <f t="shared" si="11"/>
        <v>2.6834415358147068E-5</v>
      </c>
      <c r="AM48" s="163">
        <f t="shared" si="12"/>
        <v>0</v>
      </c>
      <c r="AN48" s="164">
        <f t="shared" si="18"/>
        <v>0</v>
      </c>
      <c r="AO48" s="165">
        <f t="shared" si="19"/>
        <v>2.6834415358147068E-5</v>
      </c>
    </row>
    <row r="49" spans="1:32" x14ac:dyDescent="0.2">
      <c r="AD49" s="167">
        <f>SUM(AD29:AD48)</f>
        <v>4.681646116988417E-12</v>
      </c>
      <c r="AE49" s="167">
        <f t="shared" ref="AE49:AF49" si="20">SUM(AE29:AE48)</f>
        <v>6.0497544670238874E-11</v>
      </c>
      <c r="AF49" s="167">
        <f t="shared" si="20"/>
        <v>0.36488426153943043</v>
      </c>
    </row>
    <row r="54" spans="1:32" x14ac:dyDescent="0.2">
      <c r="C54" s="1" t="s">
        <v>103</v>
      </c>
      <c r="D54" t="s">
        <v>673</v>
      </c>
      <c r="E54" t="s">
        <v>108</v>
      </c>
      <c r="G54" t="s">
        <v>109</v>
      </c>
      <c r="H54" t="s">
        <v>110</v>
      </c>
      <c r="I54" t="s">
        <v>111</v>
      </c>
      <c r="J54" t="s">
        <v>112</v>
      </c>
      <c r="K54" t="s">
        <v>113</v>
      </c>
      <c r="M54" t="s">
        <v>114</v>
      </c>
      <c r="N54" t="s">
        <v>115</v>
      </c>
      <c r="O54" t="s">
        <v>139</v>
      </c>
      <c r="P54" t="s">
        <v>117</v>
      </c>
      <c r="Q54" t="s">
        <v>140</v>
      </c>
      <c r="T54" t="s">
        <v>121</v>
      </c>
      <c r="U54" t="s">
        <v>122</v>
      </c>
      <c r="V54" t="s">
        <v>123</v>
      </c>
      <c r="W54" t="s">
        <v>124</v>
      </c>
      <c r="X54" t="s">
        <v>125</v>
      </c>
      <c r="Y54" t="s">
        <v>127</v>
      </c>
      <c r="Z54" t="s">
        <v>128</v>
      </c>
      <c r="AA54" t="s">
        <v>129</v>
      </c>
      <c r="AB54" t="s">
        <v>130</v>
      </c>
      <c r="AC54" t="s">
        <v>131</v>
      </c>
      <c r="AD54" t="s">
        <v>132</v>
      </c>
    </row>
    <row r="55" spans="1:32" x14ac:dyDescent="0.2">
      <c r="A55" t="s">
        <v>636</v>
      </c>
      <c r="B55" t="s">
        <v>637</v>
      </c>
      <c r="C55" s="1">
        <f>SUM(E55:AD55)</f>
        <v>2.314024625706224</v>
      </c>
      <c r="D55">
        <f>SUM(M55:Y55)</f>
        <v>1.9110340062080562</v>
      </c>
      <c r="E55">
        <v>0</v>
      </c>
      <c r="G55">
        <v>9.6787829233923095E-2</v>
      </c>
      <c r="H55">
        <v>4.9344069731981103E-3</v>
      </c>
      <c r="I55">
        <v>1.14335227666086E-4</v>
      </c>
      <c r="J55">
        <v>8.9764808438692403E-3</v>
      </c>
      <c r="K55">
        <v>-5.5251458098609103E-2</v>
      </c>
      <c r="M55">
        <v>0.21803461388843645</v>
      </c>
      <c r="N55">
        <v>0.19120742303895499</v>
      </c>
      <c r="O55">
        <v>5.5638202446566802E-2</v>
      </c>
      <c r="P55">
        <v>0.79575299877695604</v>
      </c>
      <c r="Q55">
        <v>0.269287628565825</v>
      </c>
      <c r="T55">
        <v>0</v>
      </c>
      <c r="U55">
        <v>0.33557493977606601</v>
      </c>
      <c r="V55">
        <v>3.90815248195929E-3</v>
      </c>
      <c r="W55">
        <v>2.0602084091514601E-2</v>
      </c>
      <c r="X55">
        <v>7.0428634450258495E-5</v>
      </c>
      <c r="Y55">
        <v>2.0957534507326601E-2</v>
      </c>
      <c r="Z55">
        <v>0</v>
      </c>
      <c r="AA55">
        <v>1.4009887443481899E-2</v>
      </c>
      <c r="AB55">
        <v>7.43586276716673E-3</v>
      </c>
      <c r="AC55">
        <v>0.26778181290463898</v>
      </c>
      <c r="AD55">
        <v>5.8201462202832899E-2</v>
      </c>
    </row>
    <row r="56" spans="1:32" x14ac:dyDescent="0.2">
      <c r="A56" t="s">
        <v>654</v>
      </c>
      <c r="B56" t="s">
        <v>655</v>
      </c>
      <c r="C56" s="1">
        <f t="shared" ref="C56" si="21">SUM(E56:AD56)</f>
        <v>3.8487079191827558E-4</v>
      </c>
      <c r="D56">
        <f t="shared" ref="D56" si="22">SUM(M56:Y56)</f>
        <v>2.8666155812471968E-4</v>
      </c>
      <c r="E56">
        <v>0</v>
      </c>
      <c r="G56">
        <v>1.0538138060801699E-5</v>
      </c>
      <c r="H56">
        <v>5.92994330968054E-7</v>
      </c>
      <c r="I56">
        <v>9.6857508938244997E-8</v>
      </c>
      <c r="J56">
        <v>8.8173259845011001E-6</v>
      </c>
      <c r="K56">
        <v>-1.0573976128699301E-5</v>
      </c>
      <c r="M56">
        <v>4.8670766398215771E-5</v>
      </c>
      <c r="N56">
        <v>2.22163738135365E-5</v>
      </c>
      <c r="O56">
        <v>1.00675457351968E-5</v>
      </c>
      <c r="P56">
        <v>9.4188580352865496E-5</v>
      </c>
      <c r="Q56">
        <v>6.4783378497019906E-5</v>
      </c>
      <c r="T56">
        <v>0</v>
      </c>
      <c r="U56">
        <v>3.6462723226240598E-5</v>
      </c>
      <c r="V56">
        <v>7.3318370327404395E-7</v>
      </c>
      <c r="W56">
        <v>7.7992979786275592E-6</v>
      </c>
      <c r="X56">
        <v>1.7782704687824701E-9</v>
      </c>
      <c r="Y56">
        <v>1.73793014927423E-6</v>
      </c>
      <c r="Z56">
        <v>0</v>
      </c>
      <c r="AA56">
        <v>1.18452378428025E-5</v>
      </c>
      <c r="AB56">
        <v>6.2869572220945104E-6</v>
      </c>
      <c r="AC56">
        <v>2.9366375519833998E-5</v>
      </c>
      <c r="AD56">
        <v>4.1239323452315099E-5</v>
      </c>
    </row>
    <row r="57" spans="1:32" x14ac:dyDescent="0.2">
      <c r="A57" t="s">
        <v>661</v>
      </c>
      <c r="B57" t="s">
        <v>662</v>
      </c>
      <c r="C57" s="1">
        <f>SUM(E57:AD57)</f>
        <v>2.2648930293276952E-2</v>
      </c>
      <c r="D57">
        <f>SUM(M57:Y57)</f>
        <v>1.9513530972714039E-2</v>
      </c>
      <c r="E57">
        <v>0</v>
      </c>
      <c r="G57">
        <v>1.0439054169891499E-3</v>
      </c>
      <c r="H57">
        <v>2.60191161495985E-5</v>
      </c>
      <c r="I57">
        <v>6.8043671768754797E-6</v>
      </c>
      <c r="J57">
        <v>7.0522313970128298E-5</v>
      </c>
      <c r="K57">
        <v>-6.5096375896340301E-5</v>
      </c>
      <c r="M57">
        <v>1.9059866260278235E-3</v>
      </c>
      <c r="N57">
        <v>1.76564528113534E-3</v>
      </c>
      <c r="O57">
        <v>5.2332910174549799E-4</v>
      </c>
      <c r="P57">
        <v>7.3792647166790798E-3</v>
      </c>
      <c r="Q57">
        <v>4.7453266197368402E-3</v>
      </c>
      <c r="T57">
        <v>0</v>
      </c>
      <c r="U57">
        <v>2.8495689248586101E-3</v>
      </c>
      <c r="V57">
        <v>5.9751600288942399E-5</v>
      </c>
      <c r="W57">
        <v>1.19324880162188E-4</v>
      </c>
      <c r="X57">
        <v>2.5470734219333601E-5</v>
      </c>
      <c r="Y57">
        <v>1.3986248786038299E-4</v>
      </c>
      <c r="Z57">
        <v>0</v>
      </c>
      <c r="AA57">
        <v>1.00131518559329E-4</v>
      </c>
      <c r="AB57">
        <v>5.3145625450516499E-5</v>
      </c>
      <c r="AC57">
        <v>1.5607205029522799E-3</v>
      </c>
      <c r="AD57">
        <v>3.39246835211376E-4</v>
      </c>
    </row>
    <row r="58" spans="1:32" x14ac:dyDescent="0.2">
      <c r="A58" t="s">
        <v>656</v>
      </c>
      <c r="B58" t="s">
        <v>657</v>
      </c>
      <c r="C58" s="1">
        <f>SUM(E58:AD58)</f>
        <v>1.0525281349165059E-2</v>
      </c>
      <c r="D58">
        <f>SUM(M58:Y58)</f>
        <v>7.3224282764944616E-3</v>
      </c>
      <c r="E58">
        <v>0</v>
      </c>
      <c r="G58">
        <v>9.0014772630529402E-4</v>
      </c>
      <c r="H58">
        <v>3.0835487289485101E-5</v>
      </c>
      <c r="I58">
        <v>9.1764141259043096E-6</v>
      </c>
      <c r="J58">
        <v>4.5684758205216403E-5</v>
      </c>
      <c r="K58">
        <v>-1.1469903567300499E-5</v>
      </c>
      <c r="M58">
        <v>7.1033085107077647E-4</v>
      </c>
      <c r="N58">
        <v>6.7225346566175399E-4</v>
      </c>
      <c r="O58">
        <v>3.55590280026769E-4</v>
      </c>
      <c r="P58">
        <v>2.9027080067770099E-3</v>
      </c>
      <c r="Q58">
        <v>1.23275405439046E-3</v>
      </c>
      <c r="T58">
        <v>0</v>
      </c>
      <c r="U58">
        <v>1.10456596725437E-3</v>
      </c>
      <c r="V58">
        <v>5.82147605480325E-5</v>
      </c>
      <c r="W58">
        <v>8.1130849951766796E-5</v>
      </c>
      <c r="X58">
        <v>2.8886938673621701E-5</v>
      </c>
      <c r="Y58">
        <v>1.75993102139902E-4</v>
      </c>
      <c r="Z58">
        <v>0</v>
      </c>
      <c r="AA58">
        <v>6.6614833881682302E-5</v>
      </c>
      <c r="AB58">
        <v>3.5356369920891497E-5</v>
      </c>
      <c r="AC58">
        <v>1.9104949983402399E-3</v>
      </c>
      <c r="AD58">
        <v>2.1601238816918599E-4</v>
      </c>
    </row>
    <row r="59" spans="1:32" x14ac:dyDescent="0.2">
      <c r="A59" t="s">
        <v>672</v>
      </c>
      <c r="B59" t="s">
        <v>2</v>
      </c>
      <c r="C59" s="1">
        <f>SUM(E59:AD59)</f>
        <v>2666.3022338057986</v>
      </c>
      <c r="D59">
        <f>SUM(M59:Y59)</f>
        <v>2652.0934064473895</v>
      </c>
      <c r="E59">
        <v>0</v>
      </c>
      <c r="G59">
        <v>0.13026769009056</v>
      </c>
      <c r="H59">
        <v>8.9600179855999999E-3</v>
      </c>
      <c r="I59">
        <v>1.5844708701099799E-2</v>
      </c>
      <c r="J59">
        <v>0.91172622865145703</v>
      </c>
      <c r="K59">
        <v>-0.24533498871329701</v>
      </c>
      <c r="M59">
        <v>2.2711987925950567E-3</v>
      </c>
      <c r="N59">
        <v>0.35446879899319</v>
      </c>
      <c r="O59">
        <v>0.13052595530797101</v>
      </c>
      <c r="P59">
        <v>1.5345913601524299</v>
      </c>
      <c r="Q59">
        <v>2643.6767223319839</v>
      </c>
      <c r="T59">
        <v>0</v>
      </c>
      <c r="U59">
        <v>0.57277308239132896</v>
      </c>
      <c r="V59">
        <v>5.5688035953178101</v>
      </c>
      <c r="W59">
        <v>0.17933798177294999</v>
      </c>
      <c r="X59">
        <v>4.9964968747662097E-2</v>
      </c>
      <c r="Y59">
        <v>2.3947173929999999E-2</v>
      </c>
      <c r="Z59">
        <v>0</v>
      </c>
      <c r="AA59">
        <v>1.20018436197408</v>
      </c>
      <c r="AB59">
        <v>0.63700770237743298</v>
      </c>
      <c r="AC59">
        <v>0.467801152</v>
      </c>
      <c r="AD59">
        <v>11.0823704853417</v>
      </c>
    </row>
    <row r="60" spans="1:32" x14ac:dyDescent="0.2">
      <c r="A60" t="s">
        <v>658</v>
      </c>
      <c r="B60" t="s">
        <v>668</v>
      </c>
      <c r="C60" s="1">
        <f t="shared" ref="C60:C64" si="23">SUM(E60:AD60)</f>
        <v>1.6238425637218261</v>
      </c>
      <c r="D60">
        <f t="shared" ref="D60:D64" si="24">SUM(M60:Y60)</f>
        <v>1.6251116503645078</v>
      </c>
      <c r="E60">
        <v>0</v>
      </c>
      <c r="G60">
        <v>3.4941826487436002E-4</v>
      </c>
      <c r="H60">
        <v>1.8551450323999999E-5</v>
      </c>
      <c r="I60">
        <v>-1.50952206091997E-4</v>
      </c>
      <c r="J60">
        <v>2.2969562698563401E-3</v>
      </c>
      <c r="K60">
        <v>-3.6418550286676003E-2</v>
      </c>
      <c r="M60">
        <v>2.0478866327413229E-3</v>
      </c>
      <c r="N60">
        <v>4.3613316782135101E-3</v>
      </c>
      <c r="O60">
        <v>1.1566544363435999E-3</v>
      </c>
      <c r="P60">
        <v>1.8101301058822999E-2</v>
      </c>
      <c r="Q60">
        <v>1.5234197269286101</v>
      </c>
      <c r="T60">
        <v>0</v>
      </c>
      <c r="U60">
        <v>6.9900900924203804E-3</v>
      </c>
      <c r="V60">
        <v>3.9485158339220301E-3</v>
      </c>
      <c r="W60">
        <v>6.5012295762083699E-2</v>
      </c>
      <c r="X60">
        <v>0</v>
      </c>
      <c r="Y60">
        <v>7.3847941349999998E-5</v>
      </c>
      <c r="Z60">
        <v>0</v>
      </c>
      <c r="AA60">
        <v>4.5039571187676999E-3</v>
      </c>
      <c r="AB60">
        <v>2.3905122135682699E-3</v>
      </c>
      <c r="AC60">
        <v>9.1576269219999999E-4</v>
      </c>
      <c r="AD60">
        <v>2.4825257840495399E-2</v>
      </c>
    </row>
    <row r="61" spans="1:32" x14ac:dyDescent="0.2">
      <c r="A61" t="s">
        <v>670</v>
      </c>
      <c r="B61" t="s">
        <v>660</v>
      </c>
      <c r="C61" s="1">
        <f t="shared" si="23"/>
        <v>3.1022588909659956E-7</v>
      </c>
      <c r="D61">
        <f t="shared" si="24"/>
        <v>2.1668191779485783E-7</v>
      </c>
      <c r="E61">
        <v>0</v>
      </c>
      <c r="G61">
        <v>1.26455860215866E-8</v>
      </c>
      <c r="H61">
        <v>4.9741453665570899E-10</v>
      </c>
      <c r="I61">
        <v>1.13234329150625E-9</v>
      </c>
      <c r="J61">
        <v>1.04768510880968E-8</v>
      </c>
      <c r="K61">
        <v>-9.1961443103145102E-9</v>
      </c>
      <c r="M61">
        <v>3.9506633977783166E-8</v>
      </c>
      <c r="N61">
        <v>1.8032019684686399E-8</v>
      </c>
      <c r="O61">
        <v>6.2642826286690401E-9</v>
      </c>
      <c r="P61">
        <v>7.5984361054856395E-8</v>
      </c>
      <c r="Q61">
        <v>4.1111584424002E-8</v>
      </c>
      <c r="T61">
        <v>0</v>
      </c>
      <c r="U61">
        <v>2.9295077721457401E-8</v>
      </c>
      <c r="V61">
        <v>4.3134966103255601E-10</v>
      </c>
      <c r="W61">
        <v>2.4936034819593298E-9</v>
      </c>
      <c r="X61">
        <v>4.7860614195970599E-10</v>
      </c>
      <c r="Y61">
        <v>3.0843990184518099E-9</v>
      </c>
      <c r="Z61">
        <v>0</v>
      </c>
      <c r="AA61">
        <v>1.4047827514537099E-8</v>
      </c>
      <c r="AB61">
        <v>7.4559997713276194E-9</v>
      </c>
      <c r="AC61">
        <v>2.7058168130214299E-8</v>
      </c>
      <c r="AD61">
        <v>2.9425925258131899E-8</v>
      </c>
    </row>
    <row r="62" spans="1:32" s="378" customFormat="1" x14ac:dyDescent="0.2">
      <c r="A62" s="378" t="s">
        <v>671</v>
      </c>
      <c r="B62" s="378" t="s">
        <v>660</v>
      </c>
      <c r="C62" s="379">
        <f t="shared" si="23"/>
        <v>8.4299640799804599E-8</v>
      </c>
      <c r="D62" s="378">
        <f t="shared" si="24"/>
        <v>5.0643237092162709E-8</v>
      </c>
      <c r="E62" s="378">
        <v>0</v>
      </c>
      <c r="G62" s="378">
        <v>4.7995467657831903E-9</v>
      </c>
      <c r="H62" s="378">
        <v>2.8175293689171401E-10</v>
      </c>
      <c r="I62" s="378">
        <v>3.4569695690857697E-10</v>
      </c>
      <c r="J62" s="378">
        <v>2.9751613905983999E-9</v>
      </c>
      <c r="K62" s="378">
        <v>-8.9068328551164401E-9</v>
      </c>
      <c r="M62" s="378">
        <v>1.3575998170480944E-8</v>
      </c>
      <c r="N62" s="378">
        <v>4.6835100040589199E-9</v>
      </c>
      <c r="O62" s="378">
        <v>1.9380946782126402E-9</v>
      </c>
      <c r="P62" s="378">
        <v>1.97693408851071E-8</v>
      </c>
      <c r="Q62" s="378">
        <v>4.8206945348002701E-10</v>
      </c>
      <c r="T62" s="378">
        <v>0</v>
      </c>
      <c r="U62" s="378">
        <v>7.7905756606284698E-9</v>
      </c>
      <c r="V62" s="378">
        <v>1.6509091908202901E-10</v>
      </c>
      <c r="W62" s="378">
        <v>1.15914078626284E-9</v>
      </c>
      <c r="X62" s="378">
        <v>4.5789686540290201E-12</v>
      </c>
      <c r="Y62" s="378">
        <v>1.0748375661956999E-9</v>
      </c>
      <c r="Z62" s="378">
        <v>0</v>
      </c>
      <c r="AA62" s="378">
        <v>4.2247157537920004E-9</v>
      </c>
      <c r="AB62" s="378">
        <v>2.2423025668275602E-9</v>
      </c>
      <c r="AC62" s="378">
        <v>1.4124540736470899E-8</v>
      </c>
      <c r="AD62" s="378">
        <v>1.3569519455486001E-8</v>
      </c>
    </row>
    <row r="63" spans="1:32" s="378" customFormat="1" x14ac:dyDescent="0.2">
      <c r="A63" s="378" t="s">
        <v>664</v>
      </c>
      <c r="B63" s="378" t="s">
        <v>665</v>
      </c>
      <c r="C63" s="379">
        <f t="shared" si="23"/>
        <v>6.1044425444149022</v>
      </c>
      <c r="D63" s="378">
        <f t="shared" si="24"/>
        <v>8.077075811907557</v>
      </c>
      <c r="E63" s="378">
        <v>0</v>
      </c>
      <c r="G63" s="378">
        <v>0.28471861807395099</v>
      </c>
      <c r="H63" s="378">
        <v>2.1309161716745999E-2</v>
      </c>
      <c r="I63" s="378">
        <v>3.2005047241000902E-2</v>
      </c>
      <c r="J63" s="378">
        <v>0.187016582373697</v>
      </c>
      <c r="K63" s="378">
        <v>-5.0746643594948502</v>
      </c>
      <c r="M63" s="378">
        <v>1.4482691573958635</v>
      </c>
      <c r="N63" s="378">
        <v>0.23487368972228601</v>
      </c>
      <c r="O63" s="378">
        <v>0.123389053149527</v>
      </c>
      <c r="P63" s="378">
        <v>1.0021724036839801</v>
      </c>
      <c r="Q63" s="378">
        <v>4.63405260217736</v>
      </c>
      <c r="T63" s="378">
        <v>0</v>
      </c>
      <c r="U63" s="378">
        <v>0.38935021303782302</v>
      </c>
      <c r="V63" s="378">
        <v>5.8856001496845001E-2</v>
      </c>
      <c r="W63" s="378">
        <v>0.120352751471518</v>
      </c>
      <c r="X63" s="378">
        <v>9.2513900375836906E-6</v>
      </c>
      <c r="Y63" s="378">
        <v>6.57506883823155E-2</v>
      </c>
      <c r="Z63" s="378">
        <v>0</v>
      </c>
      <c r="AA63" s="378">
        <v>0.455936504518207</v>
      </c>
      <c r="AB63" s="378">
        <v>0.241992042535389</v>
      </c>
      <c r="AC63" s="378">
        <v>1.0176595419638399</v>
      </c>
      <c r="AD63" s="378">
        <v>0.86139359357936596</v>
      </c>
    </row>
    <row r="64" spans="1:32" s="378" customFormat="1" x14ac:dyDescent="0.2">
      <c r="A64" s="378" t="s">
        <v>666</v>
      </c>
      <c r="B64" s="378" t="s">
        <v>455</v>
      </c>
      <c r="C64" s="379">
        <f t="shared" si="23"/>
        <v>34.204780542832587</v>
      </c>
      <c r="D64" s="378">
        <f t="shared" si="24"/>
        <v>21.435151621321666</v>
      </c>
      <c r="E64" s="378">
        <v>0</v>
      </c>
      <c r="G64" s="378">
        <v>1.48083628591052</v>
      </c>
      <c r="H64" s="378">
        <v>7.7032013777439498E-2</v>
      </c>
      <c r="I64" s="378">
        <v>3.6694998124714098E-4</v>
      </c>
      <c r="J64" s="378">
        <v>1.60999966083531</v>
      </c>
      <c r="K64" s="378">
        <v>-0.90771568289314897</v>
      </c>
      <c r="M64" s="378">
        <v>2.6852446993930004</v>
      </c>
      <c r="N64" s="378">
        <v>1.9678573244048401</v>
      </c>
      <c r="O64" s="378">
        <v>1.4927579809754501</v>
      </c>
      <c r="P64" s="378">
        <v>8.6256917747525907</v>
      </c>
      <c r="Q64" s="378">
        <v>2.2656432521556802</v>
      </c>
      <c r="T64" s="378">
        <v>0</v>
      </c>
      <c r="U64" s="378">
        <v>3.60606238349762</v>
      </c>
      <c r="V64" s="378">
        <v>2.91140471505601E-2</v>
      </c>
      <c r="W64" s="378">
        <v>0.42732405278732</v>
      </c>
      <c r="X64" s="378">
        <v>1.36379670471748E-2</v>
      </c>
      <c r="Y64" s="378">
        <v>0.32181813915743002</v>
      </c>
      <c r="Z64" s="378">
        <v>0</v>
      </c>
      <c r="AA64" s="378">
        <v>2.1225797190944098</v>
      </c>
      <c r="AB64" s="378">
        <v>1.12657661007123</v>
      </c>
      <c r="AC64" s="378">
        <v>4.1525141189970398</v>
      </c>
      <c r="AD64" s="378">
        <v>3.10743924573688</v>
      </c>
    </row>
    <row r="65" spans="1:17" s="378" customFormat="1" x14ac:dyDescent="0.2"/>
    <row r="67" spans="1:17" ht="15" x14ac:dyDescent="0.25">
      <c r="H67" t="s">
        <v>225</v>
      </c>
      <c r="I67" s="189" t="s">
        <v>140</v>
      </c>
      <c r="J67" s="189" t="s">
        <v>681</v>
      </c>
      <c r="K67" s="189" t="s">
        <v>682</v>
      </c>
      <c r="M67" s="189" t="s">
        <v>596</v>
      </c>
      <c r="N67" s="189" t="s">
        <v>683</v>
      </c>
      <c r="O67" s="189" t="s">
        <v>684</v>
      </c>
      <c r="P67" s="189" t="s">
        <v>113</v>
      </c>
      <c r="Q67" s="190" t="s">
        <v>103</v>
      </c>
    </row>
    <row r="68" spans="1:17" x14ac:dyDescent="0.2">
      <c r="A68" s="34"/>
      <c r="I68">
        <f>Q63</f>
        <v>4.63405260217736</v>
      </c>
      <c r="J68">
        <f>SUM(M63:P63)+Y63</f>
        <v>2.8744549923339719</v>
      </c>
      <c r="K68">
        <f>SUM(T63:X63)</f>
        <v>0.56856821739622365</v>
      </c>
      <c r="M68">
        <f>SUM(E63:J63)</f>
        <v>0.52504940940539491</v>
      </c>
      <c r="N68">
        <f>AC63</f>
        <v>1.0176595419638399</v>
      </c>
      <c r="O68">
        <f>AD63+AB63+AA63</f>
        <v>1.559322140632962</v>
      </c>
      <c r="P68">
        <f>K63</f>
        <v>-5.0746643594948502</v>
      </c>
      <c r="Q68">
        <f>SUM(I68:P68)</f>
        <v>6.1044425444149013</v>
      </c>
    </row>
    <row r="69" spans="1:17" x14ac:dyDescent="0.2">
      <c r="A69" s="34"/>
      <c r="J69">
        <v>0.35365568866383201</v>
      </c>
    </row>
    <row r="70" spans="1:17" x14ac:dyDescent="0.2">
      <c r="A70" s="34"/>
      <c r="I70">
        <f>I68</f>
        <v>4.63405260217736</v>
      </c>
      <c r="J70">
        <f>SUM(J68:J69)</f>
        <v>3.228110680997804</v>
      </c>
      <c r="K70">
        <f t="shared" ref="K70:P70" si="25">K68</f>
        <v>0.56856821739622365</v>
      </c>
      <c r="M70">
        <f t="shared" si="25"/>
        <v>0.52504940940539491</v>
      </c>
      <c r="N70">
        <f t="shared" si="25"/>
        <v>1.0176595419638399</v>
      </c>
      <c r="O70">
        <f t="shared" si="25"/>
        <v>1.559322140632962</v>
      </c>
      <c r="P70">
        <f t="shared" si="25"/>
        <v>-5.0746643594948502</v>
      </c>
      <c r="Q70">
        <f>SUM(I70:P70)</f>
        <v>6.4580982330787329</v>
      </c>
    </row>
    <row r="71" spans="1:17" x14ac:dyDescent="0.2">
      <c r="A71" s="34"/>
    </row>
    <row r="72" spans="1:17" x14ac:dyDescent="0.2">
      <c r="A72" s="34"/>
      <c r="P72" t="s">
        <v>685</v>
      </c>
    </row>
    <row r="73" spans="1:17" x14ac:dyDescent="0.2">
      <c r="A73" s="34"/>
      <c r="P73" s="5">
        <f>I70+J69</f>
        <v>4.9877082908411925</v>
      </c>
    </row>
    <row r="74" spans="1:17" x14ac:dyDescent="0.2">
      <c r="A74" s="34"/>
    </row>
    <row r="75" spans="1:17" x14ac:dyDescent="0.2">
      <c r="A75" s="34"/>
    </row>
    <row r="76" spans="1:17" x14ac:dyDescent="0.2">
      <c r="A76" s="34"/>
    </row>
    <row r="77" spans="1:17" x14ac:dyDescent="0.2">
      <c r="A77" s="34"/>
    </row>
  </sheetData>
  <pageMargins left="0.7" right="0.7" top="0.75" bottom="0.75" header="0.3" footer="0.3"/>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U122"/>
  <sheetViews>
    <sheetView zoomScale="60" zoomScaleNormal="60" workbookViewId="0">
      <selection activeCell="H5" sqref="H5"/>
    </sheetView>
  </sheetViews>
  <sheetFormatPr defaultRowHeight="12.75" x14ac:dyDescent="0.2"/>
  <cols>
    <col min="1" max="1" width="36.5703125" customWidth="1"/>
    <col min="2" max="2" width="17.85546875" customWidth="1"/>
    <col min="3" max="4" width="22.28515625" customWidth="1"/>
    <col min="5" max="5" width="11" customWidth="1"/>
    <col min="6" max="6" width="1.5703125" customWidth="1"/>
    <col min="7" max="7" width="9.140625" customWidth="1"/>
    <col min="8" max="9" width="9.140625" style="3" customWidth="1"/>
    <col min="10" max="10" width="11" customWidth="1"/>
    <col min="11" max="11" width="10.5703125" customWidth="1"/>
    <col min="12" max="12" width="1.5703125" customWidth="1"/>
    <col min="13" max="17" width="9.140625" customWidth="1"/>
    <col min="18" max="18" width="1.85546875" customWidth="1"/>
    <col min="19" max="19" width="1.5703125" customWidth="1"/>
    <col min="20" max="22" width="9.140625" customWidth="1"/>
    <col min="23" max="23" width="9.85546875" customWidth="1"/>
    <col min="24" max="29" width="9.140625" customWidth="1"/>
    <col min="30" max="31" width="11.140625" customWidth="1"/>
    <col min="32" max="32" width="12.42578125" customWidth="1"/>
    <col min="33" max="42" width="9.140625" customWidth="1"/>
    <col min="43" max="43" width="9.85546875" customWidth="1"/>
    <col min="45" max="47" width="10.7109375" customWidth="1"/>
  </cols>
  <sheetData>
    <row r="1" spans="1:32" x14ac:dyDescent="0.2">
      <c r="A1" s="20" t="s">
        <v>181</v>
      </c>
      <c r="B1" s="19" t="s">
        <v>253</v>
      </c>
      <c r="C1" s="21" t="s">
        <v>11</v>
      </c>
      <c r="H1"/>
      <c r="I1"/>
    </row>
    <row r="2" spans="1:32" x14ac:dyDescent="0.2">
      <c r="A2" s="9" t="s">
        <v>558</v>
      </c>
      <c r="B2" s="3">
        <v>1</v>
      </c>
      <c r="C2" s="10" t="s">
        <v>2</v>
      </c>
      <c r="H2"/>
      <c r="I2"/>
    </row>
    <row r="3" spans="1:32" x14ac:dyDescent="0.2">
      <c r="A3" s="36" t="s">
        <v>187</v>
      </c>
      <c r="B3" s="3"/>
      <c r="C3" s="10"/>
      <c r="H3"/>
      <c r="I3"/>
    </row>
    <row r="4" spans="1:32" x14ac:dyDescent="0.2">
      <c r="A4" s="9" t="s">
        <v>247</v>
      </c>
      <c r="B4" s="3">
        <v>1.65</v>
      </c>
      <c r="C4" s="10" t="s">
        <v>2</v>
      </c>
    </row>
    <row r="5" spans="1:32" x14ac:dyDescent="0.2">
      <c r="A5" s="9" t="s">
        <v>555</v>
      </c>
      <c r="B5" s="3">
        <v>0.02</v>
      </c>
      <c r="C5" s="10" t="s">
        <v>2</v>
      </c>
    </row>
    <row r="6" spans="1:32" x14ac:dyDescent="0.2">
      <c r="A6" s="9" t="s">
        <v>178</v>
      </c>
      <c r="B6" s="3">
        <v>0.02</v>
      </c>
      <c r="C6" s="10" t="s">
        <v>2</v>
      </c>
    </row>
    <row r="7" spans="1:32" x14ac:dyDescent="0.2">
      <c r="A7" s="9" t="s">
        <v>248</v>
      </c>
      <c r="B7" s="3">
        <v>1.65</v>
      </c>
      <c r="C7" s="10" t="s">
        <v>2</v>
      </c>
      <c r="Z7" s="58" t="s">
        <v>674</v>
      </c>
      <c r="AA7" s="58"/>
      <c r="AB7" s="58"/>
      <c r="AC7" s="58" t="s">
        <v>676</v>
      </c>
      <c r="AD7" s="58" t="s">
        <v>677</v>
      </c>
      <c r="AE7" s="58" t="s">
        <v>678</v>
      </c>
      <c r="AF7" s="58" t="s">
        <v>679</v>
      </c>
    </row>
    <row r="8" spans="1:32" x14ac:dyDescent="0.2">
      <c r="A8" s="9" t="s">
        <v>556</v>
      </c>
      <c r="B8" s="3">
        <v>1.49</v>
      </c>
      <c r="C8" s="10" t="s">
        <v>2</v>
      </c>
      <c r="Z8" s="34" t="s">
        <v>260</v>
      </c>
      <c r="AC8" s="60"/>
      <c r="AD8" s="60">
        <v>10.667668798938212</v>
      </c>
      <c r="AF8" s="60">
        <v>8.7070505939699174</v>
      </c>
    </row>
    <row r="9" spans="1:32" x14ac:dyDescent="0.2">
      <c r="A9" s="9" t="s">
        <v>101</v>
      </c>
      <c r="B9" s="3">
        <v>0.44</v>
      </c>
      <c r="C9" s="10" t="s">
        <v>2</v>
      </c>
      <c r="D9" t="s">
        <v>559</v>
      </c>
      <c r="Z9" s="34" t="s">
        <v>261</v>
      </c>
      <c r="AC9" s="60"/>
      <c r="AD9" s="60">
        <v>2.3337177119974991E-3</v>
      </c>
      <c r="AF9" s="60">
        <v>1.7512769370650327E-3</v>
      </c>
    </row>
    <row r="10" spans="1:32" x14ac:dyDescent="0.2">
      <c r="A10" s="9" t="s">
        <v>91</v>
      </c>
      <c r="B10" s="3">
        <v>1.03</v>
      </c>
      <c r="C10" s="10" t="s">
        <v>2</v>
      </c>
      <c r="D10" t="s">
        <v>559</v>
      </c>
      <c r="Z10" s="34" t="s">
        <v>262</v>
      </c>
      <c r="AC10" s="60"/>
      <c r="AD10" s="60">
        <v>0.10342961138433257</v>
      </c>
      <c r="AF10" s="60">
        <v>8.8604608585809028E-2</v>
      </c>
    </row>
    <row r="11" spans="1:32" x14ac:dyDescent="0.2">
      <c r="A11" s="9" t="s">
        <v>557</v>
      </c>
      <c r="B11" s="3">
        <v>1.47</v>
      </c>
      <c r="C11" s="10" t="s">
        <v>2</v>
      </c>
      <c r="Z11" s="34" t="s">
        <v>263</v>
      </c>
      <c r="AC11" s="60"/>
      <c r="AD11" s="60">
        <v>4.7552653200905431E-2</v>
      </c>
      <c r="AF11" s="60">
        <v>3.2925680041618277E-2</v>
      </c>
    </row>
    <row r="12" spans="1:32" x14ac:dyDescent="0.2">
      <c r="A12" s="9" t="s">
        <v>250</v>
      </c>
      <c r="B12" s="3">
        <v>1.01</v>
      </c>
      <c r="C12" s="10" t="s">
        <v>2</v>
      </c>
      <c r="Z12" s="34" t="s">
        <v>264</v>
      </c>
      <c r="AC12" s="60"/>
      <c r="AD12" s="60">
        <v>13849.503057601984</v>
      </c>
      <c r="AF12" s="60">
        <v>13753.682576090139</v>
      </c>
    </row>
    <row r="13" spans="1:32" ht="15" x14ac:dyDescent="0.2">
      <c r="A13" s="11" t="s">
        <v>251</v>
      </c>
      <c r="B13" s="7">
        <v>0.75</v>
      </c>
      <c r="C13" s="12" t="s">
        <v>252</v>
      </c>
      <c r="Z13" s="34" t="s">
        <v>675</v>
      </c>
      <c r="AC13" s="60"/>
      <c r="AD13" s="60">
        <v>8.4639207231446818</v>
      </c>
      <c r="AF13" s="60">
        <v>8.3877114558253929</v>
      </c>
    </row>
    <row r="14" spans="1:32" x14ac:dyDescent="0.2">
      <c r="H14" s="166" t="s">
        <v>589</v>
      </c>
      <c r="I14"/>
      <c r="Z14" s="34" t="s">
        <v>266</v>
      </c>
      <c r="AC14" s="60"/>
      <c r="AD14" s="60">
        <v>3.1303546727562353E-6</v>
      </c>
      <c r="AF14" s="60">
        <v>2.1253065954252543E-6</v>
      </c>
    </row>
    <row r="15" spans="1:32" x14ac:dyDescent="0.2">
      <c r="H15" s="13" t="s">
        <v>103</v>
      </c>
      <c r="I15" s="13" t="s">
        <v>31</v>
      </c>
      <c r="J15" s="13" t="s">
        <v>32</v>
      </c>
      <c r="K15" s="14" t="s">
        <v>33</v>
      </c>
      <c r="Z15" s="34" t="s">
        <v>267</v>
      </c>
      <c r="AC15" s="60"/>
      <c r="AD15" s="60">
        <v>4.4824723024224705E-7</v>
      </c>
      <c r="AF15" s="60">
        <v>2.5856627216539816E-7</v>
      </c>
    </row>
    <row r="16" spans="1:32" s="3" customFormat="1" x14ac:dyDescent="0.2">
      <c r="A16" s="20" t="s">
        <v>540</v>
      </c>
      <c r="B16" s="19" t="s">
        <v>99</v>
      </c>
      <c r="C16" s="19" t="s">
        <v>560</v>
      </c>
      <c r="D16" s="19" t="s">
        <v>104</v>
      </c>
      <c r="E16" s="21" t="s">
        <v>11</v>
      </c>
      <c r="F16" s="18"/>
      <c r="H16"/>
      <c r="I16" s="4">
        <f>AD99</f>
        <v>1.4676125503063586E-12</v>
      </c>
      <c r="J16" s="4">
        <f>AE99</f>
        <v>2.338994682114517E-9</v>
      </c>
      <c r="K16" s="4">
        <f>AF99</f>
        <v>177.48648095328832</v>
      </c>
      <c r="L16" s="18"/>
      <c r="M16"/>
      <c r="N16"/>
      <c r="O16"/>
      <c r="P16"/>
      <c r="Q16"/>
      <c r="R16"/>
      <c r="S16" s="18"/>
      <c r="Z16" s="34" t="s">
        <v>268</v>
      </c>
      <c r="AA16"/>
      <c r="AB16"/>
      <c r="AC16" s="60">
        <v>49.418156456595298</v>
      </c>
      <c r="AD16" s="60">
        <f>AC16+I35</f>
        <v>226.90463740988361</v>
      </c>
      <c r="AE16" s="4">
        <f>AF16+I35</f>
        <v>231.91931329741263</v>
      </c>
      <c r="AF16" s="4">
        <v>54.4328323441243</v>
      </c>
    </row>
    <row r="17" spans="1:41" s="3" customFormat="1" x14ac:dyDescent="0.2">
      <c r="A17" s="9" t="s">
        <v>45</v>
      </c>
      <c r="B17" s="3" t="s">
        <v>91</v>
      </c>
      <c r="C17" s="3">
        <f>D17*0.496*1.2</f>
        <v>5.9519999999999998E-3</v>
      </c>
      <c r="D17" s="3">
        <v>0.01</v>
      </c>
      <c r="E17" s="10" t="s">
        <v>2</v>
      </c>
      <c r="H17"/>
      <c r="I17"/>
      <c r="J17"/>
      <c r="K17"/>
      <c r="M17"/>
      <c r="N17"/>
      <c r="O17"/>
      <c r="P17"/>
      <c r="Q17"/>
      <c r="R17"/>
      <c r="Z17" s="59" t="s">
        <v>269</v>
      </c>
      <c r="AA17" s="59"/>
      <c r="AB17" s="59"/>
      <c r="AC17" s="61"/>
      <c r="AD17" s="61">
        <v>163.09358991465695</v>
      </c>
      <c r="AE17" s="61"/>
      <c r="AF17" s="61">
        <v>94.850862252900626</v>
      </c>
    </row>
    <row r="18" spans="1:41" x14ac:dyDescent="0.2">
      <c r="A18" s="9" t="s">
        <v>46</v>
      </c>
      <c r="B18" s="3" t="s">
        <v>91</v>
      </c>
      <c r="C18" s="3">
        <f t="shared" ref="C18:C30" si="0">D18*0.496*1.2</f>
        <v>5.9520000000000005E-4</v>
      </c>
      <c r="D18" s="3">
        <v>1E-3</v>
      </c>
      <c r="E18" s="10" t="s">
        <v>2</v>
      </c>
      <c r="F18" s="3"/>
      <c r="G18" s="3"/>
      <c r="H18" s="134" t="s">
        <v>544</v>
      </c>
      <c r="I18"/>
      <c r="L18" s="3"/>
      <c r="S18" s="3"/>
    </row>
    <row r="19" spans="1:41" x14ac:dyDescent="0.2">
      <c r="A19" s="9" t="s">
        <v>47</v>
      </c>
      <c r="B19" s="3" t="s">
        <v>91</v>
      </c>
      <c r="C19" s="3">
        <f t="shared" si="0"/>
        <v>1.1904E-2</v>
      </c>
      <c r="D19" s="3">
        <v>0.02</v>
      </c>
      <c r="E19" s="10" t="s">
        <v>2</v>
      </c>
      <c r="F19" s="3"/>
      <c r="G19" s="3"/>
      <c r="H19" s="1" t="s">
        <v>561</v>
      </c>
      <c r="I19"/>
      <c r="L19" s="3"/>
      <c r="S19" s="3"/>
    </row>
    <row r="20" spans="1:41" x14ac:dyDescent="0.2">
      <c r="A20" s="9" t="s">
        <v>48</v>
      </c>
      <c r="B20" s="3" t="s">
        <v>91</v>
      </c>
      <c r="C20" s="3">
        <f t="shared" si="0"/>
        <v>2.0832E-2</v>
      </c>
      <c r="D20" s="3">
        <v>3.5000000000000003E-2</v>
      </c>
      <c r="E20" s="10" t="s">
        <v>2</v>
      </c>
      <c r="F20" s="3"/>
      <c r="G20" s="3"/>
      <c r="H20" s="18" t="s">
        <v>542</v>
      </c>
      <c r="I20"/>
      <c r="L20" s="3"/>
      <c r="S20" s="3"/>
    </row>
    <row r="21" spans="1:41" x14ac:dyDescent="0.2">
      <c r="A21" s="9" t="s">
        <v>49</v>
      </c>
      <c r="B21" s="3" t="s">
        <v>91</v>
      </c>
      <c r="C21" s="3">
        <f t="shared" si="0"/>
        <v>1.1904E-2</v>
      </c>
      <c r="D21" s="3">
        <v>0.02</v>
      </c>
      <c r="E21" s="10" t="s">
        <v>2</v>
      </c>
      <c r="F21" s="3"/>
      <c r="G21" s="3"/>
      <c r="H21" s="18" t="s">
        <v>543</v>
      </c>
      <c r="I21"/>
      <c r="L21" s="3"/>
      <c r="S21" s="3"/>
    </row>
    <row r="22" spans="1:41" x14ac:dyDescent="0.2">
      <c r="A22" s="9" t="s">
        <v>50</v>
      </c>
      <c r="B22" s="3" t="s">
        <v>91</v>
      </c>
      <c r="C22" s="3">
        <f t="shared" si="0"/>
        <v>1.1904E-2</v>
      </c>
      <c r="D22" s="3">
        <v>0.02</v>
      </c>
      <c r="E22" s="10" t="s">
        <v>2</v>
      </c>
      <c r="F22" s="3"/>
      <c r="G22" s="3"/>
      <c r="H22"/>
      <c r="I22"/>
      <c r="L22" s="3"/>
      <c r="S22" s="3"/>
    </row>
    <row r="23" spans="1:41" x14ac:dyDescent="0.2">
      <c r="A23" s="9" t="s">
        <v>51</v>
      </c>
      <c r="B23" s="3" t="s">
        <v>91</v>
      </c>
      <c r="C23" s="3">
        <f t="shared" si="0"/>
        <v>8.9279999999999984E-3</v>
      </c>
      <c r="D23" s="3">
        <v>1.4999999999999999E-2</v>
      </c>
      <c r="E23" s="10" t="s">
        <v>2</v>
      </c>
      <c r="F23" s="3"/>
      <c r="G23" s="3"/>
      <c r="I23"/>
      <c r="L23" s="3"/>
      <c r="S23" s="3"/>
    </row>
    <row r="24" spans="1:41" x14ac:dyDescent="0.2">
      <c r="A24" s="9" t="s">
        <v>52</v>
      </c>
      <c r="B24" s="3" t="s">
        <v>91</v>
      </c>
      <c r="C24" s="3">
        <f t="shared" si="0"/>
        <v>2.9759999999999999E-3</v>
      </c>
      <c r="D24" s="3">
        <v>5.0000000000000001E-3</v>
      </c>
      <c r="E24" s="10" t="s">
        <v>2</v>
      </c>
      <c r="F24" s="3"/>
      <c r="G24" s="3"/>
      <c r="H24"/>
      <c r="I24"/>
      <c r="L24" s="3"/>
      <c r="S24" s="3"/>
    </row>
    <row r="25" spans="1:41" x14ac:dyDescent="0.2">
      <c r="A25" s="9" t="s">
        <v>53</v>
      </c>
      <c r="B25" s="3" t="s">
        <v>91</v>
      </c>
      <c r="C25" s="3">
        <f t="shared" si="0"/>
        <v>8.9279999999999984E-2</v>
      </c>
      <c r="D25" s="3">
        <v>0.15</v>
      </c>
      <c r="E25" s="10" t="s">
        <v>2</v>
      </c>
      <c r="F25" s="3"/>
      <c r="G25" s="3"/>
      <c r="H25"/>
      <c r="I25"/>
      <c r="L25" s="3"/>
      <c r="S25" s="3"/>
    </row>
    <row r="26" spans="1:41" x14ac:dyDescent="0.2">
      <c r="A26" s="9" t="s">
        <v>54</v>
      </c>
      <c r="B26" s="3" t="s">
        <v>91</v>
      </c>
      <c r="C26" s="3">
        <f t="shared" si="0"/>
        <v>2.9760000000000002E-2</v>
      </c>
      <c r="D26" s="3">
        <v>0.05</v>
      </c>
      <c r="E26" s="10" t="s">
        <v>2</v>
      </c>
      <c r="F26" s="3"/>
      <c r="G26" s="3"/>
      <c r="L26" s="3"/>
      <c r="S26" s="3"/>
    </row>
    <row r="27" spans="1:41" x14ac:dyDescent="0.2">
      <c r="A27" s="9" t="s">
        <v>45</v>
      </c>
      <c r="B27" s="3" t="s">
        <v>91</v>
      </c>
      <c r="C27" s="3">
        <f t="shared" si="0"/>
        <v>5.9519999999999998E-3</v>
      </c>
      <c r="D27" s="3">
        <v>0.01</v>
      </c>
      <c r="E27" s="10" t="s">
        <v>2</v>
      </c>
      <c r="F27" s="3"/>
      <c r="G27" s="3"/>
      <c r="L27" s="3"/>
      <c r="S27" s="3"/>
    </row>
    <row r="28" spans="1:41" x14ac:dyDescent="0.2">
      <c r="A28" s="9" t="s">
        <v>55</v>
      </c>
      <c r="B28" s="3" t="s">
        <v>91</v>
      </c>
      <c r="C28" s="3">
        <f t="shared" si="0"/>
        <v>5.9519999999999998E-3</v>
      </c>
      <c r="D28" s="3">
        <v>0.01</v>
      </c>
      <c r="E28" s="10" t="s">
        <v>2</v>
      </c>
      <c r="F28" s="3"/>
      <c r="G28" s="3"/>
      <c r="L28" s="3"/>
      <c r="S28" s="3"/>
    </row>
    <row r="29" spans="1:41" x14ac:dyDescent="0.2">
      <c r="A29" s="9" t="s">
        <v>56</v>
      </c>
      <c r="B29" s="3" t="s">
        <v>91</v>
      </c>
      <c r="C29" s="3">
        <f t="shared" si="0"/>
        <v>5.9520000000000003E-2</v>
      </c>
      <c r="D29" s="3">
        <v>0.1</v>
      </c>
      <c r="E29" s="10" t="s">
        <v>2</v>
      </c>
      <c r="F29" s="3"/>
      <c r="G29" s="3"/>
      <c r="L29" s="3"/>
      <c r="S29" s="3"/>
    </row>
    <row r="30" spans="1:41" x14ac:dyDescent="0.2">
      <c r="A30" s="11" t="s">
        <v>57</v>
      </c>
      <c r="B30" s="7" t="s">
        <v>91</v>
      </c>
      <c r="C30" s="3">
        <f t="shared" si="0"/>
        <v>1.1904E-2</v>
      </c>
      <c r="D30" s="7">
        <v>0.02</v>
      </c>
      <c r="E30" s="12" t="s">
        <v>2</v>
      </c>
      <c r="F30" s="3"/>
      <c r="G30" s="3"/>
      <c r="H30" s="18" t="s">
        <v>134</v>
      </c>
      <c r="L30" s="3"/>
      <c r="S30" s="3"/>
    </row>
    <row r="31" spans="1:41" x14ac:dyDescent="0.2">
      <c r="A31" s="15" t="s">
        <v>88</v>
      </c>
      <c r="B31" s="6" t="s">
        <v>101</v>
      </c>
      <c r="C31" s="6">
        <f>D31*0.2125*1.2</f>
        <v>1.5300000000000001E-3</v>
      </c>
      <c r="D31" s="6">
        <v>6.0000000000000001E-3</v>
      </c>
      <c r="E31" s="26" t="s">
        <v>2</v>
      </c>
      <c r="F31" s="3"/>
      <c r="G31" s="3"/>
      <c r="H31"/>
      <c r="I31" t="s">
        <v>106</v>
      </c>
      <c r="L31" s="3"/>
      <c r="S31" s="3"/>
    </row>
    <row r="32" spans="1:41" x14ac:dyDescent="0.2">
      <c r="A32" s="9" t="s">
        <v>45</v>
      </c>
      <c r="B32" s="3" t="s">
        <v>101</v>
      </c>
      <c r="C32" s="3">
        <f t="shared" ref="C32:C37" si="1">D32*0.2125*1.2</f>
        <v>1.5300000000000001E-3</v>
      </c>
      <c r="D32" s="3">
        <v>6.0000000000000001E-3</v>
      </c>
      <c r="E32" s="10" t="s">
        <v>2</v>
      </c>
      <c r="F32" s="3"/>
      <c r="G32" s="3"/>
      <c r="H32"/>
      <c r="I32" s="1" t="s">
        <v>103</v>
      </c>
      <c r="J32" s="1" t="s">
        <v>108</v>
      </c>
      <c r="K32" t="s">
        <v>109</v>
      </c>
      <c r="L32" s="3"/>
      <c r="M32" t="s">
        <v>110</v>
      </c>
      <c r="N32" t="s">
        <v>111</v>
      </c>
      <c r="O32" t="s">
        <v>112</v>
      </c>
      <c r="P32" s="1" t="s">
        <v>113</v>
      </c>
      <c r="Q32" s="1" t="s">
        <v>114</v>
      </c>
      <c r="R32" s="1"/>
      <c r="S32" s="3"/>
      <c r="T32" s="1" t="s">
        <v>115</v>
      </c>
      <c r="U32" s="1" t="s">
        <v>116</v>
      </c>
      <c r="V32" s="1" t="s">
        <v>117</v>
      </c>
      <c r="W32" s="1" t="s">
        <v>118</v>
      </c>
      <c r="X32" t="s">
        <v>119</v>
      </c>
      <c r="Y32" t="s">
        <v>120</v>
      </c>
      <c r="Z32" t="s">
        <v>121</v>
      </c>
      <c r="AA32" s="1" t="s">
        <v>122</v>
      </c>
      <c r="AB32" s="1" t="s">
        <v>123</v>
      </c>
      <c r="AC32" s="1" t="s">
        <v>124</v>
      </c>
      <c r="AD32" t="s">
        <v>125</v>
      </c>
      <c r="AE32" t="s">
        <v>126</v>
      </c>
      <c r="AF32" t="s">
        <v>127</v>
      </c>
      <c r="AG32" t="s">
        <v>128</v>
      </c>
      <c r="AH32" t="s">
        <v>129</v>
      </c>
      <c r="AI32" t="s">
        <v>130</v>
      </c>
      <c r="AJ32" s="1" t="s">
        <v>131</v>
      </c>
      <c r="AK32" t="s">
        <v>132</v>
      </c>
      <c r="AO32" s="1"/>
    </row>
    <row r="33" spans="1:47" x14ac:dyDescent="0.2">
      <c r="A33" s="9" t="s">
        <v>102</v>
      </c>
      <c r="B33" s="3" t="s">
        <v>101</v>
      </c>
      <c r="C33" s="3">
        <f t="shared" si="1"/>
        <v>7.6500000000000005E-4</v>
      </c>
      <c r="D33" s="3">
        <v>3.0000000000000001E-3</v>
      </c>
      <c r="E33" s="10" t="s">
        <v>2</v>
      </c>
      <c r="F33" s="3"/>
      <c r="G33" s="3"/>
      <c r="H33" t="s">
        <v>133</v>
      </c>
      <c r="I33" s="188">
        <f>SUM(J33:AN33)</f>
        <v>49.418156456595305</v>
      </c>
      <c r="J33">
        <v>0</v>
      </c>
      <c r="K33">
        <v>1.23464346201159</v>
      </c>
      <c r="L33" s="3"/>
      <c r="M33" s="3">
        <v>9.2404273989889693E-2</v>
      </c>
      <c r="N33" s="3">
        <v>0.13878552303597699</v>
      </c>
      <c r="O33">
        <v>1.1152963878469699</v>
      </c>
      <c r="P33">
        <v>-22.092870778526201</v>
      </c>
      <c r="Q33">
        <v>0.45267141027924623</v>
      </c>
      <c r="S33" s="3"/>
      <c r="T33">
        <v>1.0821543762806101</v>
      </c>
      <c r="U33">
        <v>5.9568104344032173</v>
      </c>
      <c r="V33">
        <v>1.96136693551763</v>
      </c>
      <c r="W33">
        <v>2.55350507316773</v>
      </c>
      <c r="X33">
        <v>24.0353755150485</v>
      </c>
      <c r="Y33">
        <v>0.122733355549309</v>
      </c>
      <c r="Z33">
        <v>0</v>
      </c>
      <c r="AA33">
        <v>1.7193171562</v>
      </c>
      <c r="AB33">
        <v>15.5666496933205</v>
      </c>
      <c r="AC33">
        <v>0.52189329501740001</v>
      </c>
      <c r="AD33">
        <v>5.68235004883778E-5</v>
      </c>
      <c r="AE33">
        <v>0</v>
      </c>
      <c r="AF33">
        <v>0.460298275839713</v>
      </c>
      <c r="AG33">
        <v>0</v>
      </c>
      <c r="AH33">
        <v>3.0803515061351998</v>
      </c>
      <c r="AI33">
        <v>0.80659034893739401</v>
      </c>
      <c r="AJ33">
        <v>4.3845969627165502</v>
      </c>
      <c r="AK33">
        <v>6.2255264263235999</v>
      </c>
    </row>
    <row r="34" spans="1:47" x14ac:dyDescent="0.2">
      <c r="A34" s="9" t="s">
        <v>46</v>
      </c>
      <c r="B34" s="3" t="s">
        <v>101</v>
      </c>
      <c r="C34" s="3">
        <f t="shared" si="1"/>
        <v>7.6500000000000005E-4</v>
      </c>
      <c r="D34" s="3">
        <v>3.0000000000000001E-3</v>
      </c>
      <c r="E34" s="10" t="s">
        <v>2</v>
      </c>
      <c r="F34" s="3"/>
      <c r="G34" s="3"/>
      <c r="H34" t="s">
        <v>135</v>
      </c>
      <c r="I34" s="5"/>
      <c r="L34" s="3"/>
      <c r="S34" s="3"/>
    </row>
    <row r="35" spans="1:47" x14ac:dyDescent="0.2">
      <c r="A35" s="9" t="s">
        <v>47</v>
      </c>
      <c r="B35" s="3" t="s">
        <v>101</v>
      </c>
      <c r="C35" s="3">
        <f t="shared" si="1"/>
        <v>1.9124999999999997E-3</v>
      </c>
      <c r="D35" s="16">
        <v>7.4999999999999997E-3</v>
      </c>
      <c r="E35" s="10" t="s">
        <v>2</v>
      </c>
      <c r="F35" s="3"/>
      <c r="G35" s="3"/>
      <c r="H35" t="s">
        <v>136</v>
      </c>
      <c r="I35" s="5">
        <f>K16</f>
        <v>177.48648095328832</v>
      </c>
      <c r="L35" s="3"/>
      <c r="M35" s="3"/>
      <c r="N35" s="3"/>
      <c r="S35" s="3"/>
      <c r="AQ35" s="30"/>
      <c r="AS35" s="5"/>
      <c r="AT35" s="5"/>
      <c r="AU35" s="5"/>
    </row>
    <row r="36" spans="1:47" x14ac:dyDescent="0.2">
      <c r="A36" s="9" t="s">
        <v>48</v>
      </c>
      <c r="B36" s="3" t="s">
        <v>101</v>
      </c>
      <c r="C36" s="3">
        <f t="shared" si="1"/>
        <v>5.8140000000000006E-3</v>
      </c>
      <c r="D36" s="16">
        <v>2.2800000000000001E-2</v>
      </c>
      <c r="E36" s="10" t="s">
        <v>2</v>
      </c>
      <c r="F36" s="3"/>
      <c r="G36" s="3"/>
      <c r="H36" t="s">
        <v>137</v>
      </c>
      <c r="I36" s="5"/>
      <c r="L36" s="3"/>
      <c r="S36" s="3"/>
      <c r="AQ36" s="30"/>
      <c r="AS36" s="5"/>
      <c r="AT36" s="5"/>
      <c r="AU36" s="5"/>
    </row>
    <row r="37" spans="1:47" x14ac:dyDescent="0.2">
      <c r="A37" s="11" t="s">
        <v>54</v>
      </c>
      <c r="B37" s="7" t="s">
        <v>101</v>
      </c>
      <c r="C37" s="7">
        <f t="shared" si="1"/>
        <v>1.5300000000000001E-3</v>
      </c>
      <c r="D37" s="7">
        <v>6.0000000000000001E-3</v>
      </c>
      <c r="E37" s="12" t="s">
        <v>2</v>
      </c>
      <c r="F37" s="3"/>
      <c r="G37" s="3"/>
      <c r="H37"/>
      <c r="I37"/>
      <c r="L37" s="3"/>
      <c r="S37" s="3"/>
      <c r="AQ37" s="30"/>
      <c r="AS37" s="5"/>
      <c r="AT37" s="5"/>
      <c r="AU37" s="5"/>
    </row>
    <row r="38" spans="1:47" x14ac:dyDescent="0.2">
      <c r="A38" s="3"/>
      <c r="B38" s="3"/>
      <c r="C38" s="3"/>
      <c r="D38" s="3"/>
      <c r="E38" s="3"/>
      <c r="F38" s="3"/>
      <c r="H38" s="179" t="s">
        <v>607</v>
      </c>
      <c r="I38" s="1">
        <f>I33+I35</f>
        <v>226.90463740988363</v>
      </c>
      <c r="L38" s="3"/>
      <c r="S38" s="3"/>
      <c r="AQ38" s="30"/>
      <c r="AS38" s="5"/>
      <c r="AT38" s="5"/>
      <c r="AU38" s="5"/>
    </row>
    <row r="39" spans="1:47" x14ac:dyDescent="0.2">
      <c r="A39" s="3"/>
      <c r="B39" s="3"/>
      <c r="C39" s="3"/>
      <c r="D39" s="3"/>
      <c r="E39" s="3"/>
      <c r="F39" s="3"/>
      <c r="H39"/>
      <c r="I39"/>
      <c r="L39" s="3"/>
      <c r="S39" s="3"/>
      <c r="AQ39" s="30"/>
      <c r="AS39" s="5"/>
      <c r="AT39" s="5"/>
      <c r="AU39" s="5"/>
    </row>
    <row r="40" spans="1:47" x14ac:dyDescent="0.2">
      <c r="A40" s="3"/>
      <c r="B40" s="3"/>
      <c r="C40" s="3"/>
      <c r="D40" s="3"/>
      <c r="E40" s="3"/>
      <c r="F40" s="3"/>
      <c r="H40"/>
      <c r="I40"/>
      <c r="L40" s="3"/>
      <c r="S40" s="3"/>
      <c r="AD40" s="5"/>
      <c r="AQ40" s="30"/>
      <c r="AS40" s="5"/>
      <c r="AT40" s="5"/>
      <c r="AU40" s="5"/>
    </row>
    <row r="41" spans="1:47" x14ac:dyDescent="0.2">
      <c r="H41"/>
      <c r="I41"/>
      <c r="AD41" s="4"/>
      <c r="AQ41" s="30"/>
    </row>
    <row r="42" spans="1:47" s="7" customFormat="1" x14ac:dyDescent="0.2">
      <c r="A42" s="17" t="s">
        <v>708</v>
      </c>
      <c r="U42" s="151" t="s">
        <v>550</v>
      </c>
      <c r="V42" s="152" t="s">
        <v>551</v>
      </c>
      <c r="W42" s="152" t="s">
        <v>550</v>
      </c>
      <c r="X42" s="152" t="s">
        <v>551</v>
      </c>
      <c r="Y42" s="153" t="s">
        <v>552</v>
      </c>
      <c r="Z42" s="154"/>
      <c r="AA42" s="155"/>
      <c r="AB42" s="17" t="s">
        <v>105</v>
      </c>
      <c r="AC42" s="17"/>
      <c r="AD42" s="32" t="s">
        <v>549</v>
      </c>
      <c r="AE42" s="33"/>
      <c r="AF42" s="33"/>
      <c r="AG42" s="33" t="s">
        <v>548</v>
      </c>
      <c r="AH42" s="33"/>
      <c r="AI42" s="33"/>
      <c r="AJ42" s="33" t="s">
        <v>547</v>
      </c>
      <c r="AK42" s="33"/>
      <c r="AL42" s="33"/>
      <c r="AM42" s="158" t="s">
        <v>553</v>
      </c>
      <c r="AN42" s="154"/>
      <c r="AO42" s="155"/>
    </row>
    <row r="43" spans="1:47" s="49" customFormat="1" ht="15" customHeight="1" x14ac:dyDescent="0.2">
      <c r="A43" s="57" t="s">
        <v>58</v>
      </c>
      <c r="B43" s="55" t="s">
        <v>289</v>
      </c>
      <c r="C43" s="56" t="s">
        <v>100</v>
      </c>
      <c r="D43" s="56" t="s">
        <v>11</v>
      </c>
      <c r="E43" s="63" t="s">
        <v>291</v>
      </c>
      <c r="F43" s="63"/>
      <c r="G43" s="66" t="s">
        <v>292</v>
      </c>
      <c r="H43" s="66" t="s">
        <v>8</v>
      </c>
      <c r="I43" s="66" t="s">
        <v>217</v>
      </c>
      <c r="J43" s="66" t="s">
        <v>11</v>
      </c>
      <c r="K43" s="66" t="s">
        <v>291</v>
      </c>
      <c r="L43" s="63"/>
      <c r="M43" s="67" t="s">
        <v>293</v>
      </c>
      <c r="N43" s="67" t="s">
        <v>8</v>
      </c>
      <c r="O43" s="67" t="s">
        <v>217</v>
      </c>
      <c r="P43" s="67" t="s">
        <v>11</v>
      </c>
      <c r="Q43" s="67" t="s">
        <v>291</v>
      </c>
      <c r="R43" s="67"/>
      <c r="S43" s="63"/>
      <c r="T43" s="79" t="s">
        <v>275</v>
      </c>
      <c r="U43" s="126" t="s">
        <v>530</v>
      </c>
      <c r="V43" s="114" t="s">
        <v>531</v>
      </c>
      <c r="W43" s="114" t="s">
        <v>532</v>
      </c>
      <c r="X43" s="114" t="s">
        <v>533</v>
      </c>
      <c r="Y43" s="114" t="s">
        <v>534</v>
      </c>
      <c r="Z43" s="114" t="s">
        <v>535</v>
      </c>
      <c r="AA43" s="131" t="s">
        <v>536</v>
      </c>
      <c r="AB43" s="22" t="s">
        <v>545</v>
      </c>
      <c r="AC43" s="23" t="s">
        <v>546</v>
      </c>
      <c r="AD43" s="148" t="s">
        <v>31</v>
      </c>
      <c r="AE43" s="149" t="s">
        <v>32</v>
      </c>
      <c r="AF43" s="150" t="s">
        <v>33</v>
      </c>
      <c r="AG43" s="148" t="s">
        <v>31</v>
      </c>
      <c r="AH43" s="149" t="s">
        <v>32</v>
      </c>
      <c r="AI43" s="150" t="s">
        <v>33</v>
      </c>
      <c r="AJ43" s="148" t="s">
        <v>31</v>
      </c>
      <c r="AK43" s="149" t="s">
        <v>32</v>
      </c>
      <c r="AL43" s="149" t="s">
        <v>33</v>
      </c>
      <c r="AM43" s="159"/>
      <c r="AN43" s="156"/>
      <c r="AO43" s="160"/>
    </row>
    <row r="44" spans="1:47" s="8" customFormat="1" ht="15" customHeight="1" x14ac:dyDescent="0.2">
      <c r="A44" s="68" t="s">
        <v>59</v>
      </c>
      <c r="B44" s="54" t="s">
        <v>30</v>
      </c>
      <c r="C44" s="51">
        <v>0.1</v>
      </c>
      <c r="D44" s="51" t="s">
        <v>2</v>
      </c>
      <c r="E44" s="62" t="s">
        <v>294</v>
      </c>
      <c r="F44" s="62">
        <v>0</v>
      </c>
      <c r="G44" s="51" t="s">
        <v>12</v>
      </c>
      <c r="H44" s="51">
        <v>0</v>
      </c>
      <c r="I44" s="69">
        <v>0</v>
      </c>
      <c r="J44" s="51">
        <v>0</v>
      </c>
      <c r="K44" s="51">
        <v>0</v>
      </c>
      <c r="L44" s="62">
        <v>0</v>
      </c>
      <c r="M44" s="51" t="s">
        <v>30</v>
      </c>
      <c r="N44" s="51" t="s">
        <v>7</v>
      </c>
      <c r="O44" s="69">
        <v>9.9000000000000008E-3</v>
      </c>
      <c r="P44" s="51" t="s">
        <v>2</v>
      </c>
      <c r="Q44" s="8" t="s">
        <v>1367</v>
      </c>
      <c r="R44" s="8">
        <v>0</v>
      </c>
      <c r="S44" s="62">
        <v>0</v>
      </c>
      <c r="T44" s="80" t="s">
        <v>34</v>
      </c>
      <c r="U44" s="127">
        <v>0</v>
      </c>
      <c r="V44" s="115">
        <v>0</v>
      </c>
      <c r="W44" s="115">
        <v>0</v>
      </c>
      <c r="X44" s="115">
        <v>0</v>
      </c>
      <c r="Y44" s="129">
        <v>7.06</v>
      </c>
      <c r="Z44" s="129">
        <v>78.599999999999994</v>
      </c>
      <c r="AA44" s="132" t="s">
        <v>539</v>
      </c>
      <c r="AB44" s="27">
        <f>$C$17*I44</f>
        <v>0</v>
      </c>
      <c r="AC44" s="29">
        <f>$C$17*O44</f>
        <v>5.8924800000000002E-5</v>
      </c>
      <c r="AD44" s="24">
        <f>AB44*U44+AC44*W44</f>
        <v>0</v>
      </c>
      <c r="AE44" s="135">
        <f t="shared" ref="AE44" si="2">AB44*V44+AC44*X44</f>
        <v>0</v>
      </c>
      <c r="AF44" s="24">
        <f t="shared" ref="AF44" si="3">AB44*Y44+AC44*Z44</f>
        <v>4.6314892799999997E-3</v>
      </c>
      <c r="AG44" s="24">
        <f t="shared" ref="AG44" si="4">AB44*U44</f>
        <v>0</v>
      </c>
      <c r="AH44" s="24">
        <f t="shared" ref="AH44" si="5">AB44*V44</f>
        <v>0</v>
      </c>
      <c r="AI44" s="24">
        <f t="shared" ref="AI44" si="6">AB44*Y44</f>
        <v>0</v>
      </c>
      <c r="AJ44" s="24">
        <f t="shared" ref="AJ44" si="7">AC44*W44</f>
        <v>0</v>
      </c>
      <c r="AK44" s="24">
        <f t="shared" ref="AK44" si="8">AC44*X44</f>
        <v>0</v>
      </c>
      <c r="AL44" s="24">
        <f t="shared" ref="AL44" si="9">AC44*Z44</f>
        <v>4.6314892799999997E-3</v>
      </c>
      <c r="AM44" s="161">
        <f t="shared" ref="AM44:AO44" si="10">AG44+AJ44</f>
        <v>0</v>
      </c>
      <c r="AN44" s="157">
        <f t="shared" si="10"/>
        <v>0</v>
      </c>
      <c r="AO44" s="162">
        <f t="shared" si="10"/>
        <v>4.6314892799999997E-3</v>
      </c>
    </row>
    <row r="45" spans="1:47" s="8" customFormat="1" ht="15" customHeight="1" x14ac:dyDescent="0.2">
      <c r="A45" s="68" t="s">
        <v>59</v>
      </c>
      <c r="B45" s="54" t="s">
        <v>15</v>
      </c>
      <c r="C45" s="51">
        <v>0.25</v>
      </c>
      <c r="D45" s="51" t="s">
        <v>2</v>
      </c>
      <c r="E45" s="62" t="s">
        <v>294</v>
      </c>
      <c r="F45" s="62">
        <v>0</v>
      </c>
      <c r="G45" s="51" t="s">
        <v>12</v>
      </c>
      <c r="H45" s="51">
        <v>0</v>
      </c>
      <c r="I45" s="69">
        <v>0</v>
      </c>
      <c r="J45" s="51">
        <v>0</v>
      </c>
      <c r="K45" s="51">
        <v>0</v>
      </c>
      <c r="L45" s="62">
        <v>0</v>
      </c>
      <c r="M45" s="51" t="s">
        <v>15</v>
      </c>
      <c r="N45" s="51" t="s">
        <v>7</v>
      </c>
      <c r="O45" s="69">
        <v>2.5000000000000001E-2</v>
      </c>
      <c r="P45" s="51" t="s">
        <v>2</v>
      </c>
      <c r="Q45" s="51">
        <v>0</v>
      </c>
      <c r="R45" s="51">
        <v>0</v>
      </c>
      <c r="S45" s="62">
        <v>0</v>
      </c>
      <c r="T45" s="54" t="s">
        <v>13</v>
      </c>
      <c r="U45" s="127">
        <v>0</v>
      </c>
      <c r="V45" s="115">
        <v>1.2009414857886904E-7</v>
      </c>
      <c r="W45" s="115">
        <v>0</v>
      </c>
      <c r="X45" s="115">
        <v>3.2843909509658706E-7</v>
      </c>
      <c r="Y45" s="115">
        <v>14.526941022240393</v>
      </c>
      <c r="Z45" s="115">
        <v>111.251141519207</v>
      </c>
      <c r="AA45" s="132" t="s">
        <v>538</v>
      </c>
      <c r="AB45" s="27">
        <f t="shared" ref="AB45:AB49" si="11">$C$17*I45</f>
        <v>0</v>
      </c>
      <c r="AC45" s="29">
        <f t="shared" ref="AC45:AC49" si="12">$C$17*O45</f>
        <v>1.4880000000000001E-4</v>
      </c>
      <c r="AD45" s="135">
        <f t="shared" ref="AD45:AD98" si="13">AB45*U45+AC45*W45</f>
        <v>0</v>
      </c>
      <c r="AE45" s="135">
        <f t="shared" ref="AE45:AE98" si="14">AB45*V45+AC45*X45</f>
        <v>4.8871737350372158E-11</v>
      </c>
      <c r="AF45" s="24">
        <f t="shared" ref="AF45:AF98" si="15">AB45*Y45+AC45*Z45</f>
        <v>1.6554169858058004E-2</v>
      </c>
      <c r="AG45" s="24">
        <f t="shared" ref="AG45:AG98" si="16">AB45*U45</f>
        <v>0</v>
      </c>
      <c r="AH45" s="24">
        <f t="shared" ref="AH45:AH98" si="17">AB45*V45</f>
        <v>0</v>
      </c>
      <c r="AI45" s="24">
        <f t="shared" ref="AI45:AI98" si="18">AB45*Y45</f>
        <v>0</v>
      </c>
      <c r="AJ45" s="24">
        <f t="shared" ref="AJ45:AJ98" si="19">AC45*W45</f>
        <v>0</v>
      </c>
      <c r="AK45" s="24">
        <f t="shared" ref="AK45:AK98" si="20">AC45*X45</f>
        <v>4.8871737350372158E-11</v>
      </c>
      <c r="AL45" s="24">
        <f t="shared" ref="AL45:AL98" si="21">AC45*Z45</f>
        <v>1.6554169858058004E-2</v>
      </c>
      <c r="AM45" s="161">
        <f t="shared" ref="AM45:AM98" si="22">AG45+AJ45</f>
        <v>0</v>
      </c>
      <c r="AN45" s="157">
        <f t="shared" ref="AN45:AN98" si="23">AH45+AK45</f>
        <v>4.8871737350372158E-11</v>
      </c>
      <c r="AO45" s="162">
        <f t="shared" ref="AO45:AO98" si="24">AI45+AL45</f>
        <v>1.6554169858058004E-2</v>
      </c>
    </row>
    <row r="46" spans="1:47" s="8" customFormat="1" ht="15" customHeight="1" x14ac:dyDescent="0.2">
      <c r="A46" s="68" t="s">
        <v>59</v>
      </c>
      <c r="B46" s="54" t="s">
        <v>16</v>
      </c>
      <c r="C46" s="51">
        <v>0.1</v>
      </c>
      <c r="D46" s="51" t="s">
        <v>2</v>
      </c>
      <c r="E46" s="62" t="s">
        <v>294</v>
      </c>
      <c r="F46" s="62">
        <v>0</v>
      </c>
      <c r="G46" s="51" t="s">
        <v>12</v>
      </c>
      <c r="H46" s="51">
        <v>0</v>
      </c>
      <c r="I46" s="69">
        <v>0</v>
      </c>
      <c r="J46" s="51">
        <v>0</v>
      </c>
      <c r="K46" s="51">
        <v>0</v>
      </c>
      <c r="L46" s="62">
        <v>0</v>
      </c>
      <c r="M46" s="51" t="s">
        <v>69</v>
      </c>
      <c r="N46" s="51" t="s">
        <v>7</v>
      </c>
      <c r="O46" s="69">
        <v>1.0000000000000002E-2</v>
      </c>
      <c r="P46" s="51" t="s">
        <v>2</v>
      </c>
      <c r="Q46" s="51">
        <v>0</v>
      </c>
      <c r="R46" s="51">
        <v>0</v>
      </c>
      <c r="S46" s="62">
        <v>0</v>
      </c>
      <c r="T46" s="54" t="s">
        <v>17</v>
      </c>
      <c r="U46" s="127">
        <v>0</v>
      </c>
      <c r="V46" s="115">
        <v>0</v>
      </c>
      <c r="W46" s="115">
        <v>0</v>
      </c>
      <c r="X46" s="115">
        <v>0</v>
      </c>
      <c r="Y46" s="115">
        <v>47</v>
      </c>
      <c r="Z46" s="115">
        <v>913</v>
      </c>
      <c r="AA46" s="132" t="s">
        <v>539</v>
      </c>
      <c r="AB46" s="27">
        <f t="shared" si="11"/>
        <v>0</v>
      </c>
      <c r="AC46" s="29">
        <f t="shared" si="12"/>
        <v>5.9520000000000013E-5</v>
      </c>
      <c r="AD46" s="135">
        <f t="shared" si="13"/>
        <v>0</v>
      </c>
      <c r="AE46" s="135">
        <f t="shared" si="14"/>
        <v>0</v>
      </c>
      <c r="AF46" s="24">
        <f t="shared" si="15"/>
        <v>5.434176000000001E-2</v>
      </c>
      <c r="AG46" s="24">
        <f t="shared" si="16"/>
        <v>0</v>
      </c>
      <c r="AH46" s="24">
        <f t="shared" si="17"/>
        <v>0</v>
      </c>
      <c r="AI46" s="24">
        <f t="shared" si="18"/>
        <v>0</v>
      </c>
      <c r="AJ46" s="24">
        <f t="shared" si="19"/>
        <v>0</v>
      </c>
      <c r="AK46" s="24">
        <f t="shared" si="20"/>
        <v>0</v>
      </c>
      <c r="AL46" s="24">
        <f t="shared" si="21"/>
        <v>5.434176000000001E-2</v>
      </c>
      <c r="AM46" s="161">
        <f t="shared" si="22"/>
        <v>0</v>
      </c>
      <c r="AN46" s="157">
        <f t="shared" si="23"/>
        <v>0</v>
      </c>
      <c r="AO46" s="162">
        <f t="shared" si="24"/>
        <v>5.434176000000001E-2</v>
      </c>
    </row>
    <row r="47" spans="1:47" s="8" customFormat="1" ht="15" customHeight="1" x14ac:dyDescent="0.2">
      <c r="A47" s="68" t="s">
        <v>59</v>
      </c>
      <c r="B47" s="54" t="s">
        <v>18</v>
      </c>
      <c r="C47" s="51">
        <v>0.05</v>
      </c>
      <c r="D47" s="51" t="s">
        <v>2</v>
      </c>
      <c r="E47" s="62" t="s">
        <v>294</v>
      </c>
      <c r="F47" s="62">
        <v>0</v>
      </c>
      <c r="G47" s="51" t="s">
        <v>12</v>
      </c>
      <c r="H47" s="51">
        <v>0</v>
      </c>
      <c r="I47" s="69">
        <v>0</v>
      </c>
      <c r="J47" s="51">
        <v>0</v>
      </c>
      <c r="K47" s="51">
        <v>0</v>
      </c>
      <c r="L47" s="62">
        <v>0</v>
      </c>
      <c r="M47" s="51" t="s">
        <v>18</v>
      </c>
      <c r="N47" s="51" t="s">
        <v>7</v>
      </c>
      <c r="O47" s="69">
        <v>5.000000000000001E-3</v>
      </c>
      <c r="P47" s="51" t="s">
        <v>2</v>
      </c>
      <c r="Q47" s="51">
        <v>0</v>
      </c>
      <c r="R47" s="51">
        <v>0</v>
      </c>
      <c r="S47" s="62">
        <v>0</v>
      </c>
      <c r="T47" s="54" t="s">
        <v>14</v>
      </c>
      <c r="U47" s="127">
        <v>0</v>
      </c>
      <c r="V47" s="115">
        <v>0</v>
      </c>
      <c r="W47" s="115">
        <v>0</v>
      </c>
      <c r="X47" s="115">
        <v>0</v>
      </c>
      <c r="Y47" s="115">
        <v>109.72</v>
      </c>
      <c r="Z47" s="115">
        <v>110</v>
      </c>
      <c r="AA47" s="132" t="s">
        <v>539</v>
      </c>
      <c r="AB47" s="27">
        <f t="shared" si="11"/>
        <v>0</v>
      </c>
      <c r="AC47" s="29">
        <f t="shared" si="12"/>
        <v>2.9760000000000006E-5</v>
      </c>
      <c r="AD47" s="135">
        <f t="shared" si="13"/>
        <v>0</v>
      </c>
      <c r="AE47" s="135">
        <f t="shared" si="14"/>
        <v>0</v>
      </c>
      <c r="AF47" s="24">
        <f t="shared" si="15"/>
        <v>3.2736000000000006E-3</v>
      </c>
      <c r="AG47" s="24">
        <f t="shared" si="16"/>
        <v>0</v>
      </c>
      <c r="AH47" s="24">
        <f t="shared" si="17"/>
        <v>0</v>
      </c>
      <c r="AI47" s="24">
        <f t="shared" si="18"/>
        <v>0</v>
      </c>
      <c r="AJ47" s="24">
        <f t="shared" si="19"/>
        <v>0</v>
      </c>
      <c r="AK47" s="24">
        <f t="shared" si="20"/>
        <v>0</v>
      </c>
      <c r="AL47" s="24">
        <f t="shared" si="21"/>
        <v>3.2736000000000006E-3</v>
      </c>
      <c r="AM47" s="161">
        <f t="shared" si="22"/>
        <v>0</v>
      </c>
      <c r="AN47" s="157">
        <f t="shared" si="23"/>
        <v>0</v>
      </c>
      <c r="AO47" s="162">
        <f t="shared" si="24"/>
        <v>3.2736000000000006E-3</v>
      </c>
    </row>
    <row r="48" spans="1:47" s="8" customFormat="1" ht="15" customHeight="1" x14ac:dyDescent="0.2">
      <c r="A48" s="68" t="s">
        <v>59</v>
      </c>
      <c r="B48" s="50" t="s">
        <v>39</v>
      </c>
      <c r="C48" s="51">
        <v>0</v>
      </c>
      <c r="D48" s="51">
        <v>0</v>
      </c>
      <c r="E48" s="62" t="s">
        <v>1369</v>
      </c>
      <c r="F48" s="62">
        <v>0</v>
      </c>
      <c r="G48" s="51" t="s">
        <v>39</v>
      </c>
      <c r="H48" s="51" t="s">
        <v>6</v>
      </c>
      <c r="I48" s="69">
        <v>1.0000000000000001E-7</v>
      </c>
      <c r="J48" s="51" t="s">
        <v>2</v>
      </c>
      <c r="K48" s="54">
        <v>0</v>
      </c>
      <c r="L48" s="62">
        <v>0</v>
      </c>
      <c r="M48" s="51" t="s">
        <v>39</v>
      </c>
      <c r="N48" s="51" t="s">
        <v>7</v>
      </c>
      <c r="O48" s="69">
        <v>1.0000000000000001E-5</v>
      </c>
      <c r="P48" s="51" t="s">
        <v>2</v>
      </c>
      <c r="Q48" s="54" t="s">
        <v>295</v>
      </c>
      <c r="R48" s="54">
        <v>0</v>
      </c>
      <c r="S48" s="62">
        <v>0</v>
      </c>
      <c r="T48" s="54" t="s">
        <v>60</v>
      </c>
      <c r="U48" s="127">
        <v>1.0252176328593382E-6</v>
      </c>
      <c r="V48" s="115">
        <v>0</v>
      </c>
      <c r="W48" s="115">
        <v>8.6533271568247147E-7</v>
      </c>
      <c r="X48" s="115">
        <v>0</v>
      </c>
      <c r="Y48" s="115">
        <v>0.65406517859613422</v>
      </c>
      <c r="Z48" s="115">
        <v>11.248588270889815</v>
      </c>
      <c r="AA48" s="132" t="s">
        <v>537</v>
      </c>
      <c r="AB48" s="27">
        <f t="shared" si="11"/>
        <v>5.9520000000000007E-10</v>
      </c>
      <c r="AC48" s="29">
        <f t="shared" si="12"/>
        <v>5.9520000000000006E-8</v>
      </c>
      <c r="AD48" s="135">
        <f t="shared" si="13"/>
        <v>5.2114812772498589E-14</v>
      </c>
      <c r="AE48" s="135">
        <f t="shared" si="14"/>
        <v>0</v>
      </c>
      <c r="AF48" s="24">
        <f t="shared" si="15"/>
        <v>6.6990527347766231E-7</v>
      </c>
      <c r="AG48" s="24">
        <f t="shared" si="16"/>
        <v>6.1020953507787812E-16</v>
      </c>
      <c r="AH48" s="24">
        <f t="shared" si="17"/>
        <v>0</v>
      </c>
      <c r="AI48" s="24">
        <f t="shared" si="18"/>
        <v>3.8929959430041913E-10</v>
      </c>
      <c r="AJ48" s="24">
        <f t="shared" si="19"/>
        <v>5.1504603237420708E-14</v>
      </c>
      <c r="AK48" s="24">
        <f t="shared" si="20"/>
        <v>0</v>
      </c>
      <c r="AL48" s="24">
        <f t="shared" si="21"/>
        <v>6.6951597388336191E-7</v>
      </c>
      <c r="AM48" s="161">
        <f t="shared" si="22"/>
        <v>5.2114812772498589E-14</v>
      </c>
      <c r="AN48" s="157">
        <f t="shared" si="23"/>
        <v>0</v>
      </c>
      <c r="AO48" s="162">
        <f t="shared" si="24"/>
        <v>6.6990527347766231E-7</v>
      </c>
    </row>
    <row r="49" spans="1:41" s="8" customFormat="1" ht="15" customHeight="1" x14ac:dyDescent="0.2">
      <c r="A49" s="68" t="s">
        <v>59</v>
      </c>
      <c r="B49" s="54" t="s">
        <v>87</v>
      </c>
      <c r="C49" s="51">
        <v>0</v>
      </c>
      <c r="D49" s="51">
        <v>0</v>
      </c>
      <c r="E49" s="62" t="s">
        <v>1370</v>
      </c>
      <c r="F49" s="62">
        <v>0</v>
      </c>
      <c r="G49" s="51" t="s">
        <v>3</v>
      </c>
      <c r="H49" s="51" t="s">
        <v>6</v>
      </c>
      <c r="I49" s="69">
        <v>1.0000000000000001E-7</v>
      </c>
      <c r="J49" s="51" t="s">
        <v>2</v>
      </c>
      <c r="K49" s="51">
        <v>0</v>
      </c>
      <c r="L49" s="62">
        <v>0</v>
      </c>
      <c r="M49" s="51" t="s">
        <v>3</v>
      </c>
      <c r="N49" s="51" t="s">
        <v>7</v>
      </c>
      <c r="O49" s="69">
        <v>1.0000000000000002E-6</v>
      </c>
      <c r="P49" s="51" t="s">
        <v>2</v>
      </c>
      <c r="Q49" s="51" t="s">
        <v>1371</v>
      </c>
      <c r="R49" s="51">
        <v>0</v>
      </c>
      <c r="S49" s="62">
        <v>0</v>
      </c>
      <c r="T49" s="54" t="s">
        <v>28</v>
      </c>
      <c r="U49" s="127">
        <v>2.5208446330720887E-5</v>
      </c>
      <c r="V49" s="115">
        <v>2.6504960021309262E-7</v>
      </c>
      <c r="W49" s="115">
        <v>1.4222228897488039E-7</v>
      </c>
      <c r="X49" s="115">
        <v>3.170874313501273E-7</v>
      </c>
      <c r="Y49" s="115">
        <v>17.989178582912412</v>
      </c>
      <c r="Z49" s="115">
        <v>290.05086067463066</v>
      </c>
      <c r="AA49" s="132" t="s">
        <v>537</v>
      </c>
      <c r="AB49" s="27">
        <f t="shared" si="11"/>
        <v>5.9520000000000007E-10</v>
      </c>
      <c r="AC49" s="29">
        <f t="shared" si="12"/>
        <v>5.952000000000001E-9</v>
      </c>
      <c r="AD49" s="135">
        <f t="shared" si="13"/>
        <v>1.5850574320023562E-14</v>
      </c>
      <c r="AE49" s="135">
        <f t="shared" si="14"/>
        <v>2.0450619134427907E-15</v>
      </c>
      <c r="AF49" s="24">
        <f t="shared" si="15"/>
        <v>1.7370898818279515E-6</v>
      </c>
      <c r="AG49" s="24">
        <f t="shared" si="16"/>
        <v>1.5004067256045073E-14</v>
      </c>
      <c r="AH49" s="24">
        <f t="shared" si="17"/>
        <v>1.5775752204683274E-16</v>
      </c>
      <c r="AI49" s="24">
        <f t="shared" si="18"/>
        <v>1.0707159092549469E-8</v>
      </c>
      <c r="AJ49" s="24">
        <f t="shared" si="19"/>
        <v>8.465070639784883E-16</v>
      </c>
      <c r="AK49" s="24">
        <f t="shared" si="20"/>
        <v>1.8873043913959581E-15</v>
      </c>
      <c r="AL49" s="24">
        <f t="shared" si="21"/>
        <v>1.726382722735402E-6</v>
      </c>
      <c r="AM49" s="161">
        <f t="shared" si="22"/>
        <v>1.5850574320023562E-14</v>
      </c>
      <c r="AN49" s="157">
        <f t="shared" si="23"/>
        <v>2.0450619134427907E-15</v>
      </c>
      <c r="AO49" s="162">
        <f t="shared" si="24"/>
        <v>1.7370898818279515E-6</v>
      </c>
    </row>
    <row r="50" spans="1:41" s="8" customFormat="1" ht="15" customHeight="1" x14ac:dyDescent="0.2">
      <c r="A50" s="70" t="s">
        <v>64</v>
      </c>
      <c r="B50" s="53" t="s">
        <v>30</v>
      </c>
      <c r="C50" s="71">
        <v>0.1</v>
      </c>
      <c r="D50" s="51" t="s">
        <v>2</v>
      </c>
      <c r="E50" s="62" t="s">
        <v>296</v>
      </c>
      <c r="F50" s="62">
        <v>0</v>
      </c>
      <c r="G50" s="8" t="s">
        <v>12</v>
      </c>
      <c r="H50" s="51">
        <v>0</v>
      </c>
      <c r="I50" s="69">
        <v>0</v>
      </c>
      <c r="J50" s="51">
        <v>0</v>
      </c>
      <c r="K50" s="51">
        <v>0</v>
      </c>
      <c r="L50" s="62">
        <v>0</v>
      </c>
      <c r="M50" s="51" t="s">
        <v>30</v>
      </c>
      <c r="N50" s="51" t="s">
        <v>7</v>
      </c>
      <c r="O50" s="69">
        <v>1.0000000000000002E-2</v>
      </c>
      <c r="P50" s="51" t="s">
        <v>2</v>
      </c>
      <c r="Q50" s="51">
        <v>0</v>
      </c>
      <c r="R50" s="51">
        <v>0</v>
      </c>
      <c r="S50" s="62">
        <v>0</v>
      </c>
      <c r="T50" s="80" t="s">
        <v>34</v>
      </c>
      <c r="U50" s="127">
        <v>0</v>
      </c>
      <c r="V50" s="115">
        <v>0</v>
      </c>
      <c r="W50" s="115">
        <v>0</v>
      </c>
      <c r="X50" s="115">
        <v>0</v>
      </c>
      <c r="Y50" s="129">
        <v>7.06</v>
      </c>
      <c r="Z50" s="129">
        <v>78.599999999999994</v>
      </c>
      <c r="AA50" s="132" t="s">
        <v>539</v>
      </c>
      <c r="AB50" s="27">
        <f>$C$18*I50</f>
        <v>0</v>
      </c>
      <c r="AC50" s="29">
        <f>$C$18*O50</f>
        <v>5.9520000000000016E-6</v>
      </c>
      <c r="AD50" s="135">
        <f t="shared" si="13"/>
        <v>0</v>
      </c>
      <c r="AE50" s="135">
        <f t="shared" si="14"/>
        <v>0</v>
      </c>
      <c r="AF50" s="24">
        <f t="shared" si="15"/>
        <v>4.678272000000001E-4</v>
      </c>
      <c r="AG50" s="24">
        <f t="shared" si="16"/>
        <v>0</v>
      </c>
      <c r="AH50" s="24">
        <f t="shared" si="17"/>
        <v>0</v>
      </c>
      <c r="AI50" s="24">
        <f t="shared" si="18"/>
        <v>0</v>
      </c>
      <c r="AJ50" s="24">
        <f t="shared" si="19"/>
        <v>0</v>
      </c>
      <c r="AK50" s="24">
        <f t="shared" si="20"/>
        <v>0</v>
      </c>
      <c r="AL50" s="24">
        <f t="shared" si="21"/>
        <v>4.678272000000001E-4</v>
      </c>
      <c r="AM50" s="161">
        <f t="shared" si="22"/>
        <v>0</v>
      </c>
      <c r="AN50" s="157">
        <f t="shared" si="23"/>
        <v>0</v>
      </c>
      <c r="AO50" s="162">
        <f t="shared" si="24"/>
        <v>4.678272000000001E-4</v>
      </c>
    </row>
    <row r="51" spans="1:41" s="8" customFormat="1" ht="15" customHeight="1" x14ac:dyDescent="0.2">
      <c r="A51" s="70" t="s">
        <v>64</v>
      </c>
      <c r="B51" s="53" t="s">
        <v>19</v>
      </c>
      <c r="C51" s="71">
        <v>0.1</v>
      </c>
      <c r="D51" s="51" t="s">
        <v>2</v>
      </c>
      <c r="E51" s="62" t="s">
        <v>296</v>
      </c>
      <c r="F51" s="62">
        <v>0</v>
      </c>
      <c r="G51" s="8" t="s">
        <v>12</v>
      </c>
      <c r="H51" s="51">
        <v>0</v>
      </c>
      <c r="I51" s="69">
        <v>0</v>
      </c>
      <c r="J51" s="51">
        <v>0</v>
      </c>
      <c r="K51" s="51">
        <v>0</v>
      </c>
      <c r="L51" s="62">
        <v>0</v>
      </c>
      <c r="M51" s="51" t="s">
        <v>65</v>
      </c>
      <c r="N51" s="51" t="s">
        <v>7</v>
      </c>
      <c r="O51" s="69">
        <v>1.0000000000000002E-2</v>
      </c>
      <c r="P51" s="51" t="s">
        <v>2</v>
      </c>
      <c r="Q51" s="51">
        <v>0</v>
      </c>
      <c r="R51" s="51">
        <v>0</v>
      </c>
      <c r="S51" s="62">
        <v>0</v>
      </c>
      <c r="T51" s="54" t="s">
        <v>20</v>
      </c>
      <c r="U51" s="127">
        <v>0</v>
      </c>
      <c r="V51" s="115">
        <v>2.5624272316803493E-8</v>
      </c>
      <c r="W51" s="115">
        <v>0</v>
      </c>
      <c r="X51" s="115">
        <v>6.1179997974786175E-9</v>
      </c>
      <c r="Y51" s="115">
        <v>95.727827940780713</v>
      </c>
      <c r="Z51" s="115">
        <v>451.93033608164546</v>
      </c>
      <c r="AA51" s="132" t="s">
        <v>538</v>
      </c>
      <c r="AB51" s="27">
        <f t="shared" ref="AB51:AB53" si="25">$C$18*I51</f>
        <v>0</v>
      </c>
      <c r="AC51" s="29">
        <f t="shared" ref="AC51:AC53" si="26">$C$18*O51</f>
        <v>5.9520000000000016E-6</v>
      </c>
      <c r="AD51" s="135">
        <f t="shared" si="13"/>
        <v>0</v>
      </c>
      <c r="AE51" s="135">
        <f t="shared" si="14"/>
        <v>3.6414334794592739E-14</v>
      </c>
      <c r="AF51" s="24">
        <f t="shared" si="15"/>
        <v>2.6898893603579544E-3</v>
      </c>
      <c r="AG51" s="24">
        <f t="shared" si="16"/>
        <v>0</v>
      </c>
      <c r="AH51" s="24">
        <f t="shared" si="17"/>
        <v>0</v>
      </c>
      <c r="AI51" s="24">
        <f t="shared" si="18"/>
        <v>0</v>
      </c>
      <c r="AJ51" s="24">
        <f t="shared" si="19"/>
        <v>0</v>
      </c>
      <c r="AK51" s="24">
        <f t="shared" si="20"/>
        <v>3.6414334794592739E-14</v>
      </c>
      <c r="AL51" s="24">
        <f t="shared" si="21"/>
        <v>2.6898893603579544E-3</v>
      </c>
      <c r="AM51" s="161">
        <f t="shared" si="22"/>
        <v>0</v>
      </c>
      <c r="AN51" s="157">
        <f t="shared" si="23"/>
        <v>3.6414334794592739E-14</v>
      </c>
      <c r="AO51" s="162">
        <f t="shared" si="24"/>
        <v>2.6898893603579544E-3</v>
      </c>
    </row>
    <row r="52" spans="1:41" s="8" customFormat="1" ht="15" customHeight="1" x14ac:dyDescent="0.2">
      <c r="A52" s="70" t="s">
        <v>64</v>
      </c>
      <c r="B52" s="53" t="s">
        <v>40</v>
      </c>
      <c r="C52" s="72">
        <v>5.0000000000000001E-3</v>
      </c>
      <c r="D52" s="51" t="s">
        <v>2</v>
      </c>
      <c r="E52" s="62" t="s">
        <v>296</v>
      </c>
      <c r="F52" s="62">
        <v>0</v>
      </c>
      <c r="G52" s="8" t="s">
        <v>12</v>
      </c>
      <c r="H52" s="51">
        <v>0</v>
      </c>
      <c r="I52" s="69">
        <v>0</v>
      </c>
      <c r="J52" s="51">
        <v>0</v>
      </c>
      <c r="K52" s="51" t="s">
        <v>297</v>
      </c>
      <c r="L52" s="62">
        <v>0</v>
      </c>
      <c r="M52" s="51" t="s">
        <v>40</v>
      </c>
      <c r="N52" s="51" t="s">
        <v>7</v>
      </c>
      <c r="O52" s="69">
        <v>5.0000000000000001E-4</v>
      </c>
      <c r="P52" s="51" t="s">
        <v>2</v>
      </c>
      <c r="Q52" s="51">
        <v>0</v>
      </c>
      <c r="R52" s="51">
        <v>0</v>
      </c>
      <c r="S52" s="62">
        <v>0</v>
      </c>
      <c r="T52" s="54" t="s">
        <v>24</v>
      </c>
      <c r="U52" s="127">
        <v>0</v>
      </c>
      <c r="V52" s="115">
        <v>0</v>
      </c>
      <c r="W52" s="115">
        <v>0</v>
      </c>
      <c r="X52" s="115">
        <v>0</v>
      </c>
      <c r="Y52" s="129">
        <v>7.4</v>
      </c>
      <c r="Z52" s="129">
        <v>17.7</v>
      </c>
      <c r="AA52" s="132" t="s">
        <v>539</v>
      </c>
      <c r="AB52" s="27">
        <f t="shared" si="25"/>
        <v>0</v>
      </c>
      <c r="AC52" s="29">
        <f t="shared" si="26"/>
        <v>2.9760000000000002E-7</v>
      </c>
      <c r="AD52" s="135">
        <f t="shared" si="13"/>
        <v>0</v>
      </c>
      <c r="AE52" s="135">
        <f t="shared" si="14"/>
        <v>0</v>
      </c>
      <c r="AF52" s="24">
        <f>AB52*Y52+AC52*Z52</f>
        <v>5.2675200000000005E-6</v>
      </c>
      <c r="AG52" s="24">
        <f t="shared" si="16"/>
        <v>0</v>
      </c>
      <c r="AH52" s="24">
        <f t="shared" si="17"/>
        <v>0</v>
      </c>
      <c r="AI52" s="24">
        <f t="shared" si="18"/>
        <v>0</v>
      </c>
      <c r="AJ52" s="24">
        <f t="shared" si="19"/>
        <v>0</v>
      </c>
      <c r="AK52" s="24">
        <f t="shared" si="20"/>
        <v>0</v>
      </c>
      <c r="AL52" s="24">
        <f t="shared" si="21"/>
        <v>5.2675200000000005E-6</v>
      </c>
      <c r="AM52" s="161">
        <f t="shared" si="22"/>
        <v>0</v>
      </c>
      <c r="AN52" s="157">
        <f t="shared" si="23"/>
        <v>0</v>
      </c>
      <c r="AO52" s="162">
        <f t="shared" si="24"/>
        <v>5.2675200000000005E-6</v>
      </c>
    </row>
    <row r="53" spans="1:41" s="8" customFormat="1" ht="15" customHeight="1" x14ac:dyDescent="0.2">
      <c r="A53" s="70" t="s">
        <v>64</v>
      </c>
      <c r="B53" s="53" t="s">
        <v>87</v>
      </c>
      <c r="C53" s="72">
        <v>0</v>
      </c>
      <c r="D53" s="51">
        <v>0</v>
      </c>
      <c r="E53" s="62" t="s">
        <v>1370</v>
      </c>
      <c r="F53" s="62">
        <v>0</v>
      </c>
      <c r="G53" s="8" t="s">
        <v>3</v>
      </c>
      <c r="H53" s="51" t="s">
        <v>6</v>
      </c>
      <c r="I53" s="69">
        <v>1.0000000000000001E-7</v>
      </c>
      <c r="J53" s="51" t="s">
        <v>2</v>
      </c>
      <c r="K53" s="51">
        <v>0</v>
      </c>
      <c r="L53" s="62">
        <v>0</v>
      </c>
      <c r="M53" s="51" t="s">
        <v>3</v>
      </c>
      <c r="N53" s="51" t="s">
        <v>7</v>
      </c>
      <c r="O53" s="69">
        <v>1.0000000000000002E-6</v>
      </c>
      <c r="P53" s="51" t="s">
        <v>2</v>
      </c>
      <c r="Q53" s="51" t="s">
        <v>1371</v>
      </c>
      <c r="R53" s="51">
        <v>0</v>
      </c>
      <c r="S53" s="62">
        <v>0</v>
      </c>
      <c r="T53" s="54" t="s">
        <v>28</v>
      </c>
      <c r="U53" s="127">
        <v>2.5208446330720887E-5</v>
      </c>
      <c r="V53" s="115">
        <v>2.6504960021309262E-7</v>
      </c>
      <c r="W53" s="115">
        <v>1.4222228897488039E-7</v>
      </c>
      <c r="X53" s="115">
        <v>3.170874313501273E-7</v>
      </c>
      <c r="Y53" s="115">
        <v>17.989178582912412</v>
      </c>
      <c r="Z53" s="115">
        <v>290.05086067463066</v>
      </c>
      <c r="AA53" s="132" t="s">
        <v>537</v>
      </c>
      <c r="AB53" s="27">
        <f t="shared" si="25"/>
        <v>5.9520000000000005E-11</v>
      </c>
      <c r="AC53" s="29">
        <f t="shared" si="26"/>
        <v>5.9520000000000018E-10</v>
      </c>
      <c r="AD53" s="135">
        <f t="shared" si="13"/>
        <v>1.5850574320023562E-15</v>
      </c>
      <c r="AE53" s="135">
        <f t="shared" si="14"/>
        <v>2.045061913442791E-16</v>
      </c>
      <c r="AF53" s="24">
        <f t="shared" si="15"/>
        <v>1.7370898818279516E-7</v>
      </c>
      <c r="AG53" s="24">
        <f t="shared" si="16"/>
        <v>1.5004067256045073E-15</v>
      </c>
      <c r="AH53" s="24">
        <f t="shared" si="17"/>
        <v>1.5775752204683275E-17</v>
      </c>
      <c r="AI53" s="24">
        <f t="shared" si="18"/>
        <v>1.0707159092549468E-9</v>
      </c>
      <c r="AJ53" s="24">
        <f t="shared" si="19"/>
        <v>8.4650706397848842E-17</v>
      </c>
      <c r="AK53" s="24">
        <f t="shared" si="20"/>
        <v>1.8873043913959583E-16</v>
      </c>
      <c r="AL53" s="24">
        <f t="shared" si="21"/>
        <v>1.7263827227354021E-7</v>
      </c>
      <c r="AM53" s="161">
        <f t="shared" si="22"/>
        <v>1.5850574320023562E-15</v>
      </c>
      <c r="AN53" s="157">
        <f t="shared" si="23"/>
        <v>2.045061913442791E-16</v>
      </c>
      <c r="AO53" s="162">
        <f t="shared" si="24"/>
        <v>1.7370898818279516E-7</v>
      </c>
    </row>
    <row r="54" spans="1:41" s="8" customFormat="1" ht="15" customHeight="1" x14ac:dyDescent="0.2">
      <c r="A54" s="54" t="s">
        <v>47</v>
      </c>
      <c r="B54" s="54" t="s">
        <v>5</v>
      </c>
      <c r="C54" s="74">
        <v>1</v>
      </c>
      <c r="D54" s="51" t="s">
        <v>2</v>
      </c>
      <c r="E54" s="64">
        <v>1</v>
      </c>
      <c r="F54" s="64">
        <v>0</v>
      </c>
      <c r="G54" s="51" t="s">
        <v>12</v>
      </c>
      <c r="H54" s="51">
        <v>0</v>
      </c>
      <c r="I54" s="69">
        <v>0</v>
      </c>
      <c r="J54" s="51">
        <v>0</v>
      </c>
      <c r="K54" s="51" t="s">
        <v>297</v>
      </c>
      <c r="L54" s="64">
        <v>0</v>
      </c>
      <c r="M54" s="51" t="s">
        <v>5</v>
      </c>
      <c r="N54" s="51" t="s">
        <v>7</v>
      </c>
      <c r="O54" s="69">
        <v>0.1</v>
      </c>
      <c r="P54" s="51" t="s">
        <v>2</v>
      </c>
      <c r="Q54" s="51">
        <v>0</v>
      </c>
      <c r="R54" s="51">
        <v>0</v>
      </c>
      <c r="S54" s="64">
        <v>0</v>
      </c>
      <c r="T54" s="54" t="s">
        <v>25</v>
      </c>
      <c r="U54" s="127">
        <v>0</v>
      </c>
      <c r="V54" s="115">
        <v>0</v>
      </c>
      <c r="W54" s="115">
        <v>0</v>
      </c>
      <c r="X54" s="115">
        <v>0</v>
      </c>
      <c r="Y54" s="115">
        <v>164.24</v>
      </c>
      <c r="Z54" s="115">
        <v>400.09</v>
      </c>
      <c r="AA54" s="132" t="s">
        <v>539</v>
      </c>
      <c r="AB54" s="27">
        <f>$C$19*I54</f>
        <v>0</v>
      </c>
      <c r="AC54" s="29">
        <f>$C$19*O54</f>
        <v>1.1904000000000001E-3</v>
      </c>
      <c r="AD54" s="135">
        <f t="shared" si="13"/>
        <v>0</v>
      </c>
      <c r="AE54" s="135">
        <f t="shared" si="14"/>
        <v>0</v>
      </c>
      <c r="AF54" s="24">
        <f t="shared" si="15"/>
        <v>0.47626713600000004</v>
      </c>
      <c r="AG54" s="24">
        <f t="shared" si="16"/>
        <v>0</v>
      </c>
      <c r="AH54" s="24">
        <f t="shared" si="17"/>
        <v>0</v>
      </c>
      <c r="AI54" s="24">
        <f t="shared" si="18"/>
        <v>0</v>
      </c>
      <c r="AJ54" s="24">
        <f t="shared" si="19"/>
        <v>0</v>
      </c>
      <c r="AK54" s="24">
        <f t="shared" si="20"/>
        <v>0</v>
      </c>
      <c r="AL54" s="24">
        <f t="shared" si="21"/>
        <v>0.47626713600000004</v>
      </c>
      <c r="AM54" s="161">
        <f t="shared" si="22"/>
        <v>0</v>
      </c>
      <c r="AN54" s="157">
        <f t="shared" si="23"/>
        <v>0</v>
      </c>
      <c r="AO54" s="162">
        <f t="shared" si="24"/>
        <v>0.47626713600000004</v>
      </c>
    </row>
    <row r="55" spans="1:41" s="8" customFormat="1" ht="15" customHeight="1" x14ac:dyDescent="0.2">
      <c r="A55" s="54" t="s">
        <v>1048</v>
      </c>
      <c r="B55" s="54" t="s">
        <v>1</v>
      </c>
      <c r="C55" s="74">
        <v>1</v>
      </c>
      <c r="D55" s="51" t="s">
        <v>2</v>
      </c>
      <c r="E55" s="64">
        <v>1</v>
      </c>
      <c r="F55" s="64">
        <v>0</v>
      </c>
      <c r="G55" s="51" t="s">
        <v>1</v>
      </c>
      <c r="H55" s="51" t="s">
        <v>6</v>
      </c>
      <c r="I55" s="69">
        <v>1E-3</v>
      </c>
      <c r="J55" s="51" t="s">
        <v>2</v>
      </c>
      <c r="K55" s="51">
        <v>0</v>
      </c>
      <c r="L55" s="64">
        <v>0</v>
      </c>
      <c r="M55" s="51" t="s">
        <v>1</v>
      </c>
      <c r="N55" s="51" t="s">
        <v>7</v>
      </c>
      <c r="O55" s="69">
        <v>1.0000000000000002E-2</v>
      </c>
      <c r="P55" s="8" t="s">
        <v>2</v>
      </c>
      <c r="Q55" s="8" t="s">
        <v>1368</v>
      </c>
      <c r="R55" s="8">
        <v>0</v>
      </c>
      <c r="S55" s="64">
        <v>0</v>
      </c>
      <c r="T55" s="54" t="s">
        <v>23</v>
      </c>
      <c r="U55" s="127">
        <v>0</v>
      </c>
      <c r="V55" s="115">
        <v>0</v>
      </c>
      <c r="W55" s="115">
        <v>0</v>
      </c>
      <c r="X55" s="115">
        <v>0</v>
      </c>
      <c r="Y55" s="117">
        <v>220</v>
      </c>
      <c r="Z55" s="117">
        <v>532</v>
      </c>
      <c r="AA55" s="132" t="s">
        <v>539</v>
      </c>
      <c r="AB55" s="27">
        <f>$C$20*I55</f>
        <v>2.0832E-5</v>
      </c>
      <c r="AC55" s="29">
        <f>$C$20*O55</f>
        <v>2.0832000000000004E-4</v>
      </c>
      <c r="AD55" s="135">
        <f t="shared" si="13"/>
        <v>0</v>
      </c>
      <c r="AE55" s="135">
        <f t="shared" si="14"/>
        <v>0</v>
      </c>
      <c r="AF55" s="24">
        <f t="shared" si="15"/>
        <v>0.11540928000000002</v>
      </c>
      <c r="AG55" s="24">
        <f t="shared" si="16"/>
        <v>0</v>
      </c>
      <c r="AH55" s="24">
        <f t="shared" si="17"/>
        <v>0</v>
      </c>
      <c r="AI55" s="24">
        <f t="shared" si="18"/>
        <v>4.58304E-3</v>
      </c>
      <c r="AJ55" s="24">
        <f t="shared" si="19"/>
        <v>0</v>
      </c>
      <c r="AK55" s="24">
        <f t="shared" si="20"/>
        <v>0</v>
      </c>
      <c r="AL55" s="24">
        <f t="shared" si="21"/>
        <v>0.11082624000000002</v>
      </c>
      <c r="AM55" s="161">
        <f t="shared" si="22"/>
        <v>0</v>
      </c>
      <c r="AN55" s="157">
        <f t="shared" si="23"/>
        <v>0</v>
      </c>
      <c r="AO55" s="162">
        <f t="shared" si="24"/>
        <v>0.11540928000000002</v>
      </c>
    </row>
    <row r="56" spans="1:41" s="8" customFormat="1" ht="15" customHeight="1" x14ac:dyDescent="0.2">
      <c r="A56" s="68" t="s">
        <v>75</v>
      </c>
      <c r="B56" s="54" t="s">
        <v>66</v>
      </c>
      <c r="C56" s="51">
        <v>0.05</v>
      </c>
      <c r="D56" s="51" t="s">
        <v>2</v>
      </c>
      <c r="E56" s="62" t="s">
        <v>294</v>
      </c>
      <c r="F56" s="62">
        <v>0</v>
      </c>
      <c r="G56" s="54" t="s">
        <v>12</v>
      </c>
      <c r="H56" s="51">
        <v>0</v>
      </c>
      <c r="I56" s="69">
        <v>0</v>
      </c>
      <c r="J56" s="51">
        <v>0</v>
      </c>
      <c r="K56" s="51">
        <v>0</v>
      </c>
      <c r="L56" s="62">
        <v>0</v>
      </c>
      <c r="M56" s="51" t="s">
        <v>66</v>
      </c>
      <c r="N56" s="51" t="s">
        <v>7</v>
      </c>
      <c r="O56" s="69">
        <v>5.000000000000001E-3</v>
      </c>
      <c r="P56" s="51" t="s">
        <v>2</v>
      </c>
      <c r="Q56" s="51">
        <v>0</v>
      </c>
      <c r="R56" s="51">
        <v>0</v>
      </c>
      <c r="S56" s="62">
        <v>0</v>
      </c>
      <c r="T56" s="54" t="s">
        <v>61</v>
      </c>
      <c r="U56" s="128">
        <v>0</v>
      </c>
      <c r="V56" s="115">
        <v>3.4962401965755862E-5</v>
      </c>
      <c r="W56" s="125">
        <v>0</v>
      </c>
      <c r="X56" s="115">
        <v>1.4442852689626513E-7</v>
      </c>
      <c r="Y56" s="115">
        <v>1.7253896630384493</v>
      </c>
      <c r="Z56" s="115">
        <v>5.4794308572283885</v>
      </c>
      <c r="AA56" s="132" t="s">
        <v>538</v>
      </c>
      <c r="AB56" s="27">
        <f>$C$21*I56</f>
        <v>0</v>
      </c>
      <c r="AC56" s="29">
        <f>$C$21*O56</f>
        <v>5.9520000000000013E-5</v>
      </c>
      <c r="AD56" s="135">
        <f>AB56*U56+AC56*W56</f>
        <v>0</v>
      </c>
      <c r="AE56" s="135">
        <f t="shared" si="14"/>
        <v>8.5963859208657028E-12</v>
      </c>
      <c r="AF56" s="24">
        <f t="shared" si="15"/>
        <v>3.2613572462223377E-4</v>
      </c>
      <c r="AG56" s="24">
        <f t="shared" si="16"/>
        <v>0</v>
      </c>
      <c r="AH56" s="24">
        <f t="shared" si="17"/>
        <v>0</v>
      </c>
      <c r="AI56" s="24">
        <f t="shared" si="18"/>
        <v>0</v>
      </c>
      <c r="AJ56" s="24">
        <f t="shared" si="19"/>
        <v>0</v>
      </c>
      <c r="AK56" s="24">
        <f t="shared" si="20"/>
        <v>8.5963859208657028E-12</v>
      </c>
      <c r="AL56" s="24">
        <f t="shared" si="21"/>
        <v>3.2613572462223377E-4</v>
      </c>
      <c r="AM56" s="161">
        <f t="shared" si="22"/>
        <v>0</v>
      </c>
      <c r="AN56" s="157">
        <f t="shared" si="23"/>
        <v>8.5963859208657028E-12</v>
      </c>
      <c r="AO56" s="162">
        <f t="shared" si="24"/>
        <v>3.2613572462223377E-4</v>
      </c>
    </row>
    <row r="57" spans="1:41" s="8" customFormat="1" ht="15" customHeight="1" x14ac:dyDescent="0.2">
      <c r="A57" s="68" t="s">
        <v>75</v>
      </c>
      <c r="B57" s="54" t="s">
        <v>5</v>
      </c>
      <c r="C57" s="51">
        <v>0.02</v>
      </c>
      <c r="D57" s="51" t="s">
        <v>2</v>
      </c>
      <c r="E57" s="62" t="s">
        <v>294</v>
      </c>
      <c r="F57" s="62">
        <v>0</v>
      </c>
      <c r="G57" s="54" t="s">
        <v>12</v>
      </c>
      <c r="H57" s="51">
        <v>0</v>
      </c>
      <c r="I57" s="69">
        <v>0</v>
      </c>
      <c r="J57" s="51">
        <v>0</v>
      </c>
      <c r="K57" s="51">
        <v>0</v>
      </c>
      <c r="L57" s="62">
        <v>0</v>
      </c>
      <c r="M57" s="51" t="s">
        <v>5</v>
      </c>
      <c r="N57" s="51" t="s">
        <v>7</v>
      </c>
      <c r="O57" s="69">
        <v>2E-3</v>
      </c>
      <c r="P57" s="51" t="s">
        <v>2</v>
      </c>
      <c r="Q57" s="51">
        <v>0</v>
      </c>
      <c r="R57" s="51">
        <v>0</v>
      </c>
      <c r="S57" s="62">
        <v>0</v>
      </c>
      <c r="T57" s="54" t="s">
        <v>25</v>
      </c>
      <c r="U57" s="127">
        <v>0</v>
      </c>
      <c r="V57" s="115">
        <v>0</v>
      </c>
      <c r="W57" s="115">
        <v>0</v>
      </c>
      <c r="X57" s="115">
        <v>0</v>
      </c>
      <c r="Y57" s="115">
        <v>164.24</v>
      </c>
      <c r="Z57" s="115">
        <v>400.09</v>
      </c>
      <c r="AA57" s="132" t="s">
        <v>539</v>
      </c>
      <c r="AB57" s="27">
        <f t="shared" ref="AB57:AB60" si="27">$C$21*I57</f>
        <v>0</v>
      </c>
      <c r="AC57" s="29">
        <f t="shared" ref="AC57:AC60" si="28">$C$21*O57</f>
        <v>2.3808E-5</v>
      </c>
      <c r="AD57" s="135">
        <f t="shared" si="13"/>
        <v>0</v>
      </c>
      <c r="AE57" s="135">
        <f t="shared" si="14"/>
        <v>0</v>
      </c>
      <c r="AF57" s="24">
        <f t="shared" si="15"/>
        <v>9.5253427199999997E-3</v>
      </c>
      <c r="AG57" s="24">
        <f t="shared" si="16"/>
        <v>0</v>
      </c>
      <c r="AH57" s="24">
        <f t="shared" si="17"/>
        <v>0</v>
      </c>
      <c r="AI57" s="24">
        <f t="shared" si="18"/>
        <v>0</v>
      </c>
      <c r="AJ57" s="24">
        <f t="shared" si="19"/>
        <v>0</v>
      </c>
      <c r="AK57" s="24">
        <f t="shared" si="20"/>
        <v>0</v>
      </c>
      <c r="AL57" s="24">
        <f t="shared" si="21"/>
        <v>9.5253427199999997E-3</v>
      </c>
      <c r="AM57" s="161">
        <f t="shared" si="22"/>
        <v>0</v>
      </c>
      <c r="AN57" s="157">
        <f t="shared" si="23"/>
        <v>0</v>
      </c>
      <c r="AO57" s="162">
        <f t="shared" si="24"/>
        <v>9.5253427199999997E-3</v>
      </c>
    </row>
    <row r="58" spans="1:41" s="8" customFormat="1" ht="15" customHeight="1" x14ac:dyDescent="0.2">
      <c r="A58" s="68" t="s">
        <v>75</v>
      </c>
      <c r="B58" s="54" t="s">
        <v>76</v>
      </c>
      <c r="C58" s="51">
        <v>1E-3</v>
      </c>
      <c r="D58" s="51" t="s">
        <v>2</v>
      </c>
      <c r="E58" s="62" t="s">
        <v>294</v>
      </c>
      <c r="F58" s="62">
        <v>0</v>
      </c>
      <c r="G58" s="54" t="s">
        <v>12</v>
      </c>
      <c r="H58" s="51">
        <v>0</v>
      </c>
      <c r="I58" s="69">
        <v>0</v>
      </c>
      <c r="J58" s="51">
        <v>0</v>
      </c>
      <c r="K58" s="51">
        <v>0</v>
      </c>
      <c r="L58" s="62">
        <v>0</v>
      </c>
      <c r="M58" s="51" t="s">
        <v>72</v>
      </c>
      <c r="N58" s="51" t="s">
        <v>7</v>
      </c>
      <c r="O58" s="69">
        <v>1E-4</v>
      </c>
      <c r="P58" s="51" t="s">
        <v>2</v>
      </c>
      <c r="Q58" s="51">
        <v>0</v>
      </c>
      <c r="R58" s="51">
        <v>0</v>
      </c>
      <c r="S58" s="62">
        <v>0</v>
      </c>
      <c r="T58" s="54" t="s">
        <v>81</v>
      </c>
      <c r="U58" s="127">
        <v>0</v>
      </c>
      <c r="V58" s="115">
        <v>0</v>
      </c>
      <c r="W58" s="115">
        <v>0</v>
      </c>
      <c r="X58" s="115">
        <v>0</v>
      </c>
      <c r="Y58" s="115">
        <v>306.24811854656059</v>
      </c>
      <c r="Z58" s="115">
        <v>2239.9292193792821</v>
      </c>
      <c r="AA58" s="132" t="s">
        <v>537</v>
      </c>
      <c r="AB58" s="27">
        <f t="shared" si="27"/>
        <v>0</v>
      </c>
      <c r="AC58" s="29">
        <f t="shared" si="28"/>
        <v>1.1904000000000001E-6</v>
      </c>
      <c r="AD58" s="135">
        <f t="shared" si="13"/>
        <v>0</v>
      </c>
      <c r="AE58" s="135">
        <f t="shared" si="14"/>
        <v>0</v>
      </c>
      <c r="AF58" s="24">
        <f t="shared" si="15"/>
        <v>2.6664117427490975E-3</v>
      </c>
      <c r="AG58" s="24">
        <f t="shared" si="16"/>
        <v>0</v>
      </c>
      <c r="AH58" s="24">
        <f t="shared" si="17"/>
        <v>0</v>
      </c>
      <c r="AI58" s="24">
        <f t="shared" si="18"/>
        <v>0</v>
      </c>
      <c r="AJ58" s="24">
        <f t="shared" si="19"/>
        <v>0</v>
      </c>
      <c r="AK58" s="24">
        <f t="shared" si="20"/>
        <v>0</v>
      </c>
      <c r="AL58" s="24">
        <f t="shared" si="21"/>
        <v>2.6664117427490975E-3</v>
      </c>
      <c r="AM58" s="161">
        <f t="shared" si="22"/>
        <v>0</v>
      </c>
      <c r="AN58" s="157">
        <f t="shared" si="23"/>
        <v>0</v>
      </c>
      <c r="AO58" s="162">
        <f t="shared" si="24"/>
        <v>2.6664117427490975E-3</v>
      </c>
    </row>
    <row r="59" spans="1:41" s="8" customFormat="1" ht="15" customHeight="1" x14ac:dyDescent="0.2">
      <c r="A59" s="68" t="s">
        <v>75</v>
      </c>
      <c r="B59" s="54" t="s">
        <v>77</v>
      </c>
      <c r="C59" s="51">
        <v>1E-3</v>
      </c>
      <c r="D59" s="51" t="s">
        <v>2</v>
      </c>
      <c r="E59" s="62" t="s">
        <v>294</v>
      </c>
      <c r="F59" s="62">
        <v>0</v>
      </c>
      <c r="G59" s="54" t="s">
        <v>12</v>
      </c>
      <c r="H59" s="51">
        <v>0</v>
      </c>
      <c r="I59" s="69">
        <v>0</v>
      </c>
      <c r="J59" s="51">
        <v>0</v>
      </c>
      <c r="K59" s="51">
        <v>0</v>
      </c>
      <c r="L59" s="62">
        <v>0</v>
      </c>
      <c r="M59" s="51" t="s">
        <v>71</v>
      </c>
      <c r="N59" s="51" t="s">
        <v>7</v>
      </c>
      <c r="O59" s="69">
        <v>1E-4</v>
      </c>
      <c r="P59" s="51" t="s">
        <v>2</v>
      </c>
      <c r="Q59" s="54">
        <v>0</v>
      </c>
      <c r="R59" s="54">
        <v>0</v>
      </c>
      <c r="S59" s="62">
        <v>0</v>
      </c>
      <c r="T59" s="54" t="s">
        <v>95</v>
      </c>
      <c r="U59" s="127">
        <v>0</v>
      </c>
      <c r="V59" s="115">
        <v>0</v>
      </c>
      <c r="W59" s="115">
        <v>0</v>
      </c>
      <c r="X59" s="115">
        <v>0</v>
      </c>
      <c r="Y59" s="115">
        <v>6089.5109426939807</v>
      </c>
      <c r="Z59" s="115">
        <v>54476.932420915044</v>
      </c>
      <c r="AA59" s="132" t="s">
        <v>537</v>
      </c>
      <c r="AB59" s="27">
        <f t="shared" si="27"/>
        <v>0</v>
      </c>
      <c r="AC59" s="29">
        <f t="shared" si="28"/>
        <v>1.1904000000000001E-6</v>
      </c>
      <c r="AD59" s="135">
        <f t="shared" si="13"/>
        <v>0</v>
      </c>
      <c r="AE59" s="135">
        <f t="shared" si="14"/>
        <v>0</v>
      </c>
      <c r="AF59" s="24">
        <f t="shared" si="15"/>
        <v>6.4849340353857268E-2</v>
      </c>
      <c r="AG59" s="24">
        <f t="shared" si="16"/>
        <v>0</v>
      </c>
      <c r="AH59" s="24">
        <f t="shared" si="17"/>
        <v>0</v>
      </c>
      <c r="AI59" s="24">
        <f t="shared" si="18"/>
        <v>0</v>
      </c>
      <c r="AJ59" s="24">
        <f t="shared" si="19"/>
        <v>0</v>
      </c>
      <c r="AK59" s="24">
        <f t="shared" si="20"/>
        <v>0</v>
      </c>
      <c r="AL59" s="24">
        <f t="shared" si="21"/>
        <v>6.4849340353857268E-2</v>
      </c>
      <c r="AM59" s="161">
        <f t="shared" si="22"/>
        <v>0</v>
      </c>
      <c r="AN59" s="157">
        <f t="shared" si="23"/>
        <v>0</v>
      </c>
      <c r="AO59" s="162">
        <f t="shared" si="24"/>
        <v>6.4849340353857268E-2</v>
      </c>
    </row>
    <row r="60" spans="1:41" s="8" customFormat="1" ht="15" customHeight="1" x14ac:dyDescent="0.2">
      <c r="A60" s="68" t="s">
        <v>75</v>
      </c>
      <c r="B60" s="54" t="s">
        <v>70</v>
      </c>
      <c r="C60" s="51">
        <v>1E-3</v>
      </c>
      <c r="D60" s="51" t="s">
        <v>2</v>
      </c>
      <c r="E60" s="62" t="s">
        <v>294</v>
      </c>
      <c r="F60" s="62">
        <v>0</v>
      </c>
      <c r="G60" s="54" t="s">
        <v>12</v>
      </c>
      <c r="H60" s="51">
        <v>0</v>
      </c>
      <c r="I60" s="69">
        <v>0</v>
      </c>
      <c r="J60" s="51">
        <v>0</v>
      </c>
      <c r="K60" s="51">
        <v>0</v>
      </c>
      <c r="L60" s="62">
        <v>0</v>
      </c>
      <c r="M60" s="51" t="s">
        <v>70</v>
      </c>
      <c r="N60" s="51" t="s">
        <v>7</v>
      </c>
      <c r="O60" s="69">
        <v>1E-4</v>
      </c>
      <c r="P60" s="51" t="s">
        <v>2</v>
      </c>
      <c r="Q60" s="51">
        <v>0</v>
      </c>
      <c r="R60" s="51">
        <v>0</v>
      </c>
      <c r="S60" s="62">
        <v>0</v>
      </c>
      <c r="T60" s="54" t="s">
        <v>96</v>
      </c>
      <c r="U60" s="127">
        <v>0</v>
      </c>
      <c r="V60" s="115">
        <v>0</v>
      </c>
      <c r="W60" s="115">
        <v>0</v>
      </c>
      <c r="X60" s="115">
        <v>0</v>
      </c>
      <c r="Y60" s="115">
        <v>15653.997644153058</v>
      </c>
      <c r="Z60" s="115">
        <v>184815.26625319294</v>
      </c>
      <c r="AA60" s="132" t="s">
        <v>537</v>
      </c>
      <c r="AB60" s="27">
        <f t="shared" si="27"/>
        <v>0</v>
      </c>
      <c r="AC60" s="29">
        <f t="shared" si="28"/>
        <v>1.1904000000000001E-6</v>
      </c>
      <c r="AD60" s="135">
        <f t="shared" si="13"/>
        <v>0</v>
      </c>
      <c r="AE60" s="135">
        <f t="shared" si="14"/>
        <v>0</v>
      </c>
      <c r="AF60" s="24">
        <f t="shared" si="15"/>
        <v>0.22000409294780088</v>
      </c>
      <c r="AG60" s="24">
        <f t="shared" si="16"/>
        <v>0</v>
      </c>
      <c r="AH60" s="24">
        <f t="shared" si="17"/>
        <v>0</v>
      </c>
      <c r="AI60" s="24">
        <f t="shared" si="18"/>
        <v>0</v>
      </c>
      <c r="AJ60" s="24">
        <f t="shared" si="19"/>
        <v>0</v>
      </c>
      <c r="AK60" s="24">
        <f t="shared" si="20"/>
        <v>0</v>
      </c>
      <c r="AL60" s="24">
        <f t="shared" si="21"/>
        <v>0.22000409294780088</v>
      </c>
      <c r="AM60" s="161">
        <f t="shared" si="22"/>
        <v>0</v>
      </c>
      <c r="AN60" s="157">
        <f t="shared" si="23"/>
        <v>0</v>
      </c>
      <c r="AO60" s="162">
        <f t="shared" si="24"/>
        <v>0.22000409294780088</v>
      </c>
    </row>
    <row r="61" spans="1:41" s="8" customFormat="1" ht="15" customHeight="1" x14ac:dyDescent="0.2">
      <c r="A61" s="54" t="s">
        <v>86</v>
      </c>
      <c r="B61" s="54" t="s">
        <v>74</v>
      </c>
      <c r="C61" s="74">
        <v>1</v>
      </c>
      <c r="D61" s="51" t="s">
        <v>2</v>
      </c>
      <c r="E61" s="64">
        <v>1</v>
      </c>
      <c r="F61" s="64">
        <v>0</v>
      </c>
      <c r="G61" s="51" t="s">
        <v>12</v>
      </c>
      <c r="H61" s="51">
        <v>0</v>
      </c>
      <c r="I61" s="69">
        <v>0</v>
      </c>
      <c r="J61" s="51">
        <v>0</v>
      </c>
      <c r="K61" s="51">
        <v>0</v>
      </c>
      <c r="L61" s="64">
        <v>0</v>
      </c>
      <c r="M61" s="51" t="s">
        <v>74</v>
      </c>
      <c r="N61" s="51" t="s">
        <v>7</v>
      </c>
      <c r="O61" s="69">
        <v>0.1</v>
      </c>
      <c r="P61" s="51" t="s">
        <v>2</v>
      </c>
      <c r="Q61" s="8">
        <v>0</v>
      </c>
      <c r="R61" s="8">
        <v>0</v>
      </c>
      <c r="S61" s="64">
        <v>0</v>
      </c>
      <c r="T61" s="54" t="s">
        <v>97</v>
      </c>
      <c r="U61" s="127">
        <v>0</v>
      </c>
      <c r="V61" s="115">
        <v>0</v>
      </c>
      <c r="W61" s="115">
        <v>0</v>
      </c>
      <c r="X61" s="115">
        <v>0</v>
      </c>
      <c r="Y61" s="115">
        <v>2.8</v>
      </c>
      <c r="Z61" s="115">
        <v>6.75</v>
      </c>
      <c r="AA61" s="132" t="s">
        <v>539</v>
      </c>
      <c r="AB61" s="27">
        <f>$C$25*I61</f>
        <v>0</v>
      </c>
      <c r="AC61" s="29">
        <f>$C$25*O61</f>
        <v>8.9279999999999984E-3</v>
      </c>
      <c r="AD61" s="135">
        <f t="shared" si="13"/>
        <v>0</v>
      </c>
      <c r="AE61" s="135">
        <f t="shared" si="14"/>
        <v>0</v>
      </c>
      <c r="AF61" s="24">
        <f t="shared" si="15"/>
        <v>6.0263999999999991E-2</v>
      </c>
      <c r="AG61" s="24">
        <f t="shared" si="16"/>
        <v>0</v>
      </c>
      <c r="AH61" s="24">
        <f t="shared" si="17"/>
        <v>0</v>
      </c>
      <c r="AI61" s="24">
        <f t="shared" si="18"/>
        <v>0</v>
      </c>
      <c r="AJ61" s="24">
        <f t="shared" si="19"/>
        <v>0</v>
      </c>
      <c r="AK61" s="24">
        <f t="shared" si="20"/>
        <v>0</v>
      </c>
      <c r="AL61" s="24">
        <f t="shared" si="21"/>
        <v>6.0263999999999991E-2</v>
      </c>
      <c r="AM61" s="161">
        <f t="shared" si="22"/>
        <v>0</v>
      </c>
      <c r="AN61" s="157">
        <f t="shared" si="23"/>
        <v>0</v>
      </c>
      <c r="AO61" s="162">
        <f t="shared" si="24"/>
        <v>6.0263999999999991E-2</v>
      </c>
    </row>
    <row r="62" spans="1:41" s="8" customFormat="1" ht="15" customHeight="1" x14ac:dyDescent="0.2">
      <c r="A62" s="70" t="s">
        <v>51</v>
      </c>
      <c r="B62" s="54" t="s">
        <v>82</v>
      </c>
      <c r="C62" s="74">
        <v>0.9</v>
      </c>
      <c r="D62" s="51" t="s">
        <v>2</v>
      </c>
      <c r="E62" s="62" t="s">
        <v>294</v>
      </c>
      <c r="F62" s="62">
        <v>0</v>
      </c>
      <c r="G62" s="51" t="s">
        <v>12</v>
      </c>
      <c r="H62" s="51">
        <v>0</v>
      </c>
      <c r="I62" s="69">
        <v>0</v>
      </c>
      <c r="J62" s="51">
        <v>0</v>
      </c>
      <c r="K62" s="51">
        <v>0</v>
      </c>
      <c r="L62" s="62">
        <v>0</v>
      </c>
      <c r="M62" s="51" t="s">
        <v>82</v>
      </c>
      <c r="N62" s="54" t="s">
        <v>7</v>
      </c>
      <c r="O62" s="69">
        <v>9.0000000000000011E-2</v>
      </c>
      <c r="P62" s="54" t="s">
        <v>2</v>
      </c>
      <c r="Q62" s="54">
        <v>0</v>
      </c>
      <c r="R62" s="54">
        <v>0</v>
      </c>
      <c r="S62" s="62">
        <v>0</v>
      </c>
      <c r="T62" s="54" t="s">
        <v>302</v>
      </c>
      <c r="U62" s="127">
        <v>0</v>
      </c>
      <c r="V62" s="115">
        <v>0</v>
      </c>
      <c r="W62" s="115">
        <v>0</v>
      </c>
      <c r="X62" s="115">
        <v>0</v>
      </c>
      <c r="Y62" s="129">
        <v>52.575000000000003</v>
      </c>
      <c r="Z62" s="129">
        <v>125.31</v>
      </c>
      <c r="AA62" s="133" t="s">
        <v>539</v>
      </c>
      <c r="AB62" s="27">
        <f>$C$23*I62</f>
        <v>0</v>
      </c>
      <c r="AC62" s="29">
        <f>$C$23*O62</f>
        <v>8.0351999999999995E-4</v>
      </c>
      <c r="AD62" s="135">
        <f t="shared" si="13"/>
        <v>0</v>
      </c>
      <c r="AE62" s="135">
        <f t="shared" si="14"/>
        <v>0</v>
      </c>
      <c r="AF62" s="24">
        <f t="shared" si="15"/>
        <v>0.1006890912</v>
      </c>
      <c r="AG62" s="24">
        <f t="shared" si="16"/>
        <v>0</v>
      </c>
      <c r="AH62" s="24">
        <f t="shared" si="17"/>
        <v>0</v>
      </c>
      <c r="AI62" s="24">
        <f t="shared" si="18"/>
        <v>0</v>
      </c>
      <c r="AJ62" s="24">
        <f t="shared" si="19"/>
        <v>0</v>
      </c>
      <c r="AK62" s="24">
        <f t="shared" si="20"/>
        <v>0</v>
      </c>
      <c r="AL62" s="24">
        <f t="shared" si="21"/>
        <v>0.1006890912</v>
      </c>
      <c r="AM62" s="161">
        <f t="shared" si="22"/>
        <v>0</v>
      </c>
      <c r="AN62" s="157">
        <f t="shared" si="23"/>
        <v>0</v>
      </c>
      <c r="AO62" s="162">
        <f t="shared" si="24"/>
        <v>0.1006890912</v>
      </c>
    </row>
    <row r="63" spans="1:41" s="8" customFormat="1" ht="15" customHeight="1" x14ac:dyDescent="0.2">
      <c r="A63" s="70" t="s">
        <v>51</v>
      </c>
      <c r="B63" s="130" t="s">
        <v>83</v>
      </c>
      <c r="C63" s="75">
        <v>0.08</v>
      </c>
      <c r="D63" s="54" t="s">
        <v>2</v>
      </c>
      <c r="E63" s="62" t="s">
        <v>294</v>
      </c>
      <c r="F63" s="62">
        <v>0</v>
      </c>
      <c r="G63" s="52" t="s">
        <v>12</v>
      </c>
      <c r="H63" s="54">
        <v>0</v>
      </c>
      <c r="I63" s="69">
        <v>0</v>
      </c>
      <c r="J63" s="54">
        <v>0</v>
      </c>
      <c r="K63" s="51">
        <v>0</v>
      </c>
      <c r="L63" s="62">
        <v>0</v>
      </c>
      <c r="M63" s="52" t="s">
        <v>83</v>
      </c>
      <c r="N63" s="54" t="s">
        <v>7</v>
      </c>
      <c r="O63" s="69">
        <v>8.0000000000000002E-3</v>
      </c>
      <c r="P63" s="54" t="s">
        <v>2</v>
      </c>
      <c r="Q63" s="54">
        <v>0</v>
      </c>
      <c r="R63" s="54">
        <v>0</v>
      </c>
      <c r="S63" s="62">
        <v>0</v>
      </c>
      <c r="T63" s="50" t="s">
        <v>300</v>
      </c>
      <c r="U63" s="127">
        <v>0</v>
      </c>
      <c r="V63" s="115">
        <v>0</v>
      </c>
      <c r="W63" s="115">
        <v>0</v>
      </c>
      <c r="X63" s="115">
        <v>0</v>
      </c>
      <c r="Y63" s="115">
        <v>6.0401999999999996</v>
      </c>
      <c r="Z63" s="115">
        <v>126.48</v>
      </c>
      <c r="AA63" s="132" t="s">
        <v>539</v>
      </c>
      <c r="AB63" s="27">
        <f t="shared" ref="AB63:AB65" si="29">$C$23*I63</f>
        <v>0</v>
      </c>
      <c r="AC63" s="29">
        <f t="shared" ref="AC63:AC65" si="30">$C$23*O63</f>
        <v>7.1423999999999986E-5</v>
      </c>
      <c r="AD63" s="135">
        <f t="shared" si="13"/>
        <v>0</v>
      </c>
      <c r="AE63" s="135">
        <f t="shared" si="14"/>
        <v>0</v>
      </c>
      <c r="AF63" s="24">
        <f t="shared" si="15"/>
        <v>9.0337075199999981E-3</v>
      </c>
      <c r="AG63" s="24">
        <f t="shared" si="16"/>
        <v>0</v>
      </c>
      <c r="AH63" s="24">
        <f t="shared" si="17"/>
        <v>0</v>
      </c>
      <c r="AI63" s="24">
        <f t="shared" si="18"/>
        <v>0</v>
      </c>
      <c r="AJ63" s="24">
        <f t="shared" si="19"/>
        <v>0</v>
      </c>
      <c r="AK63" s="24">
        <f t="shared" si="20"/>
        <v>0</v>
      </c>
      <c r="AL63" s="24">
        <f t="shared" si="21"/>
        <v>9.0337075199999981E-3</v>
      </c>
      <c r="AM63" s="161">
        <f t="shared" si="22"/>
        <v>0</v>
      </c>
      <c r="AN63" s="157">
        <f t="shared" si="23"/>
        <v>0</v>
      </c>
      <c r="AO63" s="162">
        <f t="shared" si="24"/>
        <v>9.0337075199999981E-3</v>
      </c>
    </row>
    <row r="64" spans="1:41" s="8" customFormat="1" ht="15" customHeight="1" x14ac:dyDescent="0.2">
      <c r="A64" s="70" t="s">
        <v>51</v>
      </c>
      <c r="B64" s="54" t="s">
        <v>79</v>
      </c>
      <c r="C64" s="51">
        <v>0.02</v>
      </c>
      <c r="D64" s="51" t="s">
        <v>2</v>
      </c>
      <c r="E64" s="62" t="s">
        <v>294</v>
      </c>
      <c r="F64" s="62">
        <v>0</v>
      </c>
      <c r="G64" s="54" t="s">
        <v>12</v>
      </c>
      <c r="H64" s="51">
        <v>0</v>
      </c>
      <c r="I64" s="69">
        <v>0</v>
      </c>
      <c r="J64" s="51">
        <v>0</v>
      </c>
      <c r="K64" s="51" t="s">
        <v>297</v>
      </c>
      <c r="L64" s="62">
        <v>0</v>
      </c>
      <c r="M64" s="51" t="s">
        <v>79</v>
      </c>
      <c r="N64" s="51" t="s">
        <v>7</v>
      </c>
      <c r="O64" s="69">
        <v>2E-3</v>
      </c>
      <c r="P64" s="51" t="s">
        <v>2</v>
      </c>
      <c r="Q64" s="51">
        <v>0</v>
      </c>
      <c r="R64" s="51">
        <v>0</v>
      </c>
      <c r="S64" s="62">
        <v>0</v>
      </c>
      <c r="T64" s="54" t="s">
        <v>80</v>
      </c>
      <c r="U64" s="127">
        <v>0</v>
      </c>
      <c r="V64" s="115">
        <v>0</v>
      </c>
      <c r="W64" s="115">
        <v>0</v>
      </c>
      <c r="X64" s="115">
        <v>0</v>
      </c>
      <c r="Y64" s="115">
        <v>31</v>
      </c>
      <c r="Z64" s="115">
        <v>73.7</v>
      </c>
      <c r="AA64" s="132" t="s">
        <v>539</v>
      </c>
      <c r="AB64" s="27">
        <f t="shared" si="29"/>
        <v>0</v>
      </c>
      <c r="AC64" s="29">
        <f t="shared" si="30"/>
        <v>1.7855999999999996E-5</v>
      </c>
      <c r="AD64" s="135">
        <f t="shared" si="13"/>
        <v>0</v>
      </c>
      <c r="AE64" s="135">
        <f t="shared" si="14"/>
        <v>0</v>
      </c>
      <c r="AF64" s="24">
        <f t="shared" si="15"/>
        <v>1.3159871999999999E-3</v>
      </c>
      <c r="AG64" s="24">
        <f t="shared" si="16"/>
        <v>0</v>
      </c>
      <c r="AH64" s="24">
        <f t="shared" si="17"/>
        <v>0</v>
      </c>
      <c r="AI64" s="24">
        <f t="shared" si="18"/>
        <v>0</v>
      </c>
      <c r="AJ64" s="24">
        <f t="shared" si="19"/>
        <v>0</v>
      </c>
      <c r="AK64" s="24">
        <f t="shared" si="20"/>
        <v>0</v>
      </c>
      <c r="AL64" s="24">
        <f t="shared" si="21"/>
        <v>1.3159871999999999E-3</v>
      </c>
      <c r="AM64" s="161">
        <f t="shared" si="22"/>
        <v>0</v>
      </c>
      <c r="AN64" s="157">
        <f t="shared" si="23"/>
        <v>0</v>
      </c>
      <c r="AO64" s="162">
        <f t="shared" si="24"/>
        <v>1.3159871999999999E-3</v>
      </c>
    </row>
    <row r="65" spans="1:41" s="8" customFormat="1" ht="15" customHeight="1" x14ac:dyDescent="0.2">
      <c r="A65" s="70" t="s">
        <v>51</v>
      </c>
      <c r="B65" s="54" t="s">
        <v>87</v>
      </c>
      <c r="C65" s="51">
        <v>0</v>
      </c>
      <c r="D65" s="51">
        <v>0</v>
      </c>
      <c r="E65" s="62" t="s">
        <v>294</v>
      </c>
      <c r="F65" s="62">
        <v>0</v>
      </c>
      <c r="G65" s="51" t="s">
        <v>12</v>
      </c>
      <c r="H65" s="51">
        <v>0</v>
      </c>
      <c r="I65" s="69">
        <v>0</v>
      </c>
      <c r="J65" s="51">
        <v>0</v>
      </c>
      <c r="K65" s="51" t="s">
        <v>297</v>
      </c>
      <c r="L65" s="62">
        <v>0</v>
      </c>
      <c r="M65" s="51" t="s">
        <v>42</v>
      </c>
      <c r="N65" s="51" t="s">
        <v>7</v>
      </c>
      <c r="O65" s="69">
        <v>9.0000000000000019E-5</v>
      </c>
      <c r="P65" s="51" t="s">
        <v>2</v>
      </c>
      <c r="Q65" s="51" t="s">
        <v>1366</v>
      </c>
      <c r="R65" s="51">
        <v>0</v>
      </c>
      <c r="S65" s="62">
        <v>0</v>
      </c>
      <c r="T65" s="54" t="s">
        <v>93</v>
      </c>
      <c r="U65" s="127">
        <v>0</v>
      </c>
      <c r="V65" s="115">
        <v>0</v>
      </c>
      <c r="W65" s="115">
        <v>0</v>
      </c>
      <c r="X65" s="115">
        <v>0</v>
      </c>
      <c r="Y65" s="117">
        <v>13</v>
      </c>
      <c r="Z65" s="117">
        <v>31.7</v>
      </c>
      <c r="AA65" s="132" t="s">
        <v>539</v>
      </c>
      <c r="AB65" s="27">
        <f t="shared" si="29"/>
        <v>0</v>
      </c>
      <c r="AC65" s="29">
        <f t="shared" si="30"/>
        <v>8.0352000000000004E-7</v>
      </c>
      <c r="AD65" s="135">
        <f t="shared" si="13"/>
        <v>0</v>
      </c>
      <c r="AE65" s="135">
        <f t="shared" si="14"/>
        <v>0</v>
      </c>
      <c r="AF65" s="24">
        <f t="shared" si="15"/>
        <v>2.5471584000000001E-5</v>
      </c>
      <c r="AG65" s="24">
        <f t="shared" si="16"/>
        <v>0</v>
      </c>
      <c r="AH65" s="24">
        <f t="shared" si="17"/>
        <v>0</v>
      </c>
      <c r="AI65" s="24">
        <f t="shared" si="18"/>
        <v>0</v>
      </c>
      <c r="AJ65" s="24">
        <f t="shared" si="19"/>
        <v>0</v>
      </c>
      <c r="AK65" s="24">
        <f t="shared" si="20"/>
        <v>0</v>
      </c>
      <c r="AL65" s="24">
        <f t="shared" si="21"/>
        <v>2.5471584000000001E-5</v>
      </c>
      <c r="AM65" s="161">
        <f t="shared" si="22"/>
        <v>0</v>
      </c>
      <c r="AN65" s="157">
        <f t="shared" si="23"/>
        <v>0</v>
      </c>
      <c r="AO65" s="162">
        <f t="shared" si="24"/>
        <v>2.5471584000000001E-5</v>
      </c>
    </row>
    <row r="66" spans="1:41" s="8" customFormat="1" ht="15" customHeight="1" x14ac:dyDescent="0.2">
      <c r="A66" s="68" t="s">
        <v>1049</v>
      </c>
      <c r="B66" s="54" t="s">
        <v>527</v>
      </c>
      <c r="C66" s="51">
        <v>0.6</v>
      </c>
      <c r="D66" s="51" t="s">
        <v>2</v>
      </c>
      <c r="E66" s="62" t="s">
        <v>294</v>
      </c>
      <c r="F66" s="62">
        <v>0</v>
      </c>
      <c r="G66" s="54" t="s">
        <v>12</v>
      </c>
      <c r="H66" s="51">
        <v>0</v>
      </c>
      <c r="I66" s="51">
        <v>0</v>
      </c>
      <c r="J66" s="51">
        <v>0</v>
      </c>
      <c r="K66" s="51">
        <v>0</v>
      </c>
      <c r="L66" s="62">
        <v>0</v>
      </c>
      <c r="M66" s="51" t="s">
        <v>68</v>
      </c>
      <c r="N66" s="51" t="s">
        <v>7</v>
      </c>
      <c r="O66" s="69">
        <v>0.06</v>
      </c>
      <c r="P66" s="51" t="s">
        <v>2</v>
      </c>
      <c r="Q66" s="51">
        <v>0</v>
      </c>
      <c r="R66" s="51">
        <v>0</v>
      </c>
      <c r="S66" s="62">
        <v>0</v>
      </c>
      <c r="T66" s="54" t="s">
        <v>526</v>
      </c>
      <c r="U66" s="127">
        <v>0</v>
      </c>
      <c r="V66" s="115">
        <v>1.6437731647150863E-6</v>
      </c>
      <c r="W66" s="115">
        <v>0</v>
      </c>
      <c r="X66" s="115">
        <v>9.8891167609639291E-6</v>
      </c>
      <c r="Y66" s="115">
        <v>25539.178143122717</v>
      </c>
      <c r="Z66" s="115">
        <v>766743.80504211958</v>
      </c>
      <c r="AA66" s="132" t="s">
        <v>538</v>
      </c>
      <c r="AB66" s="27">
        <f>$C$24*I66</f>
        <v>0</v>
      </c>
      <c r="AC66" s="29">
        <f>$C$24*O66</f>
        <v>1.7856E-4</v>
      </c>
      <c r="AD66" s="135">
        <f t="shared" si="13"/>
        <v>0</v>
      </c>
      <c r="AE66" s="135">
        <f t="shared" si="14"/>
        <v>1.7658006888377192E-9</v>
      </c>
      <c r="AF66" s="24">
        <f t="shared" si="15"/>
        <v>136.90977382832088</v>
      </c>
      <c r="AG66" s="24">
        <f t="shared" si="16"/>
        <v>0</v>
      </c>
      <c r="AH66" s="24">
        <f t="shared" si="17"/>
        <v>0</v>
      </c>
      <c r="AI66" s="24">
        <f t="shared" si="18"/>
        <v>0</v>
      </c>
      <c r="AJ66" s="24">
        <f t="shared" si="19"/>
        <v>0</v>
      </c>
      <c r="AK66" s="24">
        <f t="shared" si="20"/>
        <v>1.7658006888377192E-9</v>
      </c>
      <c r="AL66" s="24">
        <f t="shared" si="21"/>
        <v>136.90977382832088</v>
      </c>
      <c r="AM66" s="161">
        <f t="shared" si="22"/>
        <v>0</v>
      </c>
      <c r="AN66" s="157">
        <f t="shared" si="23"/>
        <v>1.7658006888377192E-9</v>
      </c>
      <c r="AO66" s="162">
        <f t="shared" si="24"/>
        <v>136.90977382832088</v>
      </c>
    </row>
    <row r="67" spans="1:41" s="8" customFormat="1" ht="15" customHeight="1" x14ac:dyDescent="0.2">
      <c r="A67" s="68" t="s">
        <v>1049</v>
      </c>
      <c r="B67" s="54" t="s">
        <v>84</v>
      </c>
      <c r="C67" s="51">
        <v>0.2</v>
      </c>
      <c r="D67" s="51" t="s">
        <v>2</v>
      </c>
      <c r="E67" s="62" t="s">
        <v>294</v>
      </c>
      <c r="F67" s="62">
        <v>0</v>
      </c>
      <c r="G67" s="51" t="s">
        <v>84</v>
      </c>
      <c r="H67" s="51" t="s">
        <v>6</v>
      </c>
      <c r="I67" s="69">
        <v>2.0000000000000001E-4</v>
      </c>
      <c r="J67" s="51" t="s">
        <v>2</v>
      </c>
      <c r="K67" s="51">
        <v>0</v>
      </c>
      <c r="L67" s="62">
        <v>0</v>
      </c>
      <c r="M67" s="51" t="s">
        <v>73</v>
      </c>
      <c r="N67" s="51" t="s">
        <v>7</v>
      </c>
      <c r="O67" s="69">
        <v>2.0000000000000004E-2</v>
      </c>
      <c r="P67" s="51" t="s">
        <v>2</v>
      </c>
      <c r="Q67" s="51">
        <v>0</v>
      </c>
      <c r="R67" s="51">
        <v>0</v>
      </c>
      <c r="S67" s="62">
        <v>0</v>
      </c>
      <c r="T67" s="54" t="s">
        <v>62</v>
      </c>
      <c r="U67" s="127">
        <v>3.1027213023718394E-8</v>
      </c>
      <c r="V67" s="115">
        <v>0</v>
      </c>
      <c r="W67" s="115">
        <v>1.7206281348183625E-8</v>
      </c>
      <c r="X67" s="116">
        <v>0</v>
      </c>
      <c r="Y67" s="115">
        <v>2.6323079574736696</v>
      </c>
      <c r="Z67" s="115">
        <v>191.63613931032927</v>
      </c>
      <c r="AA67" s="132" t="s">
        <v>537</v>
      </c>
      <c r="AB67" s="27">
        <f t="shared" ref="AB67:AB69" si="31">$C$24*I67</f>
        <v>5.9520000000000004E-7</v>
      </c>
      <c r="AC67" s="29">
        <f t="shared" ref="AC67:AC69" si="32">$C$24*O67</f>
        <v>5.9520000000000013E-5</v>
      </c>
      <c r="AD67" s="135">
        <f t="shared" si="13"/>
        <v>1.0425852630356067E-12</v>
      </c>
      <c r="AE67" s="135">
        <f t="shared" si="14"/>
        <v>0</v>
      </c>
      <c r="AF67" s="24">
        <f t="shared" si="15"/>
        <v>1.1407749761447089E-2</v>
      </c>
      <c r="AG67" s="24">
        <f t="shared" si="16"/>
        <v>1.8467397191717188E-14</v>
      </c>
      <c r="AH67" s="24">
        <f t="shared" si="17"/>
        <v>0</v>
      </c>
      <c r="AI67" s="24">
        <f t="shared" si="18"/>
        <v>1.5667496962883284E-6</v>
      </c>
      <c r="AJ67" s="24">
        <f t="shared" si="19"/>
        <v>1.0241178658438896E-12</v>
      </c>
      <c r="AK67" s="24">
        <f t="shared" si="20"/>
        <v>0</v>
      </c>
      <c r="AL67" s="24">
        <f t="shared" si="21"/>
        <v>1.14061830117508E-2</v>
      </c>
      <c r="AM67" s="161">
        <f t="shared" si="22"/>
        <v>1.0425852630356067E-12</v>
      </c>
      <c r="AN67" s="157">
        <f t="shared" si="23"/>
        <v>0</v>
      </c>
      <c r="AO67" s="162">
        <f t="shared" si="24"/>
        <v>1.1407749761447089E-2</v>
      </c>
    </row>
    <row r="68" spans="1:41" s="8" customFormat="1" ht="15" customHeight="1" x14ac:dyDescent="0.2">
      <c r="A68" s="68" t="s">
        <v>1049</v>
      </c>
      <c r="B68" s="54" t="s">
        <v>85</v>
      </c>
      <c r="C68" s="51">
        <v>0.1</v>
      </c>
      <c r="D68" s="51" t="s">
        <v>2</v>
      </c>
      <c r="E68" s="62" t="s">
        <v>294</v>
      </c>
      <c r="F68" s="62">
        <v>0</v>
      </c>
      <c r="G68" s="51" t="s">
        <v>43</v>
      </c>
      <c r="H68" s="51" t="s">
        <v>6</v>
      </c>
      <c r="I68" s="69">
        <v>1E-4</v>
      </c>
      <c r="J68" s="51" t="s">
        <v>2</v>
      </c>
      <c r="K68" s="51">
        <v>0</v>
      </c>
      <c r="L68" s="62">
        <v>0</v>
      </c>
      <c r="M68" s="51" t="s">
        <v>43</v>
      </c>
      <c r="N68" s="51" t="s">
        <v>7</v>
      </c>
      <c r="O68" s="69">
        <v>1.0000000000000002E-2</v>
      </c>
      <c r="P68" s="51" t="s">
        <v>2</v>
      </c>
      <c r="Q68" s="51">
        <v>0</v>
      </c>
      <c r="R68" s="51">
        <v>0</v>
      </c>
      <c r="S68" s="62">
        <v>0</v>
      </c>
      <c r="T68" s="54" t="s">
        <v>92</v>
      </c>
      <c r="U68" s="127">
        <v>0</v>
      </c>
      <c r="V68" s="115">
        <v>0</v>
      </c>
      <c r="W68" s="115">
        <v>0</v>
      </c>
      <c r="X68" s="115">
        <v>0</v>
      </c>
      <c r="Y68" s="129">
        <v>63</v>
      </c>
      <c r="Z68" s="129">
        <v>2910</v>
      </c>
      <c r="AA68" s="132" t="s">
        <v>539</v>
      </c>
      <c r="AB68" s="27">
        <f t="shared" si="31"/>
        <v>2.9760000000000002E-7</v>
      </c>
      <c r="AC68" s="29">
        <f t="shared" si="32"/>
        <v>2.9760000000000006E-5</v>
      </c>
      <c r="AD68" s="135">
        <f t="shared" si="13"/>
        <v>0</v>
      </c>
      <c r="AE68" s="135">
        <f t="shared" si="14"/>
        <v>0</v>
      </c>
      <c r="AF68" s="24">
        <f t="shared" si="15"/>
        <v>8.662034880000001E-2</v>
      </c>
      <c r="AG68" s="24">
        <f t="shared" si="16"/>
        <v>0</v>
      </c>
      <c r="AH68" s="24">
        <f t="shared" si="17"/>
        <v>0</v>
      </c>
      <c r="AI68" s="24">
        <f t="shared" si="18"/>
        <v>1.8748800000000003E-5</v>
      </c>
      <c r="AJ68" s="24">
        <f t="shared" si="19"/>
        <v>0</v>
      </c>
      <c r="AK68" s="24">
        <f t="shared" si="20"/>
        <v>0</v>
      </c>
      <c r="AL68" s="24">
        <f t="shared" si="21"/>
        <v>8.6601600000000015E-2</v>
      </c>
      <c r="AM68" s="161">
        <f t="shared" si="22"/>
        <v>0</v>
      </c>
      <c r="AN68" s="157">
        <f t="shared" si="23"/>
        <v>0</v>
      </c>
      <c r="AO68" s="162">
        <f t="shared" si="24"/>
        <v>8.662034880000001E-2</v>
      </c>
    </row>
    <row r="69" spans="1:41" s="8" customFormat="1" ht="15" customHeight="1" x14ac:dyDescent="0.2">
      <c r="A69" s="68" t="s">
        <v>1049</v>
      </c>
      <c r="B69" s="50" t="s">
        <v>67</v>
      </c>
      <c r="C69" s="51">
        <v>0</v>
      </c>
      <c r="D69" s="51">
        <v>0</v>
      </c>
      <c r="E69" s="62" t="s">
        <v>301</v>
      </c>
      <c r="F69" s="62">
        <v>0</v>
      </c>
      <c r="G69" s="8" t="s">
        <v>12</v>
      </c>
      <c r="H69" s="51">
        <v>0</v>
      </c>
      <c r="I69" s="69">
        <v>0</v>
      </c>
      <c r="J69" s="51">
        <v>0</v>
      </c>
      <c r="K69" s="51">
        <v>0</v>
      </c>
      <c r="L69" s="62">
        <v>0</v>
      </c>
      <c r="M69" s="51" t="s">
        <v>67</v>
      </c>
      <c r="N69" s="51" t="s">
        <v>7</v>
      </c>
      <c r="O69" s="69">
        <v>1.0000000000000001E-5</v>
      </c>
      <c r="P69" s="51" t="s">
        <v>2</v>
      </c>
      <c r="Q69" s="51" t="s">
        <v>1366</v>
      </c>
      <c r="R69" s="51">
        <v>0</v>
      </c>
      <c r="S69" s="62">
        <v>0</v>
      </c>
      <c r="T69" s="54" t="s">
        <v>94</v>
      </c>
      <c r="U69" s="127">
        <v>0</v>
      </c>
      <c r="V69" s="115">
        <v>0</v>
      </c>
      <c r="W69" s="115">
        <v>0</v>
      </c>
      <c r="X69" s="115">
        <v>0</v>
      </c>
      <c r="Y69" s="115">
        <v>63.500038841149426</v>
      </c>
      <c r="Z69" s="115">
        <v>10848.472578502809</v>
      </c>
      <c r="AA69" s="132" t="s">
        <v>537</v>
      </c>
      <c r="AB69" s="27">
        <f t="shared" si="31"/>
        <v>0</v>
      </c>
      <c r="AC69" s="29">
        <f t="shared" si="32"/>
        <v>2.9760000000000003E-8</v>
      </c>
      <c r="AD69" s="135">
        <f t="shared" si="13"/>
        <v>0</v>
      </c>
      <c r="AE69" s="135">
        <f t="shared" si="14"/>
        <v>0</v>
      </c>
      <c r="AF69" s="24">
        <f t="shared" si="15"/>
        <v>3.2285054393624366E-4</v>
      </c>
      <c r="AG69" s="24">
        <f t="shared" si="16"/>
        <v>0</v>
      </c>
      <c r="AH69" s="24">
        <f t="shared" si="17"/>
        <v>0</v>
      </c>
      <c r="AI69" s="24">
        <f t="shared" si="18"/>
        <v>0</v>
      </c>
      <c r="AJ69" s="24">
        <f t="shared" si="19"/>
        <v>0</v>
      </c>
      <c r="AK69" s="24">
        <f t="shared" si="20"/>
        <v>0</v>
      </c>
      <c r="AL69" s="24">
        <f t="shared" si="21"/>
        <v>3.2285054393624366E-4</v>
      </c>
      <c r="AM69" s="161">
        <f t="shared" si="22"/>
        <v>0</v>
      </c>
      <c r="AN69" s="157">
        <f t="shared" si="23"/>
        <v>0</v>
      </c>
      <c r="AO69" s="162">
        <f t="shared" si="24"/>
        <v>3.2285054393624366E-4</v>
      </c>
    </row>
    <row r="70" spans="1:41" s="8" customFormat="1" ht="15" customHeight="1" x14ac:dyDescent="0.2">
      <c r="A70" s="54" t="s">
        <v>304</v>
      </c>
      <c r="B70" s="54" t="s">
        <v>305</v>
      </c>
      <c r="C70" s="74">
        <v>1</v>
      </c>
      <c r="D70" s="51" t="s">
        <v>2</v>
      </c>
      <c r="E70" s="64" t="s">
        <v>294</v>
      </c>
      <c r="F70" s="64">
        <v>0</v>
      </c>
      <c r="G70" s="51" t="s">
        <v>305</v>
      </c>
      <c r="H70" s="51" t="s">
        <v>6</v>
      </c>
      <c r="I70" s="69">
        <v>1E-3</v>
      </c>
      <c r="J70" s="51" t="s">
        <v>2</v>
      </c>
      <c r="K70" s="51">
        <v>0</v>
      </c>
      <c r="L70" s="64">
        <v>0</v>
      </c>
      <c r="M70" s="51" t="s">
        <v>305</v>
      </c>
      <c r="N70" s="51" t="s">
        <v>7</v>
      </c>
      <c r="O70" s="69">
        <v>0.1</v>
      </c>
      <c r="P70" s="51" t="s">
        <v>2</v>
      </c>
      <c r="Q70" s="51">
        <v>0</v>
      </c>
      <c r="R70" s="51">
        <v>0</v>
      </c>
      <c r="S70" s="64">
        <v>0</v>
      </c>
      <c r="T70" s="54" t="s">
        <v>306</v>
      </c>
      <c r="U70" s="127">
        <v>0</v>
      </c>
      <c r="V70" s="115">
        <v>0</v>
      </c>
      <c r="W70" s="115">
        <v>0</v>
      </c>
      <c r="X70" s="115">
        <v>0</v>
      </c>
      <c r="Y70" s="117">
        <v>45</v>
      </c>
      <c r="Z70" s="117">
        <v>378</v>
      </c>
      <c r="AA70" s="132" t="s">
        <v>539</v>
      </c>
      <c r="AB70" s="27">
        <f>$C$29*I70</f>
        <v>5.9520000000000006E-5</v>
      </c>
      <c r="AC70" s="29">
        <f>$C$29*O70</f>
        <v>5.9520000000000007E-3</v>
      </c>
      <c r="AD70" s="135">
        <f t="shared" si="13"/>
        <v>0</v>
      </c>
      <c r="AE70" s="135">
        <f t="shared" si="14"/>
        <v>0</v>
      </c>
      <c r="AF70" s="24">
        <f t="shared" si="15"/>
        <v>2.2525344000000005</v>
      </c>
      <c r="AG70" s="24">
        <f t="shared" si="16"/>
        <v>0</v>
      </c>
      <c r="AH70" s="24">
        <f t="shared" si="17"/>
        <v>0</v>
      </c>
      <c r="AI70" s="24">
        <f t="shared" si="18"/>
        <v>2.6784000000000005E-3</v>
      </c>
      <c r="AJ70" s="24">
        <f t="shared" si="19"/>
        <v>0</v>
      </c>
      <c r="AK70" s="24">
        <f t="shared" si="20"/>
        <v>0</v>
      </c>
      <c r="AL70" s="24">
        <f t="shared" si="21"/>
        <v>2.2498560000000003</v>
      </c>
      <c r="AM70" s="161">
        <f t="shared" si="22"/>
        <v>0</v>
      </c>
      <c r="AN70" s="157">
        <f t="shared" si="23"/>
        <v>0</v>
      </c>
      <c r="AO70" s="162">
        <f t="shared" si="24"/>
        <v>2.2525344000000005</v>
      </c>
    </row>
    <row r="71" spans="1:41" s="8" customFormat="1" ht="15" customHeight="1" x14ac:dyDescent="0.2">
      <c r="A71" s="73" t="s">
        <v>430</v>
      </c>
      <c r="B71" s="54" t="s">
        <v>44</v>
      </c>
      <c r="C71" s="74">
        <v>1</v>
      </c>
      <c r="D71" s="51" t="s">
        <v>2</v>
      </c>
      <c r="E71" s="64">
        <v>1</v>
      </c>
      <c r="F71" s="64">
        <v>0</v>
      </c>
      <c r="G71" s="51" t="s">
        <v>44</v>
      </c>
      <c r="H71" s="51" t="s">
        <v>6</v>
      </c>
      <c r="I71" s="69">
        <v>1E-3</v>
      </c>
      <c r="J71" s="51" t="s">
        <v>2</v>
      </c>
      <c r="K71" s="51">
        <v>0</v>
      </c>
      <c r="L71" s="64">
        <v>0</v>
      </c>
      <c r="M71" s="51" t="s">
        <v>44</v>
      </c>
      <c r="N71" s="51" t="s">
        <v>7</v>
      </c>
      <c r="O71" s="69">
        <v>0.1</v>
      </c>
      <c r="P71" s="51" t="s">
        <v>2</v>
      </c>
      <c r="Q71" s="51">
        <v>0</v>
      </c>
      <c r="R71" s="51">
        <v>0</v>
      </c>
      <c r="S71" s="64">
        <v>0</v>
      </c>
      <c r="T71" s="54" t="s">
        <v>78</v>
      </c>
      <c r="U71" s="127">
        <v>0</v>
      </c>
      <c r="V71" s="115">
        <v>0</v>
      </c>
      <c r="W71" s="115">
        <v>0</v>
      </c>
      <c r="X71" s="115">
        <v>0</v>
      </c>
      <c r="Y71" s="115">
        <v>49.010721972656775</v>
      </c>
      <c r="Z71" s="115">
        <v>299.66222151864491</v>
      </c>
      <c r="AA71" s="132" t="s">
        <v>537</v>
      </c>
      <c r="AB71" s="27">
        <f>$C$26*I71</f>
        <v>2.9760000000000003E-5</v>
      </c>
      <c r="AC71" s="29">
        <f>$C$26*O71</f>
        <v>2.9760000000000003E-3</v>
      </c>
      <c r="AD71" s="135">
        <f t="shared" si="13"/>
        <v>0</v>
      </c>
      <c r="AE71" s="135">
        <f t="shared" si="14"/>
        <v>0</v>
      </c>
      <c r="AF71" s="24">
        <f t="shared" si="15"/>
        <v>0.89325333032539367</v>
      </c>
      <c r="AG71" s="24">
        <f t="shared" si="16"/>
        <v>0</v>
      </c>
      <c r="AH71" s="24">
        <f t="shared" si="17"/>
        <v>0</v>
      </c>
      <c r="AI71" s="24">
        <f t="shared" si="18"/>
        <v>1.4585590859062657E-3</v>
      </c>
      <c r="AJ71" s="24">
        <f t="shared" si="19"/>
        <v>0</v>
      </c>
      <c r="AK71" s="24">
        <f t="shared" si="20"/>
        <v>0</v>
      </c>
      <c r="AL71" s="24">
        <f t="shared" si="21"/>
        <v>0.89179477123948736</v>
      </c>
      <c r="AM71" s="161">
        <f t="shared" si="22"/>
        <v>0</v>
      </c>
      <c r="AN71" s="157">
        <f t="shared" si="23"/>
        <v>0</v>
      </c>
      <c r="AO71" s="162">
        <f t="shared" si="24"/>
        <v>0.89325333032539367</v>
      </c>
    </row>
    <row r="72" spans="1:41" s="8" customFormat="1" ht="15" customHeight="1" x14ac:dyDescent="0.2">
      <c r="A72" s="68" t="s">
        <v>59</v>
      </c>
      <c r="B72" s="54" t="s">
        <v>30</v>
      </c>
      <c r="C72" s="51">
        <v>0.1</v>
      </c>
      <c r="D72" s="51" t="s">
        <v>2</v>
      </c>
      <c r="E72" s="62" t="s">
        <v>294</v>
      </c>
      <c r="F72" s="62">
        <v>0</v>
      </c>
      <c r="G72" s="51" t="s">
        <v>12</v>
      </c>
      <c r="H72" s="51">
        <v>0</v>
      </c>
      <c r="I72" s="69">
        <v>0</v>
      </c>
      <c r="J72" s="51">
        <v>0</v>
      </c>
      <c r="K72" s="51">
        <v>0</v>
      </c>
      <c r="L72" s="62">
        <v>0</v>
      </c>
      <c r="M72" s="51" t="s">
        <v>30</v>
      </c>
      <c r="N72" s="51" t="s">
        <v>7</v>
      </c>
      <c r="O72" s="69">
        <v>9.9000000000000008E-3</v>
      </c>
      <c r="P72" s="51" t="s">
        <v>2</v>
      </c>
      <c r="Q72" s="8" t="s">
        <v>1367</v>
      </c>
      <c r="R72" s="8">
        <v>0</v>
      </c>
      <c r="S72" s="62">
        <v>0</v>
      </c>
      <c r="T72" s="80" t="s">
        <v>34</v>
      </c>
      <c r="U72" s="127">
        <v>0</v>
      </c>
      <c r="V72" s="115">
        <v>0</v>
      </c>
      <c r="W72" s="115">
        <v>0</v>
      </c>
      <c r="X72" s="115">
        <v>0</v>
      </c>
      <c r="Y72" s="129">
        <v>7.06</v>
      </c>
      <c r="Z72" s="129">
        <v>78.599999999999994</v>
      </c>
      <c r="AA72" s="132" t="s">
        <v>539</v>
      </c>
      <c r="AB72" s="27">
        <f>$C$27*I72</f>
        <v>0</v>
      </c>
      <c r="AC72" s="29">
        <f>$C$27*O72</f>
        <v>5.8924800000000002E-5</v>
      </c>
      <c r="AD72" s="135">
        <f t="shared" si="13"/>
        <v>0</v>
      </c>
      <c r="AE72" s="135">
        <f t="shared" si="14"/>
        <v>0</v>
      </c>
      <c r="AF72" s="24">
        <f t="shared" si="15"/>
        <v>4.6314892799999997E-3</v>
      </c>
      <c r="AG72" s="24">
        <f t="shared" si="16"/>
        <v>0</v>
      </c>
      <c r="AH72" s="24">
        <f t="shared" si="17"/>
        <v>0</v>
      </c>
      <c r="AI72" s="24">
        <f t="shared" si="18"/>
        <v>0</v>
      </c>
      <c r="AJ72" s="24">
        <f t="shared" si="19"/>
        <v>0</v>
      </c>
      <c r="AK72" s="24">
        <f t="shared" si="20"/>
        <v>0</v>
      </c>
      <c r="AL72" s="24">
        <f t="shared" si="21"/>
        <v>4.6314892799999997E-3</v>
      </c>
      <c r="AM72" s="161">
        <f t="shared" si="22"/>
        <v>0</v>
      </c>
      <c r="AN72" s="157">
        <f t="shared" si="23"/>
        <v>0</v>
      </c>
      <c r="AO72" s="162">
        <f t="shared" si="24"/>
        <v>4.6314892799999997E-3</v>
      </c>
    </row>
    <row r="73" spans="1:41" s="8" customFormat="1" ht="15" customHeight="1" x14ac:dyDescent="0.2">
      <c r="A73" s="68" t="s">
        <v>59</v>
      </c>
      <c r="B73" s="54" t="s">
        <v>15</v>
      </c>
      <c r="C73" s="51">
        <v>0.25</v>
      </c>
      <c r="D73" s="51" t="s">
        <v>2</v>
      </c>
      <c r="E73" s="62" t="s">
        <v>294</v>
      </c>
      <c r="F73" s="62">
        <v>0</v>
      </c>
      <c r="G73" s="51" t="s">
        <v>12</v>
      </c>
      <c r="H73" s="51">
        <v>0</v>
      </c>
      <c r="I73" s="69">
        <v>0</v>
      </c>
      <c r="J73" s="51">
        <v>0</v>
      </c>
      <c r="K73" s="51">
        <v>0</v>
      </c>
      <c r="L73" s="62">
        <v>0</v>
      </c>
      <c r="M73" s="51" t="s">
        <v>15</v>
      </c>
      <c r="N73" s="51" t="s">
        <v>7</v>
      </c>
      <c r="O73" s="69">
        <v>2.5000000000000001E-2</v>
      </c>
      <c r="P73" s="51" t="s">
        <v>2</v>
      </c>
      <c r="Q73" s="51">
        <v>0</v>
      </c>
      <c r="R73" s="51">
        <v>0</v>
      </c>
      <c r="S73" s="62">
        <v>0</v>
      </c>
      <c r="T73" s="54" t="s">
        <v>13</v>
      </c>
      <c r="U73" s="127">
        <v>0</v>
      </c>
      <c r="V73" s="115">
        <v>1.2009414857886904E-7</v>
      </c>
      <c r="W73" s="115">
        <v>0</v>
      </c>
      <c r="X73" s="115">
        <v>3.2843909509658706E-7</v>
      </c>
      <c r="Y73" s="115">
        <v>14.526941022240393</v>
      </c>
      <c r="Z73" s="115">
        <v>111.251141519207</v>
      </c>
      <c r="AA73" s="132" t="s">
        <v>538</v>
      </c>
      <c r="AB73" s="27">
        <f t="shared" ref="AB73:AB77" si="33">$C$27*I73</f>
        <v>0</v>
      </c>
      <c r="AC73" s="29">
        <f t="shared" ref="AC73:AC77" si="34">$C$27*O73</f>
        <v>1.4880000000000001E-4</v>
      </c>
      <c r="AD73" s="135">
        <f t="shared" si="13"/>
        <v>0</v>
      </c>
      <c r="AE73" s="135">
        <f t="shared" si="14"/>
        <v>4.8871737350372158E-11</v>
      </c>
      <c r="AF73" s="24">
        <f t="shared" si="15"/>
        <v>1.6554169858058004E-2</v>
      </c>
      <c r="AG73" s="24">
        <f t="shared" si="16"/>
        <v>0</v>
      </c>
      <c r="AH73" s="24">
        <f t="shared" si="17"/>
        <v>0</v>
      </c>
      <c r="AI73" s="24">
        <f t="shared" si="18"/>
        <v>0</v>
      </c>
      <c r="AJ73" s="24">
        <f t="shared" si="19"/>
        <v>0</v>
      </c>
      <c r="AK73" s="24">
        <f t="shared" si="20"/>
        <v>4.8871737350372158E-11</v>
      </c>
      <c r="AL73" s="24">
        <f t="shared" si="21"/>
        <v>1.6554169858058004E-2</v>
      </c>
      <c r="AM73" s="161">
        <f t="shared" si="22"/>
        <v>0</v>
      </c>
      <c r="AN73" s="157">
        <f t="shared" si="23"/>
        <v>4.8871737350372158E-11</v>
      </c>
      <c r="AO73" s="162">
        <f t="shared" si="24"/>
        <v>1.6554169858058004E-2</v>
      </c>
    </row>
    <row r="74" spans="1:41" s="8" customFormat="1" ht="15" customHeight="1" x14ac:dyDescent="0.2">
      <c r="A74" s="68" t="s">
        <v>59</v>
      </c>
      <c r="B74" s="54" t="s">
        <v>16</v>
      </c>
      <c r="C74" s="51">
        <v>0.1</v>
      </c>
      <c r="D74" s="51" t="s">
        <v>2</v>
      </c>
      <c r="E74" s="62" t="s">
        <v>294</v>
      </c>
      <c r="F74" s="62">
        <v>0</v>
      </c>
      <c r="G74" s="51" t="s">
        <v>12</v>
      </c>
      <c r="H74" s="51">
        <v>0</v>
      </c>
      <c r="I74" s="69">
        <v>0</v>
      </c>
      <c r="J74" s="51">
        <v>0</v>
      </c>
      <c r="K74" s="51">
        <v>0</v>
      </c>
      <c r="L74" s="62">
        <v>0</v>
      </c>
      <c r="M74" s="51" t="s">
        <v>69</v>
      </c>
      <c r="N74" s="51" t="s">
        <v>7</v>
      </c>
      <c r="O74" s="69">
        <v>1.0000000000000002E-2</v>
      </c>
      <c r="P74" s="51" t="s">
        <v>2</v>
      </c>
      <c r="Q74" s="51">
        <v>0</v>
      </c>
      <c r="R74" s="51">
        <v>0</v>
      </c>
      <c r="S74" s="62">
        <v>0</v>
      </c>
      <c r="T74" s="54" t="s">
        <v>17</v>
      </c>
      <c r="U74" s="127">
        <v>0</v>
      </c>
      <c r="V74" s="115">
        <v>0</v>
      </c>
      <c r="W74" s="115">
        <v>0</v>
      </c>
      <c r="X74" s="115">
        <v>0</v>
      </c>
      <c r="Y74" s="115">
        <v>47</v>
      </c>
      <c r="Z74" s="115">
        <v>913</v>
      </c>
      <c r="AA74" s="132" t="s">
        <v>539</v>
      </c>
      <c r="AB74" s="27">
        <f t="shared" si="33"/>
        <v>0</v>
      </c>
      <c r="AC74" s="29">
        <f t="shared" si="34"/>
        <v>5.9520000000000013E-5</v>
      </c>
      <c r="AD74" s="135">
        <f t="shared" si="13"/>
        <v>0</v>
      </c>
      <c r="AE74" s="135">
        <f t="shared" si="14"/>
        <v>0</v>
      </c>
      <c r="AF74" s="24">
        <f t="shared" si="15"/>
        <v>5.434176000000001E-2</v>
      </c>
      <c r="AG74" s="24">
        <f t="shared" si="16"/>
        <v>0</v>
      </c>
      <c r="AH74" s="24">
        <f t="shared" si="17"/>
        <v>0</v>
      </c>
      <c r="AI74" s="24">
        <f t="shared" si="18"/>
        <v>0</v>
      </c>
      <c r="AJ74" s="24">
        <f t="shared" si="19"/>
        <v>0</v>
      </c>
      <c r="AK74" s="24">
        <f t="shared" si="20"/>
        <v>0</v>
      </c>
      <c r="AL74" s="24">
        <f t="shared" si="21"/>
        <v>5.434176000000001E-2</v>
      </c>
      <c r="AM74" s="161">
        <f t="shared" si="22"/>
        <v>0</v>
      </c>
      <c r="AN74" s="157">
        <f t="shared" si="23"/>
        <v>0</v>
      </c>
      <c r="AO74" s="162">
        <f t="shared" si="24"/>
        <v>5.434176000000001E-2</v>
      </c>
    </row>
    <row r="75" spans="1:41" s="8" customFormat="1" ht="15" customHeight="1" x14ac:dyDescent="0.2">
      <c r="A75" s="68" t="s">
        <v>59</v>
      </c>
      <c r="B75" s="54" t="s">
        <v>18</v>
      </c>
      <c r="C75" s="51">
        <v>0.05</v>
      </c>
      <c r="D75" s="51" t="s">
        <v>2</v>
      </c>
      <c r="E75" s="62" t="s">
        <v>294</v>
      </c>
      <c r="F75" s="62">
        <v>0</v>
      </c>
      <c r="G75" s="51" t="s">
        <v>12</v>
      </c>
      <c r="H75" s="51">
        <v>0</v>
      </c>
      <c r="I75" s="69">
        <v>0</v>
      </c>
      <c r="J75" s="51">
        <v>0</v>
      </c>
      <c r="K75" s="51">
        <v>0</v>
      </c>
      <c r="L75" s="62">
        <v>0</v>
      </c>
      <c r="M75" s="51" t="s">
        <v>18</v>
      </c>
      <c r="N75" s="51" t="s">
        <v>7</v>
      </c>
      <c r="O75" s="69">
        <v>5.000000000000001E-3</v>
      </c>
      <c r="P75" s="51" t="s">
        <v>2</v>
      </c>
      <c r="Q75" s="51">
        <v>0</v>
      </c>
      <c r="R75" s="51">
        <v>0</v>
      </c>
      <c r="S75" s="62">
        <v>0</v>
      </c>
      <c r="T75" s="54" t="s">
        <v>14</v>
      </c>
      <c r="U75" s="127">
        <v>0</v>
      </c>
      <c r="V75" s="115">
        <v>0</v>
      </c>
      <c r="W75" s="115">
        <v>0</v>
      </c>
      <c r="X75" s="115">
        <v>0</v>
      </c>
      <c r="Y75" s="115">
        <v>109.72</v>
      </c>
      <c r="Z75" s="115">
        <v>110</v>
      </c>
      <c r="AA75" s="132" t="s">
        <v>539</v>
      </c>
      <c r="AB75" s="27">
        <f t="shared" si="33"/>
        <v>0</v>
      </c>
      <c r="AC75" s="29">
        <f t="shared" si="34"/>
        <v>2.9760000000000006E-5</v>
      </c>
      <c r="AD75" s="135">
        <f t="shared" si="13"/>
        <v>0</v>
      </c>
      <c r="AE75" s="135">
        <f t="shared" si="14"/>
        <v>0</v>
      </c>
      <c r="AF75" s="24">
        <f t="shared" si="15"/>
        <v>3.2736000000000006E-3</v>
      </c>
      <c r="AG75" s="24">
        <f t="shared" si="16"/>
        <v>0</v>
      </c>
      <c r="AH75" s="24">
        <f t="shared" si="17"/>
        <v>0</v>
      </c>
      <c r="AI75" s="24">
        <f t="shared" si="18"/>
        <v>0</v>
      </c>
      <c r="AJ75" s="24">
        <f t="shared" si="19"/>
        <v>0</v>
      </c>
      <c r="AK75" s="24">
        <f t="shared" si="20"/>
        <v>0</v>
      </c>
      <c r="AL75" s="24">
        <f t="shared" si="21"/>
        <v>3.2736000000000006E-3</v>
      </c>
      <c r="AM75" s="161">
        <f t="shared" si="22"/>
        <v>0</v>
      </c>
      <c r="AN75" s="157">
        <f t="shared" si="23"/>
        <v>0</v>
      </c>
      <c r="AO75" s="162">
        <f t="shared" si="24"/>
        <v>3.2736000000000006E-3</v>
      </c>
    </row>
    <row r="76" spans="1:41" s="8" customFormat="1" ht="15" customHeight="1" x14ac:dyDescent="0.2">
      <c r="A76" s="68" t="s">
        <v>59</v>
      </c>
      <c r="B76" s="50" t="s">
        <v>39</v>
      </c>
      <c r="C76" s="51">
        <v>0</v>
      </c>
      <c r="D76" s="51">
        <v>0</v>
      </c>
      <c r="E76" s="62" t="s">
        <v>1369</v>
      </c>
      <c r="F76" s="62">
        <v>0</v>
      </c>
      <c r="G76" s="51" t="s">
        <v>39</v>
      </c>
      <c r="H76" s="51" t="s">
        <v>6</v>
      </c>
      <c r="I76" s="69">
        <v>1.0000000000000001E-7</v>
      </c>
      <c r="J76" s="51" t="s">
        <v>2</v>
      </c>
      <c r="K76" s="54">
        <v>0</v>
      </c>
      <c r="L76" s="62">
        <v>0</v>
      </c>
      <c r="M76" s="51" t="s">
        <v>39</v>
      </c>
      <c r="N76" s="51" t="s">
        <v>7</v>
      </c>
      <c r="O76" s="69">
        <v>1.0000000000000001E-5</v>
      </c>
      <c r="P76" s="51" t="s">
        <v>2</v>
      </c>
      <c r="Q76" s="54" t="s">
        <v>295</v>
      </c>
      <c r="R76" s="54">
        <v>0</v>
      </c>
      <c r="S76" s="62">
        <v>0</v>
      </c>
      <c r="T76" s="54" t="s">
        <v>60</v>
      </c>
      <c r="U76" s="127">
        <v>1.0252176328593382E-6</v>
      </c>
      <c r="V76" s="115">
        <v>0</v>
      </c>
      <c r="W76" s="115">
        <v>8.6533271568247147E-7</v>
      </c>
      <c r="X76" s="115">
        <v>0</v>
      </c>
      <c r="Y76" s="115">
        <v>0.65406517859613422</v>
      </c>
      <c r="Z76" s="115">
        <v>11.248588270889815</v>
      </c>
      <c r="AA76" s="132" t="s">
        <v>537</v>
      </c>
      <c r="AB76" s="27">
        <f t="shared" si="33"/>
        <v>5.9520000000000007E-10</v>
      </c>
      <c r="AC76" s="29">
        <f t="shared" si="34"/>
        <v>5.9520000000000006E-8</v>
      </c>
      <c r="AD76" s="135">
        <f t="shared" si="13"/>
        <v>5.2114812772498589E-14</v>
      </c>
      <c r="AE76" s="135">
        <f t="shared" si="14"/>
        <v>0</v>
      </c>
      <c r="AF76" s="24">
        <f t="shared" si="15"/>
        <v>6.6990527347766231E-7</v>
      </c>
      <c r="AG76" s="24">
        <f t="shared" si="16"/>
        <v>6.1020953507787812E-16</v>
      </c>
      <c r="AH76" s="24">
        <f t="shared" si="17"/>
        <v>0</v>
      </c>
      <c r="AI76" s="24">
        <f t="shared" si="18"/>
        <v>3.8929959430041913E-10</v>
      </c>
      <c r="AJ76" s="24">
        <f t="shared" si="19"/>
        <v>5.1504603237420708E-14</v>
      </c>
      <c r="AK76" s="24">
        <f t="shared" si="20"/>
        <v>0</v>
      </c>
      <c r="AL76" s="24">
        <f t="shared" si="21"/>
        <v>6.6951597388336191E-7</v>
      </c>
      <c r="AM76" s="161">
        <f t="shared" si="22"/>
        <v>5.2114812772498589E-14</v>
      </c>
      <c r="AN76" s="157">
        <f t="shared" si="23"/>
        <v>0</v>
      </c>
      <c r="AO76" s="162">
        <f t="shared" si="24"/>
        <v>6.6990527347766231E-7</v>
      </c>
    </row>
    <row r="77" spans="1:41" s="8" customFormat="1" ht="15" customHeight="1" x14ac:dyDescent="0.2">
      <c r="A77" s="68" t="s">
        <v>59</v>
      </c>
      <c r="B77" s="54" t="s">
        <v>87</v>
      </c>
      <c r="C77" s="51">
        <v>0</v>
      </c>
      <c r="D77" s="51">
        <v>0</v>
      </c>
      <c r="E77" s="62" t="s">
        <v>1370</v>
      </c>
      <c r="F77" s="62">
        <v>0</v>
      </c>
      <c r="G77" s="51" t="s">
        <v>3</v>
      </c>
      <c r="H77" s="51" t="s">
        <v>6</v>
      </c>
      <c r="I77" s="69">
        <v>1.0000000000000001E-7</v>
      </c>
      <c r="J77" s="51" t="s">
        <v>2</v>
      </c>
      <c r="K77" s="51">
        <v>0</v>
      </c>
      <c r="L77" s="62">
        <v>0</v>
      </c>
      <c r="M77" s="51" t="s">
        <v>3</v>
      </c>
      <c r="N77" s="51" t="s">
        <v>7</v>
      </c>
      <c r="O77" s="69">
        <v>1.0000000000000002E-6</v>
      </c>
      <c r="P77" s="51" t="s">
        <v>2</v>
      </c>
      <c r="Q77" s="51" t="s">
        <v>1371</v>
      </c>
      <c r="R77" s="51">
        <v>0</v>
      </c>
      <c r="S77" s="62">
        <v>0</v>
      </c>
      <c r="T77" s="54" t="s">
        <v>28</v>
      </c>
      <c r="U77" s="127">
        <v>2.5208446330720887E-5</v>
      </c>
      <c r="V77" s="115">
        <v>2.6504960021309262E-7</v>
      </c>
      <c r="W77" s="115">
        <v>1.4222228897488039E-7</v>
      </c>
      <c r="X77" s="115">
        <v>3.170874313501273E-7</v>
      </c>
      <c r="Y77" s="115">
        <v>17.989178582912412</v>
      </c>
      <c r="Z77" s="115">
        <v>290.05086067463066</v>
      </c>
      <c r="AA77" s="132" t="s">
        <v>537</v>
      </c>
      <c r="AB77" s="27">
        <f t="shared" si="33"/>
        <v>5.9520000000000007E-10</v>
      </c>
      <c r="AC77" s="29">
        <f t="shared" si="34"/>
        <v>5.952000000000001E-9</v>
      </c>
      <c r="AD77" s="135">
        <f t="shared" si="13"/>
        <v>1.5850574320023562E-14</v>
      </c>
      <c r="AE77" s="135">
        <f t="shared" si="14"/>
        <v>2.0450619134427907E-15</v>
      </c>
      <c r="AF77" s="24">
        <f t="shared" si="15"/>
        <v>1.7370898818279515E-6</v>
      </c>
      <c r="AG77" s="24">
        <f t="shared" si="16"/>
        <v>1.5004067256045073E-14</v>
      </c>
      <c r="AH77" s="24">
        <f t="shared" si="17"/>
        <v>1.5775752204683274E-16</v>
      </c>
      <c r="AI77" s="24">
        <f t="shared" si="18"/>
        <v>1.0707159092549469E-8</v>
      </c>
      <c r="AJ77" s="24">
        <f t="shared" si="19"/>
        <v>8.465070639784883E-16</v>
      </c>
      <c r="AK77" s="24">
        <f t="shared" si="20"/>
        <v>1.8873043913959581E-15</v>
      </c>
      <c r="AL77" s="24">
        <f t="shared" si="21"/>
        <v>1.726382722735402E-6</v>
      </c>
      <c r="AM77" s="161">
        <f t="shared" si="22"/>
        <v>1.5850574320023562E-14</v>
      </c>
      <c r="AN77" s="157">
        <f t="shared" si="23"/>
        <v>2.0450619134427907E-15</v>
      </c>
      <c r="AO77" s="162">
        <f t="shared" si="24"/>
        <v>1.7370898818279515E-6</v>
      </c>
    </row>
    <row r="78" spans="1:41" s="8" customFormat="1" ht="15" customHeight="1" x14ac:dyDescent="0.2">
      <c r="A78" s="68" t="s">
        <v>55</v>
      </c>
      <c r="B78" s="54" t="s">
        <v>79</v>
      </c>
      <c r="C78" s="74">
        <v>1</v>
      </c>
      <c r="D78" s="51" t="s">
        <v>2</v>
      </c>
      <c r="E78" s="64">
        <v>1</v>
      </c>
      <c r="F78" s="64">
        <v>0</v>
      </c>
      <c r="G78" s="51" t="s">
        <v>12</v>
      </c>
      <c r="H78" s="51">
        <v>0</v>
      </c>
      <c r="I78" s="69">
        <v>0</v>
      </c>
      <c r="J78" s="51">
        <v>0</v>
      </c>
      <c r="K78" s="51" t="s">
        <v>297</v>
      </c>
      <c r="L78" s="64">
        <v>0</v>
      </c>
      <c r="M78" s="51" t="s">
        <v>79</v>
      </c>
      <c r="N78" s="51" t="s">
        <v>7</v>
      </c>
      <c r="O78" s="69">
        <v>0.1</v>
      </c>
      <c r="P78" s="51" t="s">
        <v>2</v>
      </c>
      <c r="Q78" s="51">
        <v>0</v>
      </c>
      <c r="R78" s="51">
        <v>0</v>
      </c>
      <c r="S78" s="64">
        <v>0</v>
      </c>
      <c r="T78" s="54" t="s">
        <v>80</v>
      </c>
      <c r="U78" s="127">
        <v>0</v>
      </c>
      <c r="V78" s="115">
        <v>0</v>
      </c>
      <c r="W78" s="115">
        <v>0</v>
      </c>
      <c r="X78" s="115">
        <v>0</v>
      </c>
      <c r="Y78" s="115">
        <v>31</v>
      </c>
      <c r="Z78" s="115">
        <v>73.7</v>
      </c>
      <c r="AA78" s="132" t="s">
        <v>539</v>
      </c>
      <c r="AB78" s="27">
        <f>$C$28*I78</f>
        <v>0</v>
      </c>
      <c r="AC78" s="29">
        <f>$C$28*O78</f>
        <v>5.9520000000000005E-4</v>
      </c>
      <c r="AD78" s="135">
        <f t="shared" si="13"/>
        <v>0</v>
      </c>
      <c r="AE78" s="135">
        <f t="shared" si="14"/>
        <v>0</v>
      </c>
      <c r="AF78" s="24">
        <f t="shared" si="15"/>
        <v>4.3866240000000008E-2</v>
      </c>
      <c r="AG78" s="24">
        <f t="shared" si="16"/>
        <v>0</v>
      </c>
      <c r="AH78" s="24">
        <f t="shared" si="17"/>
        <v>0</v>
      </c>
      <c r="AI78" s="24">
        <f t="shared" si="18"/>
        <v>0</v>
      </c>
      <c r="AJ78" s="24">
        <f t="shared" si="19"/>
        <v>0</v>
      </c>
      <c r="AK78" s="24">
        <f t="shared" si="20"/>
        <v>0</v>
      </c>
      <c r="AL78" s="24">
        <f t="shared" si="21"/>
        <v>4.3866240000000008E-2</v>
      </c>
      <c r="AM78" s="161">
        <f t="shared" si="22"/>
        <v>0</v>
      </c>
      <c r="AN78" s="157">
        <f t="shared" si="23"/>
        <v>0</v>
      </c>
      <c r="AO78" s="162">
        <f t="shared" si="24"/>
        <v>4.3866240000000008E-2</v>
      </c>
    </row>
    <row r="79" spans="1:41" s="8" customFormat="1" ht="15" customHeight="1" x14ac:dyDescent="0.2">
      <c r="A79" s="68" t="s">
        <v>57</v>
      </c>
      <c r="B79" s="54" t="s">
        <v>1</v>
      </c>
      <c r="C79" s="74">
        <v>1</v>
      </c>
      <c r="D79" s="51" t="s">
        <v>2</v>
      </c>
      <c r="E79" s="62">
        <v>1</v>
      </c>
      <c r="F79" s="62">
        <v>0</v>
      </c>
      <c r="G79" s="51" t="s">
        <v>1</v>
      </c>
      <c r="H79" s="51" t="s">
        <v>6</v>
      </c>
      <c r="I79" s="69">
        <v>1E-3</v>
      </c>
      <c r="J79" s="51" t="s">
        <v>2</v>
      </c>
      <c r="K79" s="51">
        <v>0</v>
      </c>
      <c r="L79" s="62">
        <v>0</v>
      </c>
      <c r="M79" s="51" t="s">
        <v>1</v>
      </c>
      <c r="N79" s="51" t="s">
        <v>7</v>
      </c>
      <c r="O79" s="69">
        <v>1.0000000000000002E-2</v>
      </c>
      <c r="P79" s="51" t="s">
        <v>2</v>
      </c>
      <c r="Q79" s="51" t="s">
        <v>1365</v>
      </c>
      <c r="R79" s="51">
        <v>0</v>
      </c>
      <c r="S79" s="62">
        <v>0</v>
      </c>
      <c r="T79" s="50" t="s">
        <v>23</v>
      </c>
      <c r="U79" s="127">
        <v>0</v>
      </c>
      <c r="V79" s="129">
        <v>0</v>
      </c>
      <c r="W79" s="129">
        <v>0</v>
      </c>
      <c r="X79" s="129">
        <v>0</v>
      </c>
      <c r="Y79" s="129">
        <v>221</v>
      </c>
      <c r="Z79" s="129">
        <v>5320</v>
      </c>
      <c r="AA79" s="132" t="s">
        <v>539</v>
      </c>
      <c r="AB79" s="27">
        <f>$C$30*I79</f>
        <v>1.1904E-5</v>
      </c>
      <c r="AC79" s="29">
        <f>$C$30*O79</f>
        <v>1.1904000000000003E-4</v>
      </c>
      <c r="AD79" s="135">
        <f t="shared" si="13"/>
        <v>0</v>
      </c>
      <c r="AE79" s="135">
        <f t="shared" si="14"/>
        <v>0</v>
      </c>
      <c r="AF79" s="24">
        <f>AB79*Y79+AC79*Z79</f>
        <v>0.63592358400000015</v>
      </c>
      <c r="AG79" s="24">
        <f t="shared" si="16"/>
        <v>0</v>
      </c>
      <c r="AH79" s="24">
        <f t="shared" si="17"/>
        <v>0</v>
      </c>
      <c r="AI79" s="24">
        <f t="shared" si="18"/>
        <v>2.6307840000000002E-3</v>
      </c>
      <c r="AJ79" s="24">
        <f t="shared" si="19"/>
        <v>0</v>
      </c>
      <c r="AK79" s="24">
        <f t="shared" si="20"/>
        <v>0</v>
      </c>
      <c r="AL79" s="24">
        <f t="shared" si="21"/>
        <v>0.6332928000000001</v>
      </c>
      <c r="AM79" s="161">
        <f t="shared" si="22"/>
        <v>0</v>
      </c>
      <c r="AN79" s="157">
        <f t="shared" si="23"/>
        <v>0</v>
      </c>
      <c r="AO79" s="162">
        <f t="shared" si="24"/>
        <v>0.63592358400000015</v>
      </c>
    </row>
    <row r="80" spans="1:41" s="49" customFormat="1" ht="15" customHeight="1" x14ac:dyDescent="0.2">
      <c r="A80" s="193" t="s">
        <v>50</v>
      </c>
      <c r="B80" s="141" t="s">
        <v>41</v>
      </c>
      <c r="C80" s="169">
        <v>1</v>
      </c>
      <c r="D80" s="139" t="s">
        <v>2</v>
      </c>
      <c r="E80" s="170">
        <v>1</v>
      </c>
      <c r="F80" s="170">
        <v>0</v>
      </c>
      <c r="G80" s="139" t="s">
        <v>41</v>
      </c>
      <c r="H80" s="139" t="s">
        <v>6</v>
      </c>
      <c r="I80" s="142">
        <v>6.0000000000000001E-3</v>
      </c>
      <c r="J80" s="139" t="s">
        <v>2</v>
      </c>
      <c r="K80" s="49" t="s">
        <v>307</v>
      </c>
      <c r="L80" s="170">
        <v>0</v>
      </c>
      <c r="M80" s="139" t="s">
        <v>41</v>
      </c>
      <c r="N80" s="139" t="s">
        <v>7</v>
      </c>
      <c r="O80" s="142">
        <v>5.000000000000001E-3</v>
      </c>
      <c r="P80" s="139" t="s">
        <v>2</v>
      </c>
      <c r="Q80" s="49" t="s">
        <v>562</v>
      </c>
      <c r="R80" s="49">
        <v>0</v>
      </c>
      <c r="S80" s="170">
        <v>0</v>
      </c>
      <c r="T80" s="141" t="s">
        <v>63</v>
      </c>
      <c r="U80" s="143">
        <v>0</v>
      </c>
      <c r="V80" s="144">
        <v>0</v>
      </c>
      <c r="W80" s="144">
        <v>0</v>
      </c>
      <c r="X80" s="144">
        <v>0</v>
      </c>
      <c r="Y80" s="419">
        <v>8.8772465275976433</v>
      </c>
      <c r="Z80" s="419">
        <v>208.6033035913627</v>
      </c>
      <c r="AA80" s="145" t="s">
        <v>537</v>
      </c>
      <c r="AB80" s="28">
        <f>$C$22*I80</f>
        <v>7.1423999999999999E-5</v>
      </c>
      <c r="AC80" s="146">
        <f>$C$22*O80</f>
        <v>5.9520000000000013E-5</v>
      </c>
      <c r="AD80" s="147">
        <f t="shared" si="13"/>
        <v>0</v>
      </c>
      <c r="AE80" s="147">
        <f t="shared" si="14"/>
        <v>0</v>
      </c>
      <c r="AF80" s="25">
        <f t="shared" si="15"/>
        <v>1.3050117085745045E-2</v>
      </c>
      <c r="AG80" s="25">
        <f t="shared" si="16"/>
        <v>0</v>
      </c>
      <c r="AH80" s="25">
        <f t="shared" si="17"/>
        <v>0</v>
      </c>
      <c r="AI80" s="25">
        <f t="shared" si="18"/>
        <v>6.3404845598713402E-4</v>
      </c>
      <c r="AJ80" s="25">
        <f t="shared" si="19"/>
        <v>0</v>
      </c>
      <c r="AK80" s="25">
        <f t="shared" si="20"/>
        <v>0</v>
      </c>
      <c r="AL80" s="25">
        <f t="shared" si="21"/>
        <v>1.2416068629757911E-2</v>
      </c>
      <c r="AM80" s="163">
        <f t="shared" si="22"/>
        <v>0</v>
      </c>
      <c r="AN80" s="164">
        <f t="shared" si="23"/>
        <v>0</v>
      </c>
      <c r="AO80" s="165">
        <f t="shared" si="24"/>
        <v>1.3050117085745045E-2</v>
      </c>
    </row>
    <row r="81" spans="1:41" s="8" customFormat="1" ht="15" customHeight="1" x14ac:dyDescent="0.2">
      <c r="A81" s="70" t="s">
        <v>308</v>
      </c>
      <c r="B81" s="53" t="s">
        <v>19</v>
      </c>
      <c r="C81" s="74">
        <v>0.3</v>
      </c>
      <c r="D81" s="51" t="s">
        <v>2</v>
      </c>
      <c r="E81" s="62" t="s">
        <v>294</v>
      </c>
      <c r="F81" s="62">
        <v>0</v>
      </c>
      <c r="G81" s="51" t="s">
        <v>65</v>
      </c>
      <c r="H81" s="54" t="s">
        <v>6</v>
      </c>
      <c r="I81" s="69">
        <v>2.9999999999999997E-4</v>
      </c>
      <c r="J81" s="51">
        <v>0</v>
      </c>
      <c r="K81" s="51">
        <v>0</v>
      </c>
      <c r="L81" s="62">
        <v>0</v>
      </c>
      <c r="M81" s="51" t="s">
        <v>65</v>
      </c>
      <c r="N81" s="51" t="s">
        <v>7</v>
      </c>
      <c r="O81" s="69">
        <v>0.03</v>
      </c>
      <c r="P81" s="51" t="s">
        <v>2</v>
      </c>
      <c r="Q81" s="51">
        <v>0</v>
      </c>
      <c r="R81" s="51">
        <v>0</v>
      </c>
      <c r="S81" s="62">
        <v>0</v>
      </c>
      <c r="T81" s="54" t="s">
        <v>20</v>
      </c>
      <c r="U81" s="127">
        <v>0</v>
      </c>
      <c r="V81" s="115">
        <v>2.5624272316803493E-8</v>
      </c>
      <c r="W81" s="115">
        <v>0</v>
      </c>
      <c r="X81" s="115">
        <v>6.1179997974786175E-9</v>
      </c>
      <c r="Y81" s="115">
        <v>95.727827940780713</v>
      </c>
      <c r="Z81" s="115">
        <v>451.93033608164546</v>
      </c>
      <c r="AA81" s="132" t="s">
        <v>538</v>
      </c>
      <c r="AB81" s="27">
        <f>$C$31*I81</f>
        <v>4.5899999999999997E-7</v>
      </c>
      <c r="AC81" s="29">
        <f>$C$31*O81</f>
        <v>4.5900000000000004E-5</v>
      </c>
      <c r="AD81" s="135">
        <f t="shared" si="13"/>
        <v>0</v>
      </c>
      <c r="AE81" s="135">
        <f t="shared" si="14"/>
        <v>2.9257773169768137E-13</v>
      </c>
      <c r="AF81" s="24">
        <f t="shared" si="15"/>
        <v>2.0787541499172349E-2</v>
      </c>
      <c r="AG81" s="24">
        <f t="shared" si="16"/>
        <v>0</v>
      </c>
      <c r="AH81" s="24">
        <f t="shared" si="17"/>
        <v>1.1761540993412802E-14</v>
      </c>
      <c r="AI81" s="24">
        <f t="shared" si="18"/>
        <v>4.3939073024818343E-5</v>
      </c>
      <c r="AJ81" s="24">
        <f t="shared" si="19"/>
        <v>0</v>
      </c>
      <c r="AK81" s="24">
        <f t="shared" si="20"/>
        <v>2.8081619070426856E-13</v>
      </c>
      <c r="AL81" s="24">
        <f t="shared" si="21"/>
        <v>2.074360242614753E-2</v>
      </c>
      <c r="AM81" s="161">
        <f t="shared" si="22"/>
        <v>0</v>
      </c>
      <c r="AN81" s="157">
        <f t="shared" si="23"/>
        <v>2.9257773169768137E-13</v>
      </c>
      <c r="AO81" s="162">
        <f t="shared" si="24"/>
        <v>2.0787541499172349E-2</v>
      </c>
    </row>
    <row r="82" spans="1:41" s="8" customFormat="1" ht="15" customHeight="1" x14ac:dyDescent="0.2">
      <c r="A82" s="73" t="s">
        <v>59</v>
      </c>
      <c r="B82" s="54" t="s">
        <v>30</v>
      </c>
      <c r="C82" s="51">
        <v>0.1</v>
      </c>
      <c r="D82" s="51" t="s">
        <v>2</v>
      </c>
      <c r="E82" s="62" t="s">
        <v>294</v>
      </c>
      <c r="F82" s="62">
        <v>0</v>
      </c>
      <c r="G82" s="51" t="s">
        <v>12</v>
      </c>
      <c r="H82" s="51">
        <v>0</v>
      </c>
      <c r="I82" s="69">
        <v>0</v>
      </c>
      <c r="J82" s="51">
        <v>0</v>
      </c>
      <c r="K82" s="51">
        <v>0</v>
      </c>
      <c r="L82" s="62">
        <v>0</v>
      </c>
      <c r="M82" s="51" t="s">
        <v>30</v>
      </c>
      <c r="N82" s="51" t="s">
        <v>7</v>
      </c>
      <c r="O82" s="69">
        <v>9.9000000000000008E-3</v>
      </c>
      <c r="P82" s="51" t="s">
        <v>2</v>
      </c>
      <c r="Q82" s="8" t="s">
        <v>1367</v>
      </c>
      <c r="R82" s="8">
        <v>0</v>
      </c>
      <c r="S82" s="62">
        <v>0</v>
      </c>
      <c r="T82" s="80" t="s">
        <v>34</v>
      </c>
      <c r="U82" s="127">
        <v>0</v>
      </c>
      <c r="V82" s="115">
        <v>0</v>
      </c>
      <c r="W82" s="115">
        <v>0</v>
      </c>
      <c r="X82" s="115">
        <v>0</v>
      </c>
      <c r="Y82" s="129">
        <v>7.06</v>
      </c>
      <c r="Z82" s="129">
        <v>78.599999999999994</v>
      </c>
      <c r="AA82" s="132" t="s">
        <v>539</v>
      </c>
      <c r="AB82" s="27">
        <f>$C$32*I82</f>
        <v>0</v>
      </c>
      <c r="AC82" s="29">
        <f>$C$32*O82</f>
        <v>1.5147000000000003E-5</v>
      </c>
      <c r="AD82" s="135">
        <f t="shared" si="13"/>
        <v>0</v>
      </c>
      <c r="AE82" s="135">
        <f t="shared" si="14"/>
        <v>0</v>
      </c>
      <c r="AF82" s="24">
        <f t="shared" si="15"/>
        <v>1.1905542000000002E-3</v>
      </c>
      <c r="AG82" s="24">
        <f t="shared" si="16"/>
        <v>0</v>
      </c>
      <c r="AH82" s="24">
        <f t="shared" si="17"/>
        <v>0</v>
      </c>
      <c r="AI82" s="24">
        <f t="shared" si="18"/>
        <v>0</v>
      </c>
      <c r="AJ82" s="24">
        <f t="shared" si="19"/>
        <v>0</v>
      </c>
      <c r="AK82" s="24">
        <f t="shared" si="20"/>
        <v>0</v>
      </c>
      <c r="AL82" s="24">
        <f t="shared" si="21"/>
        <v>1.1905542000000002E-3</v>
      </c>
      <c r="AM82" s="161">
        <f t="shared" si="22"/>
        <v>0</v>
      </c>
      <c r="AN82" s="157">
        <f t="shared" si="23"/>
        <v>0</v>
      </c>
      <c r="AO82" s="162">
        <f t="shared" si="24"/>
        <v>1.1905542000000002E-3</v>
      </c>
    </row>
    <row r="83" spans="1:41" s="8" customFormat="1" ht="15" customHeight="1" x14ac:dyDescent="0.2">
      <c r="A83" s="68" t="s">
        <v>59</v>
      </c>
      <c r="B83" s="54" t="s">
        <v>15</v>
      </c>
      <c r="C83" s="51">
        <v>0.25</v>
      </c>
      <c r="D83" s="51" t="s">
        <v>2</v>
      </c>
      <c r="E83" s="62" t="s">
        <v>294</v>
      </c>
      <c r="F83" s="62">
        <v>0</v>
      </c>
      <c r="G83" s="51" t="s">
        <v>12</v>
      </c>
      <c r="H83" s="51">
        <v>0</v>
      </c>
      <c r="I83" s="69">
        <v>0</v>
      </c>
      <c r="J83" s="51">
        <v>0</v>
      </c>
      <c r="K83" s="51">
        <v>0</v>
      </c>
      <c r="L83" s="62">
        <v>0</v>
      </c>
      <c r="M83" s="51" t="s">
        <v>15</v>
      </c>
      <c r="N83" s="51" t="s">
        <v>7</v>
      </c>
      <c r="O83" s="69">
        <v>2.5000000000000001E-2</v>
      </c>
      <c r="P83" s="51" t="s">
        <v>2</v>
      </c>
      <c r="Q83" s="51">
        <v>0</v>
      </c>
      <c r="R83" s="51">
        <v>0</v>
      </c>
      <c r="S83" s="62">
        <v>0</v>
      </c>
      <c r="T83" s="54" t="s">
        <v>13</v>
      </c>
      <c r="U83" s="127">
        <v>0</v>
      </c>
      <c r="V83" s="115">
        <v>1.2009414857886904E-7</v>
      </c>
      <c r="W83" s="115">
        <v>0</v>
      </c>
      <c r="X83" s="115">
        <v>3.2843909509658706E-7</v>
      </c>
      <c r="Y83" s="115">
        <v>14.526941022240393</v>
      </c>
      <c r="Z83" s="115">
        <v>111.251141519207</v>
      </c>
      <c r="AA83" s="132" t="s">
        <v>538</v>
      </c>
      <c r="AB83" s="27">
        <f t="shared" ref="AB83:AB87" si="35">$C$32*I83</f>
        <v>0</v>
      </c>
      <c r="AC83" s="29">
        <f t="shared" ref="AC83:AC87" si="36">$C$32*O83</f>
        <v>3.8250000000000008E-5</v>
      </c>
      <c r="AD83" s="135">
        <f t="shared" si="13"/>
        <v>0</v>
      </c>
      <c r="AE83" s="135">
        <f t="shared" si="14"/>
        <v>1.2562795387444458E-11</v>
      </c>
      <c r="AF83" s="24">
        <f t="shared" si="15"/>
        <v>4.2553561631096682E-3</v>
      </c>
      <c r="AG83" s="24">
        <f t="shared" si="16"/>
        <v>0</v>
      </c>
      <c r="AH83" s="24">
        <f t="shared" si="17"/>
        <v>0</v>
      </c>
      <c r="AI83" s="24">
        <f t="shared" si="18"/>
        <v>0</v>
      </c>
      <c r="AJ83" s="24">
        <f t="shared" si="19"/>
        <v>0</v>
      </c>
      <c r="AK83" s="24">
        <f t="shared" si="20"/>
        <v>1.2562795387444458E-11</v>
      </c>
      <c r="AL83" s="24">
        <f t="shared" si="21"/>
        <v>4.2553561631096682E-3</v>
      </c>
      <c r="AM83" s="161">
        <f t="shared" si="22"/>
        <v>0</v>
      </c>
      <c r="AN83" s="157">
        <f t="shared" si="23"/>
        <v>1.2562795387444458E-11</v>
      </c>
      <c r="AO83" s="162">
        <f t="shared" si="24"/>
        <v>4.2553561631096682E-3</v>
      </c>
    </row>
    <row r="84" spans="1:41" s="8" customFormat="1" ht="15" customHeight="1" x14ac:dyDescent="0.2">
      <c r="A84" s="68" t="s">
        <v>59</v>
      </c>
      <c r="B84" s="54" t="s">
        <v>16</v>
      </c>
      <c r="C84" s="51">
        <v>0.1</v>
      </c>
      <c r="D84" s="51" t="s">
        <v>2</v>
      </c>
      <c r="E84" s="62" t="s">
        <v>294</v>
      </c>
      <c r="F84" s="62">
        <v>0</v>
      </c>
      <c r="G84" s="51" t="s">
        <v>12</v>
      </c>
      <c r="H84" s="51">
        <v>0</v>
      </c>
      <c r="I84" s="69">
        <v>0</v>
      </c>
      <c r="J84" s="51">
        <v>0</v>
      </c>
      <c r="K84" s="51">
        <v>0</v>
      </c>
      <c r="L84" s="62">
        <v>0</v>
      </c>
      <c r="M84" s="51" t="s">
        <v>69</v>
      </c>
      <c r="N84" s="51" t="s">
        <v>7</v>
      </c>
      <c r="O84" s="69">
        <v>1.0000000000000002E-2</v>
      </c>
      <c r="P84" s="51" t="s">
        <v>2</v>
      </c>
      <c r="Q84" s="51">
        <v>0</v>
      </c>
      <c r="R84" s="51">
        <v>0</v>
      </c>
      <c r="S84" s="62">
        <v>0</v>
      </c>
      <c r="T84" s="54" t="s">
        <v>17</v>
      </c>
      <c r="U84" s="127">
        <v>0</v>
      </c>
      <c r="V84" s="115">
        <v>0</v>
      </c>
      <c r="W84" s="115">
        <v>0</v>
      </c>
      <c r="X84" s="115">
        <v>0</v>
      </c>
      <c r="Y84" s="115">
        <v>47</v>
      </c>
      <c r="Z84" s="115">
        <v>913</v>
      </c>
      <c r="AA84" s="132" t="s">
        <v>539</v>
      </c>
      <c r="AB84" s="27">
        <f t="shared" si="35"/>
        <v>0</v>
      </c>
      <c r="AC84" s="29">
        <f t="shared" si="36"/>
        <v>1.5300000000000003E-5</v>
      </c>
      <c r="AD84" s="135">
        <f t="shared" si="13"/>
        <v>0</v>
      </c>
      <c r="AE84" s="135">
        <f t="shared" si="14"/>
        <v>0</v>
      </c>
      <c r="AF84" s="24">
        <f t="shared" si="15"/>
        <v>1.3968900000000003E-2</v>
      </c>
      <c r="AG84" s="24">
        <f t="shared" si="16"/>
        <v>0</v>
      </c>
      <c r="AH84" s="24">
        <f t="shared" si="17"/>
        <v>0</v>
      </c>
      <c r="AI84" s="24">
        <f t="shared" si="18"/>
        <v>0</v>
      </c>
      <c r="AJ84" s="24">
        <f t="shared" si="19"/>
        <v>0</v>
      </c>
      <c r="AK84" s="24">
        <f t="shared" si="20"/>
        <v>0</v>
      </c>
      <c r="AL84" s="24">
        <f t="shared" si="21"/>
        <v>1.3968900000000003E-2</v>
      </c>
      <c r="AM84" s="161">
        <f t="shared" si="22"/>
        <v>0</v>
      </c>
      <c r="AN84" s="157">
        <f t="shared" si="23"/>
        <v>0</v>
      </c>
      <c r="AO84" s="162">
        <f t="shared" si="24"/>
        <v>1.3968900000000003E-2</v>
      </c>
    </row>
    <row r="85" spans="1:41" s="8" customFormat="1" ht="15" customHeight="1" x14ac:dyDescent="0.2">
      <c r="A85" s="68" t="s">
        <v>59</v>
      </c>
      <c r="B85" s="54" t="s">
        <v>18</v>
      </c>
      <c r="C85" s="51">
        <v>0.05</v>
      </c>
      <c r="D85" s="51" t="s">
        <v>2</v>
      </c>
      <c r="E85" s="62" t="s">
        <v>294</v>
      </c>
      <c r="F85" s="62">
        <v>0</v>
      </c>
      <c r="G85" s="51" t="s">
        <v>12</v>
      </c>
      <c r="H85" s="51">
        <v>0</v>
      </c>
      <c r="I85" s="69">
        <v>0</v>
      </c>
      <c r="J85" s="51">
        <v>0</v>
      </c>
      <c r="K85" s="51">
        <v>0</v>
      </c>
      <c r="L85" s="62">
        <v>0</v>
      </c>
      <c r="M85" s="51" t="s">
        <v>18</v>
      </c>
      <c r="N85" s="51" t="s">
        <v>7</v>
      </c>
      <c r="O85" s="69">
        <v>5.000000000000001E-3</v>
      </c>
      <c r="P85" s="51" t="s">
        <v>2</v>
      </c>
      <c r="Q85" s="51">
        <v>0</v>
      </c>
      <c r="R85" s="51">
        <v>0</v>
      </c>
      <c r="S85" s="62">
        <v>0</v>
      </c>
      <c r="T85" s="54" t="s">
        <v>14</v>
      </c>
      <c r="U85" s="127">
        <v>0</v>
      </c>
      <c r="V85" s="115">
        <v>0</v>
      </c>
      <c r="W85" s="115">
        <v>0</v>
      </c>
      <c r="X85" s="115">
        <v>0</v>
      </c>
      <c r="Y85" s="115">
        <v>109.72</v>
      </c>
      <c r="Z85" s="115">
        <v>110</v>
      </c>
      <c r="AA85" s="132" t="s">
        <v>539</v>
      </c>
      <c r="AB85" s="27">
        <f t="shared" si="35"/>
        <v>0</v>
      </c>
      <c r="AC85" s="29">
        <f t="shared" si="36"/>
        <v>7.6500000000000013E-6</v>
      </c>
      <c r="AD85" s="135">
        <f t="shared" si="13"/>
        <v>0</v>
      </c>
      <c r="AE85" s="135">
        <f t="shared" si="14"/>
        <v>0</v>
      </c>
      <c r="AF85" s="24">
        <f t="shared" si="15"/>
        <v>8.4150000000000013E-4</v>
      </c>
      <c r="AG85" s="24">
        <f t="shared" si="16"/>
        <v>0</v>
      </c>
      <c r="AH85" s="24">
        <f t="shared" si="17"/>
        <v>0</v>
      </c>
      <c r="AI85" s="24">
        <f t="shared" si="18"/>
        <v>0</v>
      </c>
      <c r="AJ85" s="24">
        <f t="shared" si="19"/>
        <v>0</v>
      </c>
      <c r="AK85" s="24">
        <f t="shared" si="20"/>
        <v>0</v>
      </c>
      <c r="AL85" s="24">
        <f t="shared" si="21"/>
        <v>8.4150000000000013E-4</v>
      </c>
      <c r="AM85" s="161">
        <f t="shared" si="22"/>
        <v>0</v>
      </c>
      <c r="AN85" s="157">
        <f t="shared" si="23"/>
        <v>0</v>
      </c>
      <c r="AO85" s="162">
        <f t="shared" si="24"/>
        <v>8.4150000000000013E-4</v>
      </c>
    </row>
    <row r="86" spans="1:41" s="8" customFormat="1" ht="15" customHeight="1" x14ac:dyDescent="0.2">
      <c r="A86" s="68" t="s">
        <v>59</v>
      </c>
      <c r="B86" s="50" t="s">
        <v>39</v>
      </c>
      <c r="C86" s="51">
        <v>0</v>
      </c>
      <c r="D86" s="51">
        <v>0</v>
      </c>
      <c r="E86" s="62" t="s">
        <v>1369</v>
      </c>
      <c r="F86" s="62">
        <v>0</v>
      </c>
      <c r="G86" s="51" t="s">
        <v>39</v>
      </c>
      <c r="H86" s="51" t="s">
        <v>6</v>
      </c>
      <c r="I86" s="69">
        <v>1.0000000000000001E-7</v>
      </c>
      <c r="J86" s="51" t="s">
        <v>2</v>
      </c>
      <c r="K86" s="54">
        <v>0</v>
      </c>
      <c r="L86" s="62">
        <v>0</v>
      </c>
      <c r="M86" s="51" t="s">
        <v>39</v>
      </c>
      <c r="N86" s="51" t="s">
        <v>7</v>
      </c>
      <c r="O86" s="69">
        <v>1.0000000000000001E-5</v>
      </c>
      <c r="P86" s="51" t="s">
        <v>2</v>
      </c>
      <c r="Q86" s="54" t="s">
        <v>295</v>
      </c>
      <c r="R86" s="54">
        <v>0</v>
      </c>
      <c r="S86" s="62">
        <v>0</v>
      </c>
      <c r="T86" s="54" t="s">
        <v>60</v>
      </c>
      <c r="U86" s="127">
        <v>1.0252176328593382E-6</v>
      </c>
      <c r="V86" s="115">
        <v>0</v>
      </c>
      <c r="W86" s="115">
        <v>8.6533271568247147E-7</v>
      </c>
      <c r="X86" s="115">
        <v>0</v>
      </c>
      <c r="Y86" s="115">
        <v>0.65406517859613422</v>
      </c>
      <c r="Z86" s="115">
        <v>11.248588270889815</v>
      </c>
      <c r="AA86" s="132" t="s">
        <v>537</v>
      </c>
      <c r="AB86" s="27">
        <f t="shared" si="35"/>
        <v>1.5300000000000001E-10</v>
      </c>
      <c r="AC86" s="29">
        <f t="shared" si="36"/>
        <v>1.5300000000000001E-8</v>
      </c>
      <c r="AD86" s="135">
        <f t="shared" si="13"/>
        <v>1.3396448847769294E-14</v>
      </c>
      <c r="AE86" s="135">
        <f t="shared" si="14"/>
        <v>0</v>
      </c>
      <c r="AF86" s="24">
        <f t="shared" si="15"/>
        <v>1.7220347251693941E-7</v>
      </c>
      <c r="AG86" s="24">
        <f t="shared" si="16"/>
        <v>1.5685829782747875E-16</v>
      </c>
      <c r="AH86" s="24">
        <f t="shared" si="17"/>
        <v>0</v>
      </c>
      <c r="AI86" s="24">
        <f t="shared" si="18"/>
        <v>1.0007197232520855E-10</v>
      </c>
      <c r="AJ86" s="24">
        <f t="shared" si="19"/>
        <v>1.3239590549941815E-14</v>
      </c>
      <c r="AK86" s="24">
        <f t="shared" si="20"/>
        <v>0</v>
      </c>
      <c r="AL86" s="24">
        <f t="shared" si="21"/>
        <v>1.7210340054461419E-7</v>
      </c>
      <c r="AM86" s="161">
        <f t="shared" si="22"/>
        <v>1.3396448847769294E-14</v>
      </c>
      <c r="AN86" s="157">
        <f t="shared" si="23"/>
        <v>0</v>
      </c>
      <c r="AO86" s="162">
        <f t="shared" si="24"/>
        <v>1.7220347251693941E-7</v>
      </c>
    </row>
    <row r="87" spans="1:41" s="8" customFormat="1" ht="15" customHeight="1" x14ac:dyDescent="0.2">
      <c r="A87" s="68" t="s">
        <v>59</v>
      </c>
      <c r="B87" s="54" t="s">
        <v>87</v>
      </c>
      <c r="C87" s="51">
        <v>0</v>
      </c>
      <c r="D87" s="51">
        <v>0</v>
      </c>
      <c r="E87" s="62" t="s">
        <v>1370</v>
      </c>
      <c r="F87" s="62">
        <v>0</v>
      </c>
      <c r="G87" s="51" t="s">
        <v>3</v>
      </c>
      <c r="H87" s="51" t="s">
        <v>6</v>
      </c>
      <c r="I87" s="69">
        <v>1.0000000000000001E-7</v>
      </c>
      <c r="J87" s="51" t="s">
        <v>2</v>
      </c>
      <c r="K87" s="51">
        <v>0</v>
      </c>
      <c r="L87" s="62">
        <v>0</v>
      </c>
      <c r="M87" s="51" t="s">
        <v>3</v>
      </c>
      <c r="N87" s="51" t="s">
        <v>7</v>
      </c>
      <c r="O87" s="69">
        <v>1.0000000000000002E-6</v>
      </c>
      <c r="P87" s="51" t="s">
        <v>2</v>
      </c>
      <c r="Q87" s="51" t="s">
        <v>1371</v>
      </c>
      <c r="R87" s="51">
        <v>0</v>
      </c>
      <c r="S87" s="62">
        <v>0</v>
      </c>
      <c r="T87" s="54" t="s">
        <v>28</v>
      </c>
      <c r="U87" s="127">
        <v>2.5208446330720887E-5</v>
      </c>
      <c r="V87" s="115">
        <v>2.6504960021309262E-7</v>
      </c>
      <c r="W87" s="115">
        <v>1.4222228897488039E-7</v>
      </c>
      <c r="X87" s="115">
        <v>3.170874313501273E-7</v>
      </c>
      <c r="Y87" s="115">
        <v>17.989178582912412</v>
      </c>
      <c r="Z87" s="115">
        <v>290.05086067463066</v>
      </c>
      <c r="AA87" s="132" t="s">
        <v>537</v>
      </c>
      <c r="AB87" s="27">
        <f t="shared" si="35"/>
        <v>1.5300000000000001E-10</v>
      </c>
      <c r="AC87" s="29">
        <f t="shared" si="36"/>
        <v>1.5300000000000003E-9</v>
      </c>
      <c r="AD87" s="135">
        <f t="shared" si="13"/>
        <v>4.0744923907318634E-15</v>
      </c>
      <c r="AE87" s="135">
        <f t="shared" si="14"/>
        <v>5.2569635879829802E-16</v>
      </c>
      <c r="AF87" s="24">
        <f t="shared" si="15"/>
        <v>4.4653016115537058E-7</v>
      </c>
      <c r="AG87" s="24">
        <f t="shared" si="16"/>
        <v>3.8568922886002963E-15</v>
      </c>
      <c r="AH87" s="24">
        <f t="shared" si="17"/>
        <v>4.0552588832603175E-17</v>
      </c>
      <c r="AI87" s="24">
        <f t="shared" si="18"/>
        <v>2.7523443231855993E-9</v>
      </c>
      <c r="AJ87" s="24">
        <f t="shared" si="19"/>
        <v>2.1760010213156706E-16</v>
      </c>
      <c r="AK87" s="24">
        <f t="shared" si="20"/>
        <v>4.8514376996569485E-16</v>
      </c>
      <c r="AL87" s="24">
        <f t="shared" si="21"/>
        <v>4.4377781683218498E-7</v>
      </c>
      <c r="AM87" s="161">
        <f t="shared" si="22"/>
        <v>4.0744923907318634E-15</v>
      </c>
      <c r="AN87" s="157">
        <f t="shared" si="23"/>
        <v>5.2569635879829802E-16</v>
      </c>
      <c r="AO87" s="162">
        <f t="shared" si="24"/>
        <v>4.4653016115537058E-7</v>
      </c>
    </row>
    <row r="88" spans="1:41" s="8" customFormat="1" ht="15" customHeight="1" x14ac:dyDescent="0.2">
      <c r="A88" s="68" t="s">
        <v>1049</v>
      </c>
      <c r="B88" s="54" t="s">
        <v>527</v>
      </c>
      <c r="C88" s="51">
        <v>0.6</v>
      </c>
      <c r="D88" s="51" t="s">
        <v>2</v>
      </c>
      <c r="E88" s="62" t="s">
        <v>294</v>
      </c>
      <c r="F88" s="62">
        <v>0</v>
      </c>
      <c r="G88" s="54" t="s">
        <v>12</v>
      </c>
      <c r="H88" s="51">
        <v>0</v>
      </c>
      <c r="I88" s="51">
        <v>0</v>
      </c>
      <c r="J88" s="51">
        <v>0</v>
      </c>
      <c r="K88" s="51">
        <v>0</v>
      </c>
      <c r="L88" s="62">
        <v>0</v>
      </c>
      <c r="M88" s="51" t="s">
        <v>68</v>
      </c>
      <c r="N88" s="51" t="s">
        <v>7</v>
      </c>
      <c r="O88" s="69">
        <v>0.06</v>
      </c>
      <c r="P88" s="51" t="s">
        <v>2</v>
      </c>
      <c r="Q88" s="51">
        <v>0</v>
      </c>
      <c r="R88" s="51">
        <v>0</v>
      </c>
      <c r="S88" s="62">
        <v>0</v>
      </c>
      <c r="T88" s="54" t="s">
        <v>526</v>
      </c>
      <c r="U88" s="127">
        <v>0</v>
      </c>
      <c r="V88" s="115">
        <v>1.6437731647150863E-6</v>
      </c>
      <c r="W88" s="115">
        <v>0</v>
      </c>
      <c r="X88" s="115">
        <v>9.8891167609639291E-6</v>
      </c>
      <c r="Y88" s="115">
        <v>25539.178143122717</v>
      </c>
      <c r="Z88" s="115">
        <v>766743.80504211958</v>
      </c>
      <c r="AA88" s="132" t="s">
        <v>538</v>
      </c>
      <c r="AB88" s="27">
        <f>$C$33*I88</f>
        <v>0</v>
      </c>
      <c r="AC88" s="29">
        <f>$C$33*O88</f>
        <v>4.5900000000000004E-5</v>
      </c>
      <c r="AD88" s="135">
        <f t="shared" si="13"/>
        <v>0</v>
      </c>
      <c r="AE88" s="135">
        <f t="shared" si="14"/>
        <v>4.5391045932824437E-10</v>
      </c>
      <c r="AF88" s="24">
        <f t="shared" si="15"/>
        <v>35.193540651433295</v>
      </c>
      <c r="AG88" s="24">
        <f t="shared" si="16"/>
        <v>0</v>
      </c>
      <c r="AH88" s="24">
        <f t="shared" si="17"/>
        <v>0</v>
      </c>
      <c r="AI88" s="24">
        <f t="shared" si="18"/>
        <v>0</v>
      </c>
      <c r="AJ88" s="24">
        <f t="shared" si="19"/>
        <v>0</v>
      </c>
      <c r="AK88" s="24">
        <f t="shared" si="20"/>
        <v>4.5391045932824437E-10</v>
      </c>
      <c r="AL88" s="24">
        <f t="shared" si="21"/>
        <v>35.193540651433295</v>
      </c>
      <c r="AM88" s="161">
        <f t="shared" si="22"/>
        <v>0</v>
      </c>
      <c r="AN88" s="157">
        <f t="shared" si="23"/>
        <v>4.5391045932824437E-10</v>
      </c>
      <c r="AO88" s="162">
        <f t="shared" si="24"/>
        <v>35.193540651433295</v>
      </c>
    </row>
    <row r="89" spans="1:41" s="8" customFormat="1" ht="15" customHeight="1" x14ac:dyDescent="0.2">
      <c r="A89" s="68" t="s">
        <v>1049</v>
      </c>
      <c r="B89" s="54" t="s">
        <v>84</v>
      </c>
      <c r="C89" s="51">
        <v>0.2</v>
      </c>
      <c r="D89" s="51" t="s">
        <v>2</v>
      </c>
      <c r="E89" s="62" t="s">
        <v>294</v>
      </c>
      <c r="F89" s="62">
        <v>0</v>
      </c>
      <c r="G89" s="51" t="s">
        <v>84</v>
      </c>
      <c r="H89" s="51" t="s">
        <v>6</v>
      </c>
      <c r="I89" s="69">
        <v>2.0000000000000001E-4</v>
      </c>
      <c r="J89" s="51" t="s">
        <v>2</v>
      </c>
      <c r="K89" s="51">
        <v>0</v>
      </c>
      <c r="L89" s="62">
        <v>0</v>
      </c>
      <c r="M89" s="51" t="s">
        <v>73</v>
      </c>
      <c r="N89" s="51" t="s">
        <v>7</v>
      </c>
      <c r="O89" s="69">
        <v>2.0000000000000004E-2</v>
      </c>
      <c r="P89" s="51" t="s">
        <v>2</v>
      </c>
      <c r="Q89" s="51">
        <v>0</v>
      </c>
      <c r="R89" s="51">
        <v>0</v>
      </c>
      <c r="S89" s="62">
        <v>0</v>
      </c>
      <c r="T89" s="54" t="s">
        <v>62</v>
      </c>
      <c r="U89" s="127">
        <v>3.1027213023718394E-8</v>
      </c>
      <c r="V89" s="115">
        <v>0</v>
      </c>
      <c r="W89" s="115">
        <v>1.7206281348183625E-8</v>
      </c>
      <c r="X89" s="116">
        <v>0</v>
      </c>
      <c r="Y89" s="115">
        <v>2.6323079574736696</v>
      </c>
      <c r="Z89" s="115">
        <v>191.63613931032927</v>
      </c>
      <c r="AA89" s="132" t="s">
        <v>537</v>
      </c>
      <c r="AB89" s="27">
        <f t="shared" ref="AB89:AB91" si="37">$C$33*I89</f>
        <v>1.5300000000000001E-7</v>
      </c>
      <c r="AC89" s="29">
        <f t="shared" ref="AC89:AC91" si="38">$C$33*O89</f>
        <v>1.5300000000000003E-5</v>
      </c>
      <c r="AD89" s="135">
        <f t="shared" si="13"/>
        <v>2.6800326821983846E-13</v>
      </c>
      <c r="AE89" s="135">
        <f t="shared" si="14"/>
        <v>0</v>
      </c>
      <c r="AF89" s="24">
        <f t="shared" si="15"/>
        <v>2.9324356745655316E-3</v>
      </c>
      <c r="AG89" s="24">
        <f t="shared" si="16"/>
        <v>4.7471635926289142E-15</v>
      </c>
      <c r="AH89" s="24">
        <f t="shared" si="17"/>
        <v>0</v>
      </c>
      <c r="AI89" s="24">
        <f t="shared" si="18"/>
        <v>4.0274311749347149E-7</v>
      </c>
      <c r="AJ89" s="24">
        <f t="shared" si="19"/>
        <v>2.6325610462720952E-13</v>
      </c>
      <c r="AK89" s="24">
        <f t="shared" si="20"/>
        <v>0</v>
      </c>
      <c r="AL89" s="24">
        <f t="shared" si="21"/>
        <v>2.9320329314480383E-3</v>
      </c>
      <c r="AM89" s="161">
        <f t="shared" si="22"/>
        <v>2.6800326821983846E-13</v>
      </c>
      <c r="AN89" s="157">
        <f t="shared" si="23"/>
        <v>0</v>
      </c>
      <c r="AO89" s="162">
        <f t="shared" si="24"/>
        <v>2.9324356745655316E-3</v>
      </c>
    </row>
    <row r="90" spans="1:41" s="8" customFormat="1" ht="15" customHeight="1" x14ac:dyDescent="0.2">
      <c r="A90" s="68" t="s">
        <v>1049</v>
      </c>
      <c r="B90" s="54" t="s">
        <v>85</v>
      </c>
      <c r="C90" s="51">
        <v>0.1</v>
      </c>
      <c r="D90" s="51" t="s">
        <v>2</v>
      </c>
      <c r="E90" s="62" t="s">
        <v>294</v>
      </c>
      <c r="F90" s="62">
        <v>0</v>
      </c>
      <c r="G90" s="51" t="s">
        <v>43</v>
      </c>
      <c r="H90" s="51" t="s">
        <v>6</v>
      </c>
      <c r="I90" s="69">
        <v>1E-4</v>
      </c>
      <c r="J90" s="51" t="s">
        <v>2</v>
      </c>
      <c r="K90" s="51">
        <v>0</v>
      </c>
      <c r="L90" s="62">
        <v>0</v>
      </c>
      <c r="M90" s="51" t="s">
        <v>43</v>
      </c>
      <c r="N90" s="51" t="s">
        <v>7</v>
      </c>
      <c r="O90" s="69">
        <v>1.0000000000000002E-2</v>
      </c>
      <c r="P90" s="51" t="s">
        <v>2</v>
      </c>
      <c r="Q90" s="51">
        <v>0</v>
      </c>
      <c r="R90" s="51">
        <v>0</v>
      </c>
      <c r="S90" s="62">
        <v>0</v>
      </c>
      <c r="T90" s="54" t="s">
        <v>92</v>
      </c>
      <c r="U90" s="127">
        <v>0</v>
      </c>
      <c r="V90" s="115">
        <v>0</v>
      </c>
      <c r="W90" s="115">
        <v>0</v>
      </c>
      <c r="X90" s="115">
        <v>0</v>
      </c>
      <c r="Y90" s="129">
        <v>63</v>
      </c>
      <c r="Z90" s="129">
        <v>2910</v>
      </c>
      <c r="AA90" s="132" t="s">
        <v>539</v>
      </c>
      <c r="AB90" s="27">
        <f t="shared" si="37"/>
        <v>7.6500000000000003E-8</v>
      </c>
      <c r="AC90" s="29">
        <f t="shared" si="38"/>
        <v>7.6500000000000013E-6</v>
      </c>
      <c r="AD90" s="135">
        <f t="shared" si="13"/>
        <v>0</v>
      </c>
      <c r="AE90" s="135">
        <f t="shared" si="14"/>
        <v>0</v>
      </c>
      <c r="AF90" s="24">
        <f t="shared" si="15"/>
        <v>2.2266319500000003E-2</v>
      </c>
      <c r="AG90" s="24">
        <f t="shared" si="16"/>
        <v>0</v>
      </c>
      <c r="AH90" s="24">
        <f t="shared" si="17"/>
        <v>0</v>
      </c>
      <c r="AI90" s="24">
        <f t="shared" si="18"/>
        <v>4.8195000000000002E-6</v>
      </c>
      <c r="AJ90" s="24">
        <f t="shared" si="19"/>
        <v>0</v>
      </c>
      <c r="AK90" s="24">
        <f t="shared" si="20"/>
        <v>0</v>
      </c>
      <c r="AL90" s="24">
        <f t="shared" si="21"/>
        <v>2.2261500000000004E-2</v>
      </c>
      <c r="AM90" s="161">
        <f t="shared" si="22"/>
        <v>0</v>
      </c>
      <c r="AN90" s="157">
        <f t="shared" si="23"/>
        <v>0</v>
      </c>
      <c r="AO90" s="162">
        <f t="shared" si="24"/>
        <v>2.2266319500000003E-2</v>
      </c>
    </row>
    <row r="91" spans="1:41" s="8" customFormat="1" ht="15" customHeight="1" x14ac:dyDescent="0.2">
      <c r="A91" s="68" t="s">
        <v>1049</v>
      </c>
      <c r="B91" s="50" t="s">
        <v>67</v>
      </c>
      <c r="C91" s="51">
        <v>0</v>
      </c>
      <c r="D91" s="51">
        <v>0</v>
      </c>
      <c r="E91" s="62" t="s">
        <v>301</v>
      </c>
      <c r="F91" s="62">
        <v>0</v>
      </c>
      <c r="G91" s="8" t="s">
        <v>12</v>
      </c>
      <c r="H91" s="51">
        <v>0</v>
      </c>
      <c r="I91" s="69">
        <v>0</v>
      </c>
      <c r="J91" s="51">
        <v>0</v>
      </c>
      <c r="K91" s="51">
        <v>0</v>
      </c>
      <c r="L91" s="62">
        <v>0</v>
      </c>
      <c r="M91" s="51" t="s">
        <v>67</v>
      </c>
      <c r="N91" s="51" t="s">
        <v>7</v>
      </c>
      <c r="O91" s="69">
        <v>1.0000000000000001E-5</v>
      </c>
      <c r="P91" s="51" t="s">
        <v>2</v>
      </c>
      <c r="Q91" s="51" t="s">
        <v>1366</v>
      </c>
      <c r="R91" s="51">
        <v>0</v>
      </c>
      <c r="S91" s="62">
        <v>0</v>
      </c>
      <c r="T91" s="54" t="s">
        <v>94</v>
      </c>
      <c r="U91" s="127">
        <v>0</v>
      </c>
      <c r="V91" s="115">
        <v>0</v>
      </c>
      <c r="W91" s="115">
        <v>0</v>
      </c>
      <c r="X91" s="115">
        <v>0</v>
      </c>
      <c r="Y91" s="115">
        <v>63.500038841149426</v>
      </c>
      <c r="Z91" s="115">
        <v>10848.472578502809</v>
      </c>
      <c r="AA91" s="132" t="s">
        <v>537</v>
      </c>
      <c r="AB91" s="27">
        <f t="shared" si="37"/>
        <v>0</v>
      </c>
      <c r="AC91" s="29">
        <f t="shared" si="38"/>
        <v>7.6500000000000007E-9</v>
      </c>
      <c r="AD91" s="135">
        <f t="shared" si="13"/>
        <v>0</v>
      </c>
      <c r="AE91" s="135">
        <f t="shared" si="14"/>
        <v>0</v>
      </c>
      <c r="AF91" s="24">
        <f t="shared" si="15"/>
        <v>8.2990815225546496E-5</v>
      </c>
      <c r="AG91" s="24">
        <f t="shared" si="16"/>
        <v>0</v>
      </c>
      <c r="AH91" s="24">
        <f t="shared" si="17"/>
        <v>0</v>
      </c>
      <c r="AI91" s="24">
        <f t="shared" si="18"/>
        <v>0</v>
      </c>
      <c r="AJ91" s="24">
        <f t="shared" si="19"/>
        <v>0</v>
      </c>
      <c r="AK91" s="24">
        <f t="shared" si="20"/>
        <v>0</v>
      </c>
      <c r="AL91" s="24">
        <f t="shared" si="21"/>
        <v>8.2990815225546496E-5</v>
      </c>
      <c r="AM91" s="161">
        <f t="shared" si="22"/>
        <v>0</v>
      </c>
      <c r="AN91" s="157">
        <f t="shared" si="23"/>
        <v>0</v>
      </c>
      <c r="AO91" s="162">
        <f t="shared" si="24"/>
        <v>8.2990815225546496E-5</v>
      </c>
    </row>
    <row r="92" spans="1:41" s="8" customFormat="1" ht="15" customHeight="1" x14ac:dyDescent="0.2">
      <c r="A92" s="70" t="s">
        <v>64</v>
      </c>
      <c r="B92" s="53" t="s">
        <v>30</v>
      </c>
      <c r="C92" s="71">
        <v>0.1</v>
      </c>
      <c r="D92" s="51" t="s">
        <v>2</v>
      </c>
      <c r="E92" s="62" t="s">
        <v>296</v>
      </c>
      <c r="F92" s="62">
        <v>0</v>
      </c>
      <c r="G92" s="8" t="s">
        <v>12</v>
      </c>
      <c r="H92" s="51">
        <v>0</v>
      </c>
      <c r="I92" s="69">
        <v>0</v>
      </c>
      <c r="J92" s="51">
        <v>0</v>
      </c>
      <c r="K92" s="51">
        <v>0</v>
      </c>
      <c r="L92" s="62">
        <v>0</v>
      </c>
      <c r="M92" s="51" t="s">
        <v>30</v>
      </c>
      <c r="N92" s="51" t="s">
        <v>7</v>
      </c>
      <c r="O92" s="69">
        <v>1.0000000000000002E-2</v>
      </c>
      <c r="P92" s="51" t="s">
        <v>2</v>
      </c>
      <c r="Q92" s="51">
        <v>0</v>
      </c>
      <c r="R92" s="51">
        <v>0</v>
      </c>
      <c r="S92" s="62">
        <v>0</v>
      </c>
      <c r="T92" s="80" t="s">
        <v>34</v>
      </c>
      <c r="U92" s="127">
        <v>0</v>
      </c>
      <c r="V92" s="115">
        <v>0</v>
      </c>
      <c r="W92" s="115">
        <v>0</v>
      </c>
      <c r="X92" s="115">
        <v>0</v>
      </c>
      <c r="Y92" s="129">
        <v>7.06</v>
      </c>
      <c r="Z92" s="129">
        <v>78.599999999999994</v>
      </c>
      <c r="AA92" s="132" t="s">
        <v>539</v>
      </c>
      <c r="AB92" s="27">
        <f>$C$34*I92</f>
        <v>0</v>
      </c>
      <c r="AC92" s="29">
        <f>$C$34*O92</f>
        <v>7.6500000000000013E-6</v>
      </c>
      <c r="AD92" s="135">
        <f t="shared" si="13"/>
        <v>0</v>
      </c>
      <c r="AE92" s="135">
        <f t="shared" si="14"/>
        <v>0</v>
      </c>
      <c r="AF92" s="24">
        <f t="shared" si="15"/>
        <v>6.0129000000000009E-4</v>
      </c>
      <c r="AG92" s="24">
        <f t="shared" si="16"/>
        <v>0</v>
      </c>
      <c r="AH92" s="24">
        <f t="shared" si="17"/>
        <v>0</v>
      </c>
      <c r="AI92" s="24">
        <f t="shared" si="18"/>
        <v>0</v>
      </c>
      <c r="AJ92" s="24">
        <f t="shared" si="19"/>
        <v>0</v>
      </c>
      <c r="AK92" s="24">
        <f t="shared" si="20"/>
        <v>0</v>
      </c>
      <c r="AL92" s="24">
        <f t="shared" si="21"/>
        <v>6.0129000000000009E-4</v>
      </c>
      <c r="AM92" s="161">
        <f t="shared" si="22"/>
        <v>0</v>
      </c>
      <c r="AN92" s="157">
        <f t="shared" si="23"/>
        <v>0</v>
      </c>
      <c r="AO92" s="162">
        <f t="shared" si="24"/>
        <v>6.0129000000000009E-4</v>
      </c>
    </row>
    <row r="93" spans="1:41" s="8" customFormat="1" ht="15" customHeight="1" x14ac:dyDescent="0.2">
      <c r="A93" s="70" t="s">
        <v>64</v>
      </c>
      <c r="B93" s="53" t="s">
        <v>19</v>
      </c>
      <c r="C93" s="71">
        <v>0.1</v>
      </c>
      <c r="D93" s="51" t="s">
        <v>2</v>
      </c>
      <c r="E93" s="62" t="s">
        <v>296</v>
      </c>
      <c r="F93" s="62">
        <v>0</v>
      </c>
      <c r="G93" s="8" t="s">
        <v>12</v>
      </c>
      <c r="H93" s="51">
        <v>0</v>
      </c>
      <c r="I93" s="69">
        <v>0</v>
      </c>
      <c r="J93" s="51">
        <v>0</v>
      </c>
      <c r="K93" s="51">
        <v>0</v>
      </c>
      <c r="L93" s="62">
        <v>0</v>
      </c>
      <c r="M93" s="51" t="s">
        <v>65</v>
      </c>
      <c r="N93" s="51" t="s">
        <v>7</v>
      </c>
      <c r="O93" s="69">
        <v>1.0000000000000002E-2</v>
      </c>
      <c r="P93" s="51" t="s">
        <v>2</v>
      </c>
      <c r="Q93" s="51">
        <v>0</v>
      </c>
      <c r="R93" s="51">
        <v>0</v>
      </c>
      <c r="S93" s="62">
        <v>0</v>
      </c>
      <c r="T93" s="54" t="s">
        <v>20</v>
      </c>
      <c r="U93" s="127">
        <v>0</v>
      </c>
      <c r="V93" s="115">
        <v>2.5624272316803493E-8</v>
      </c>
      <c r="W93" s="115">
        <v>0</v>
      </c>
      <c r="X93" s="115">
        <v>6.1179997974786175E-9</v>
      </c>
      <c r="Y93" s="115">
        <v>95.727827940780713</v>
      </c>
      <c r="Z93" s="115">
        <v>451.93033608164546</v>
      </c>
      <c r="AA93" s="132" t="s">
        <v>538</v>
      </c>
      <c r="AB93" s="27">
        <f t="shared" ref="AB93:AB95" si="39">$C$34*I93</f>
        <v>0</v>
      </c>
      <c r="AC93" s="29">
        <f t="shared" ref="AC93:AC95" si="40">$C$34*O93</f>
        <v>7.6500000000000013E-6</v>
      </c>
      <c r="AD93" s="135">
        <f t="shared" si="13"/>
        <v>0</v>
      </c>
      <c r="AE93" s="135">
        <f t="shared" si="14"/>
        <v>4.6802698450711431E-14</v>
      </c>
      <c r="AF93" s="24">
        <f t="shared" si="15"/>
        <v>3.4572670710245885E-3</v>
      </c>
      <c r="AG93" s="24">
        <f t="shared" si="16"/>
        <v>0</v>
      </c>
      <c r="AH93" s="24">
        <f t="shared" si="17"/>
        <v>0</v>
      </c>
      <c r="AI93" s="24">
        <f t="shared" si="18"/>
        <v>0</v>
      </c>
      <c r="AJ93" s="24">
        <f t="shared" si="19"/>
        <v>0</v>
      </c>
      <c r="AK93" s="24">
        <f t="shared" si="20"/>
        <v>4.6802698450711431E-14</v>
      </c>
      <c r="AL93" s="24">
        <f t="shared" si="21"/>
        <v>3.4572670710245885E-3</v>
      </c>
      <c r="AM93" s="161">
        <f t="shared" si="22"/>
        <v>0</v>
      </c>
      <c r="AN93" s="157">
        <f t="shared" si="23"/>
        <v>4.6802698450711431E-14</v>
      </c>
      <c r="AO93" s="162">
        <f t="shared" si="24"/>
        <v>3.4572670710245885E-3</v>
      </c>
    </row>
    <row r="94" spans="1:41" s="8" customFormat="1" ht="15" customHeight="1" x14ac:dyDescent="0.2">
      <c r="A94" s="70" t="s">
        <v>64</v>
      </c>
      <c r="B94" s="53" t="s">
        <v>40</v>
      </c>
      <c r="C94" s="72">
        <v>5.0000000000000001E-3</v>
      </c>
      <c r="D94" s="51" t="s">
        <v>2</v>
      </c>
      <c r="E94" s="62" t="s">
        <v>296</v>
      </c>
      <c r="F94" s="62">
        <v>0</v>
      </c>
      <c r="G94" s="8" t="s">
        <v>12</v>
      </c>
      <c r="H94" s="51">
        <v>0</v>
      </c>
      <c r="I94" s="69">
        <v>0</v>
      </c>
      <c r="J94" s="51">
        <v>0</v>
      </c>
      <c r="K94" s="51" t="s">
        <v>297</v>
      </c>
      <c r="L94" s="62">
        <v>0</v>
      </c>
      <c r="M94" s="51" t="s">
        <v>40</v>
      </c>
      <c r="N94" s="51" t="s">
        <v>7</v>
      </c>
      <c r="O94" s="69">
        <v>5.0000000000000001E-4</v>
      </c>
      <c r="P94" s="51" t="s">
        <v>2</v>
      </c>
      <c r="Q94" s="51">
        <v>0</v>
      </c>
      <c r="R94" s="51">
        <v>0</v>
      </c>
      <c r="S94" s="62">
        <v>0</v>
      </c>
      <c r="T94" s="54" t="s">
        <v>24</v>
      </c>
      <c r="U94" s="127">
        <v>0</v>
      </c>
      <c r="V94" s="115">
        <v>0</v>
      </c>
      <c r="W94" s="115">
        <v>0</v>
      </c>
      <c r="X94" s="115">
        <v>0</v>
      </c>
      <c r="Y94" s="129">
        <v>7.4</v>
      </c>
      <c r="Z94" s="129">
        <v>17.7</v>
      </c>
      <c r="AA94" s="132" t="s">
        <v>539</v>
      </c>
      <c r="AB94" s="27">
        <f t="shared" si="39"/>
        <v>0</v>
      </c>
      <c r="AC94" s="29">
        <f t="shared" si="40"/>
        <v>3.8250000000000004E-7</v>
      </c>
      <c r="AD94" s="135">
        <f t="shared" si="13"/>
        <v>0</v>
      </c>
      <c r="AE94" s="135">
        <f t="shared" si="14"/>
        <v>0</v>
      </c>
      <c r="AF94" s="24">
        <f t="shared" si="15"/>
        <v>6.7702500000000001E-6</v>
      </c>
      <c r="AG94" s="24">
        <f t="shared" si="16"/>
        <v>0</v>
      </c>
      <c r="AH94" s="24">
        <f t="shared" si="17"/>
        <v>0</v>
      </c>
      <c r="AI94" s="24">
        <f t="shared" si="18"/>
        <v>0</v>
      </c>
      <c r="AJ94" s="24">
        <f t="shared" si="19"/>
        <v>0</v>
      </c>
      <c r="AK94" s="24">
        <f t="shared" si="20"/>
        <v>0</v>
      </c>
      <c r="AL94" s="24">
        <f t="shared" si="21"/>
        <v>6.7702500000000001E-6</v>
      </c>
      <c r="AM94" s="161">
        <f t="shared" si="22"/>
        <v>0</v>
      </c>
      <c r="AN94" s="157">
        <f t="shared" si="23"/>
        <v>0</v>
      </c>
      <c r="AO94" s="162">
        <f t="shared" si="24"/>
        <v>6.7702500000000001E-6</v>
      </c>
    </row>
    <row r="95" spans="1:41" s="8" customFormat="1" ht="15" customHeight="1" x14ac:dyDescent="0.2">
      <c r="A95" s="70" t="s">
        <v>64</v>
      </c>
      <c r="B95" s="53" t="s">
        <v>87</v>
      </c>
      <c r="C95" s="72">
        <v>0</v>
      </c>
      <c r="D95" s="51">
        <v>0</v>
      </c>
      <c r="E95" s="62" t="s">
        <v>1370</v>
      </c>
      <c r="F95" s="62">
        <v>0</v>
      </c>
      <c r="G95" s="8" t="s">
        <v>3</v>
      </c>
      <c r="H95" s="51" t="s">
        <v>6</v>
      </c>
      <c r="I95" s="69">
        <v>1.0000000000000001E-7</v>
      </c>
      <c r="J95" s="51" t="s">
        <v>2</v>
      </c>
      <c r="K95" s="51">
        <v>0</v>
      </c>
      <c r="L95" s="62">
        <v>0</v>
      </c>
      <c r="M95" s="51" t="s">
        <v>3</v>
      </c>
      <c r="N95" s="51" t="s">
        <v>7</v>
      </c>
      <c r="O95" s="69">
        <v>1.0000000000000002E-6</v>
      </c>
      <c r="P95" s="51" t="s">
        <v>2</v>
      </c>
      <c r="Q95" s="51" t="s">
        <v>1371</v>
      </c>
      <c r="R95" s="51">
        <v>0</v>
      </c>
      <c r="S95" s="62">
        <v>0</v>
      </c>
      <c r="T95" s="54" t="s">
        <v>28</v>
      </c>
      <c r="U95" s="127">
        <v>2.5208446330720887E-5</v>
      </c>
      <c r="V95" s="115">
        <v>2.6504960021309262E-7</v>
      </c>
      <c r="W95" s="115">
        <v>1.4222228897488039E-7</v>
      </c>
      <c r="X95" s="115">
        <v>3.170874313501273E-7</v>
      </c>
      <c r="Y95" s="115">
        <v>17.989178582912412</v>
      </c>
      <c r="Z95" s="115">
        <v>290.05086067463066</v>
      </c>
      <c r="AA95" s="132" t="s">
        <v>537</v>
      </c>
      <c r="AB95" s="27">
        <f t="shared" si="39"/>
        <v>7.6500000000000007E-11</v>
      </c>
      <c r="AC95" s="29">
        <f t="shared" si="40"/>
        <v>7.6500000000000015E-10</v>
      </c>
      <c r="AD95" s="135">
        <f t="shared" si="13"/>
        <v>2.0372461953659317E-15</v>
      </c>
      <c r="AE95" s="135">
        <f t="shared" si="14"/>
        <v>2.6284817939914901E-16</v>
      </c>
      <c r="AF95" s="24">
        <f t="shared" si="15"/>
        <v>2.2326508057768529E-7</v>
      </c>
      <c r="AG95" s="24">
        <f t="shared" si="16"/>
        <v>1.9284461443001482E-15</v>
      </c>
      <c r="AH95" s="24">
        <f t="shared" si="17"/>
        <v>2.0276294416301588E-17</v>
      </c>
      <c r="AI95" s="24">
        <f t="shared" si="18"/>
        <v>1.3761721615927997E-9</v>
      </c>
      <c r="AJ95" s="24">
        <f t="shared" si="19"/>
        <v>1.0880005106578353E-16</v>
      </c>
      <c r="AK95" s="24">
        <f t="shared" si="20"/>
        <v>2.4257188498284742E-16</v>
      </c>
      <c r="AL95" s="24">
        <f t="shared" si="21"/>
        <v>2.2188890841609249E-7</v>
      </c>
      <c r="AM95" s="161">
        <f t="shared" si="22"/>
        <v>2.0372461953659317E-15</v>
      </c>
      <c r="AN95" s="157">
        <f t="shared" si="23"/>
        <v>2.6284817939914901E-16</v>
      </c>
      <c r="AO95" s="162">
        <f t="shared" si="24"/>
        <v>2.2326508057768529E-7</v>
      </c>
    </row>
    <row r="96" spans="1:41" s="8" customFormat="1" ht="15" customHeight="1" x14ac:dyDescent="0.2">
      <c r="A96" s="54" t="s">
        <v>47</v>
      </c>
      <c r="B96" s="54" t="s">
        <v>5</v>
      </c>
      <c r="C96" s="74">
        <v>1</v>
      </c>
      <c r="D96" s="51" t="s">
        <v>2</v>
      </c>
      <c r="E96" s="64">
        <v>1</v>
      </c>
      <c r="F96" s="64">
        <v>0</v>
      </c>
      <c r="G96" s="51" t="s">
        <v>12</v>
      </c>
      <c r="H96" s="51">
        <v>0</v>
      </c>
      <c r="I96" s="69">
        <v>0</v>
      </c>
      <c r="J96" s="51">
        <v>0</v>
      </c>
      <c r="K96" s="51" t="s">
        <v>297</v>
      </c>
      <c r="L96" s="64">
        <v>0</v>
      </c>
      <c r="M96" s="51" t="s">
        <v>5</v>
      </c>
      <c r="N96" s="51" t="s">
        <v>7</v>
      </c>
      <c r="O96" s="69">
        <v>0.1</v>
      </c>
      <c r="P96" s="51" t="s">
        <v>2</v>
      </c>
      <c r="Q96" s="51">
        <v>0</v>
      </c>
      <c r="R96" s="51">
        <v>0</v>
      </c>
      <c r="S96" s="64">
        <v>0</v>
      </c>
      <c r="T96" s="54" t="s">
        <v>25</v>
      </c>
      <c r="U96" s="127">
        <v>0</v>
      </c>
      <c r="V96" s="115">
        <v>0</v>
      </c>
      <c r="W96" s="115">
        <v>0</v>
      </c>
      <c r="X96" s="115">
        <v>0</v>
      </c>
      <c r="Y96" s="115">
        <v>164.24</v>
      </c>
      <c r="Z96" s="115">
        <v>400.09</v>
      </c>
      <c r="AA96" s="132" t="s">
        <v>539</v>
      </c>
      <c r="AB96" s="27">
        <f>$C$35*I96</f>
        <v>0</v>
      </c>
      <c r="AC96" s="29">
        <f>$C$35*O96</f>
        <v>1.9124999999999999E-4</v>
      </c>
      <c r="AD96" s="135">
        <f t="shared" si="13"/>
        <v>0</v>
      </c>
      <c r="AE96" s="135">
        <f t="shared" si="14"/>
        <v>0</v>
      </c>
      <c r="AF96" s="24">
        <f t="shared" si="15"/>
        <v>7.6517212499999987E-2</v>
      </c>
      <c r="AG96" s="24">
        <f t="shared" si="16"/>
        <v>0</v>
      </c>
      <c r="AH96" s="24">
        <f t="shared" si="17"/>
        <v>0</v>
      </c>
      <c r="AI96" s="24">
        <f t="shared" si="18"/>
        <v>0</v>
      </c>
      <c r="AJ96" s="24">
        <f t="shared" si="19"/>
        <v>0</v>
      </c>
      <c r="AK96" s="24">
        <f t="shared" si="20"/>
        <v>0</v>
      </c>
      <c r="AL96" s="24">
        <f t="shared" si="21"/>
        <v>7.6517212499999987E-2</v>
      </c>
      <c r="AM96" s="161">
        <f t="shared" si="22"/>
        <v>0</v>
      </c>
      <c r="AN96" s="157">
        <f t="shared" si="23"/>
        <v>0</v>
      </c>
      <c r="AO96" s="162">
        <f t="shared" si="24"/>
        <v>7.6517212499999987E-2</v>
      </c>
    </row>
    <row r="97" spans="1:41" s="8" customFormat="1" ht="15" customHeight="1" x14ac:dyDescent="0.2">
      <c r="A97" s="54" t="s">
        <v>1048</v>
      </c>
      <c r="B97" s="54" t="s">
        <v>1</v>
      </c>
      <c r="C97" s="74">
        <v>1</v>
      </c>
      <c r="D97" s="51" t="s">
        <v>2</v>
      </c>
      <c r="E97" s="64">
        <v>1</v>
      </c>
      <c r="F97" s="64">
        <v>0</v>
      </c>
      <c r="G97" s="51" t="s">
        <v>1</v>
      </c>
      <c r="H97" s="51" t="s">
        <v>6</v>
      </c>
      <c r="I97" s="69">
        <v>1E-3</v>
      </c>
      <c r="J97" s="51" t="s">
        <v>2</v>
      </c>
      <c r="K97" s="51">
        <v>0</v>
      </c>
      <c r="L97" s="64">
        <v>0</v>
      </c>
      <c r="M97" s="51" t="s">
        <v>1</v>
      </c>
      <c r="N97" s="51" t="s">
        <v>7</v>
      </c>
      <c r="O97" s="69">
        <v>1.0000000000000002E-2</v>
      </c>
      <c r="P97" s="8" t="s">
        <v>2</v>
      </c>
      <c r="Q97" s="8" t="s">
        <v>1368</v>
      </c>
      <c r="R97" s="8">
        <v>0</v>
      </c>
      <c r="S97" s="64">
        <v>0</v>
      </c>
      <c r="T97" s="54" t="s">
        <v>23</v>
      </c>
      <c r="U97" s="127">
        <v>0</v>
      </c>
      <c r="V97" s="115">
        <v>0</v>
      </c>
      <c r="W97" s="115">
        <v>0</v>
      </c>
      <c r="X97" s="115">
        <v>0</v>
      </c>
      <c r="Y97" s="117">
        <v>220</v>
      </c>
      <c r="Z97" s="117">
        <v>532</v>
      </c>
      <c r="AA97" s="132" t="s">
        <v>539</v>
      </c>
      <c r="AB97" s="27">
        <f>$C$36*I97</f>
        <v>5.8140000000000006E-6</v>
      </c>
      <c r="AC97" s="29">
        <f>$C$36*O97</f>
        <v>5.8140000000000016E-5</v>
      </c>
      <c r="AD97" s="135">
        <f t="shared" si="13"/>
        <v>0</v>
      </c>
      <c r="AE97" s="135">
        <f t="shared" si="14"/>
        <v>0</v>
      </c>
      <c r="AF97" s="24">
        <f t="shared" si="15"/>
        <v>3.2209560000000012E-2</v>
      </c>
      <c r="AG97" s="24">
        <f t="shared" si="16"/>
        <v>0</v>
      </c>
      <c r="AH97" s="24">
        <f t="shared" si="17"/>
        <v>0</v>
      </c>
      <c r="AI97" s="24">
        <f t="shared" si="18"/>
        <v>1.2790800000000001E-3</v>
      </c>
      <c r="AJ97" s="24">
        <f t="shared" si="19"/>
        <v>0</v>
      </c>
      <c r="AK97" s="24">
        <f t="shared" si="20"/>
        <v>0</v>
      </c>
      <c r="AL97" s="24">
        <f t="shared" si="21"/>
        <v>3.093048000000001E-2</v>
      </c>
      <c r="AM97" s="161">
        <f t="shared" si="22"/>
        <v>0</v>
      </c>
      <c r="AN97" s="157">
        <f t="shared" si="23"/>
        <v>0</v>
      </c>
      <c r="AO97" s="162">
        <f t="shared" si="24"/>
        <v>3.2209560000000012E-2</v>
      </c>
    </row>
    <row r="98" spans="1:41" s="49" customFormat="1" ht="15" customHeight="1" x14ac:dyDescent="0.2">
      <c r="A98" s="168" t="s">
        <v>430</v>
      </c>
      <c r="B98" s="141" t="s">
        <v>44</v>
      </c>
      <c r="C98" s="169">
        <v>1</v>
      </c>
      <c r="D98" s="139" t="s">
        <v>2</v>
      </c>
      <c r="E98" s="170">
        <v>1</v>
      </c>
      <c r="F98" s="170">
        <v>0</v>
      </c>
      <c r="G98" s="139" t="s">
        <v>44</v>
      </c>
      <c r="H98" s="139" t="s">
        <v>6</v>
      </c>
      <c r="I98" s="142">
        <v>1E-3</v>
      </c>
      <c r="J98" s="139" t="s">
        <v>2</v>
      </c>
      <c r="K98" s="139">
        <v>0</v>
      </c>
      <c r="L98" s="170">
        <v>0</v>
      </c>
      <c r="M98" s="139" t="s">
        <v>44</v>
      </c>
      <c r="N98" s="139" t="s">
        <v>7</v>
      </c>
      <c r="O98" s="142">
        <v>0.1</v>
      </c>
      <c r="P98" s="139" t="s">
        <v>2</v>
      </c>
      <c r="Q98" s="139">
        <v>0</v>
      </c>
      <c r="R98" s="139">
        <v>0</v>
      </c>
      <c r="S98" s="170">
        <v>0</v>
      </c>
      <c r="T98" s="141" t="s">
        <v>78</v>
      </c>
      <c r="U98" s="143">
        <v>0</v>
      </c>
      <c r="V98" s="144">
        <v>0</v>
      </c>
      <c r="W98" s="144">
        <v>0</v>
      </c>
      <c r="X98" s="144">
        <v>0</v>
      </c>
      <c r="Y98" s="144">
        <v>49.010721972656775</v>
      </c>
      <c r="Z98" s="144">
        <v>299.66222151864491</v>
      </c>
      <c r="AA98" s="145" t="s">
        <v>537</v>
      </c>
      <c r="AB98" s="28">
        <f>$C$37*I98</f>
        <v>1.5300000000000002E-6</v>
      </c>
      <c r="AC98" s="146">
        <f>$C$37*O98</f>
        <v>1.5300000000000003E-4</v>
      </c>
      <c r="AD98" s="147">
        <f t="shared" si="13"/>
        <v>0</v>
      </c>
      <c r="AE98" s="147">
        <f t="shared" si="14"/>
        <v>0</v>
      </c>
      <c r="AF98" s="25">
        <f t="shared" si="15"/>
        <v>4.5923306296970848E-2</v>
      </c>
      <c r="AG98" s="25">
        <f t="shared" si="16"/>
        <v>0</v>
      </c>
      <c r="AH98" s="25">
        <f t="shared" si="17"/>
        <v>0</v>
      </c>
      <c r="AI98" s="25">
        <f t="shared" si="18"/>
        <v>7.4986404618164877E-5</v>
      </c>
      <c r="AJ98" s="25">
        <f t="shared" si="19"/>
        <v>0</v>
      </c>
      <c r="AK98" s="25">
        <f t="shared" si="20"/>
        <v>0</v>
      </c>
      <c r="AL98" s="25">
        <f t="shared" si="21"/>
        <v>4.5848319892352683E-2</v>
      </c>
      <c r="AM98" s="163">
        <f t="shared" si="22"/>
        <v>0</v>
      </c>
      <c r="AN98" s="164">
        <f t="shared" si="23"/>
        <v>0</v>
      </c>
      <c r="AO98" s="165">
        <f t="shared" si="24"/>
        <v>4.5923306296970848E-2</v>
      </c>
    </row>
    <row r="99" spans="1:41" x14ac:dyDescent="0.2">
      <c r="AD99" s="167">
        <f>SUM(AD44:AD98)</f>
        <v>1.4676125503063586E-12</v>
      </c>
      <c r="AE99" s="167">
        <f t="shared" ref="AE99:AF99" si="41">SUM(AE44:AE98)</f>
        <v>2.338994682114517E-9</v>
      </c>
      <c r="AF99" s="167">
        <f t="shared" si="41"/>
        <v>177.48648095328832</v>
      </c>
    </row>
    <row r="103" spans="1:41" x14ac:dyDescent="0.2">
      <c r="C103" t="s">
        <v>103</v>
      </c>
      <c r="D103" t="s">
        <v>669</v>
      </c>
      <c r="E103" t="s">
        <v>108</v>
      </c>
      <c r="G103" t="s">
        <v>109</v>
      </c>
      <c r="H103" s="3" t="s">
        <v>110</v>
      </c>
      <c r="I103" s="3" t="s">
        <v>111</v>
      </c>
      <c r="J103" t="s">
        <v>112</v>
      </c>
      <c r="K103" t="s">
        <v>113</v>
      </c>
      <c r="M103" t="s">
        <v>114</v>
      </c>
      <c r="N103" t="s">
        <v>115</v>
      </c>
      <c r="O103" t="s">
        <v>116</v>
      </c>
      <c r="P103" t="s">
        <v>117</v>
      </c>
      <c r="Q103" t="s">
        <v>118</v>
      </c>
      <c r="T103" t="s">
        <v>119</v>
      </c>
      <c r="U103" t="s">
        <v>120</v>
      </c>
      <c r="V103" t="s">
        <v>121</v>
      </c>
      <c r="W103" t="s">
        <v>122</v>
      </c>
      <c r="X103" t="s">
        <v>123</v>
      </c>
      <c r="Y103" t="s">
        <v>124</v>
      </c>
      <c r="Z103" t="s">
        <v>125</v>
      </c>
      <c r="AA103" t="s">
        <v>126</v>
      </c>
      <c r="AB103" t="s">
        <v>127</v>
      </c>
      <c r="AC103" t="s">
        <v>128</v>
      </c>
      <c r="AD103" t="s">
        <v>129</v>
      </c>
      <c r="AE103" t="s">
        <v>130</v>
      </c>
      <c r="AF103" t="s">
        <v>131</v>
      </c>
      <c r="AG103" t="s">
        <v>132</v>
      </c>
    </row>
    <row r="104" spans="1:41" x14ac:dyDescent="0.2">
      <c r="A104" t="s">
        <v>260</v>
      </c>
      <c r="C104">
        <f>SUM(E104:AG104)</f>
        <v>10.667668798938212</v>
      </c>
      <c r="D104">
        <f>SUM(M104:AB104)</f>
        <v>8.7070505939699174</v>
      </c>
      <c r="E104">
        <v>0</v>
      </c>
      <c r="G104">
        <v>0.41970722313255698</v>
      </c>
      <c r="H104" s="3">
        <v>2.1397382965595398E-2</v>
      </c>
      <c r="I104" s="3">
        <v>4.9579912360657203E-4</v>
      </c>
      <c r="J104">
        <v>8.54402825301145E-2</v>
      </c>
      <c r="K104">
        <v>-0.260237958481706</v>
      </c>
      <c r="M104">
        <v>6.823427539966484E-2</v>
      </c>
      <c r="N104">
        <v>0.88096691401918703</v>
      </c>
      <c r="O104">
        <v>0.89859747385483002</v>
      </c>
      <c r="P104">
        <v>1.5216469902393901</v>
      </c>
      <c r="Q104">
        <v>1.92326907740814</v>
      </c>
      <c r="T104">
        <v>1.39671035911318</v>
      </c>
      <c r="U104">
        <v>4.2510011756927403E-2</v>
      </c>
      <c r="V104">
        <v>0</v>
      </c>
      <c r="W104">
        <v>1.48037341658116</v>
      </c>
      <c r="X104">
        <v>0.25825747409694799</v>
      </c>
      <c r="Y104">
        <v>8.9338128287749896E-2</v>
      </c>
      <c r="Z104">
        <v>4.2988001934874098E-4</v>
      </c>
      <c r="AA104">
        <v>0</v>
      </c>
      <c r="AB104">
        <v>0.146716593193393</v>
      </c>
      <c r="AC104">
        <v>0</v>
      </c>
      <c r="AD104">
        <v>9.4652166386450895E-2</v>
      </c>
      <c r="AE104">
        <v>2.4784679203418401E-2</v>
      </c>
      <c r="AF104">
        <v>1.15374078964233</v>
      </c>
      <c r="AG104">
        <v>0.420637840465928</v>
      </c>
    </row>
    <row r="105" spans="1:41" x14ac:dyDescent="0.2">
      <c r="A105" t="s">
        <v>261</v>
      </c>
      <c r="C105">
        <f t="shared" ref="C105:C113" si="42">SUM(E105:AG105)</f>
        <v>2.3337177119974991E-3</v>
      </c>
      <c r="D105">
        <f t="shared" ref="D105:D113" si="43">SUM(M105:AB105)</f>
        <v>1.7512769370650327E-3</v>
      </c>
      <c r="E105">
        <v>0</v>
      </c>
      <c r="G105">
        <v>4.5697198681840097E-5</v>
      </c>
      <c r="H105" s="3">
        <v>2.5714390533796501E-6</v>
      </c>
      <c r="I105" s="3">
        <v>4.2000937966857098E-7</v>
      </c>
      <c r="J105">
        <v>6.72689377296986E-5</v>
      </c>
      <c r="K105">
        <v>-5.90728018792674E-5</v>
      </c>
      <c r="M105">
        <v>3.4992973172243779E-5</v>
      </c>
      <c r="N105">
        <v>1.02359468937671E-4</v>
      </c>
      <c r="O105">
        <v>2.0715818275919299E-4</v>
      </c>
      <c r="P105">
        <v>1.8326074080309999E-4</v>
      </c>
      <c r="Q105">
        <v>2.32251380137725E-4</v>
      </c>
      <c r="T105">
        <v>3.3601103892903002E-4</v>
      </c>
      <c r="U105">
        <v>7.5147207579981801E-6</v>
      </c>
      <c r="V105">
        <v>0</v>
      </c>
      <c r="W105">
        <v>1.61043432843374E-4</v>
      </c>
      <c r="X105">
        <v>4.4068682445268199E-4</v>
      </c>
      <c r="Y105">
        <v>3.38205921436849E-5</v>
      </c>
      <c r="Z105">
        <v>1.09224184085661E-8</v>
      </c>
      <c r="AA105">
        <v>0</v>
      </c>
      <c r="AB105">
        <v>1.21666597099224E-5</v>
      </c>
      <c r="AC105">
        <v>0</v>
      </c>
      <c r="AD105">
        <v>8.0027582498934204E-5</v>
      </c>
      <c r="AE105">
        <v>2.0955230454663001E-5</v>
      </c>
      <c r="AF105">
        <v>1.2652534133545499E-4</v>
      </c>
      <c r="AG105">
        <v>2.9804783767809498E-4</v>
      </c>
    </row>
    <row r="106" spans="1:41" x14ac:dyDescent="0.2">
      <c r="A106" t="s">
        <v>262</v>
      </c>
      <c r="C106">
        <f t="shared" si="42"/>
        <v>0.10342961138433257</v>
      </c>
      <c r="D106">
        <f t="shared" si="43"/>
        <v>8.8604608585809028E-2</v>
      </c>
      <c r="E106">
        <v>0</v>
      </c>
      <c r="G106">
        <v>4.5267534900347598E-3</v>
      </c>
      <c r="H106" s="3">
        <v>1.12828349121441E-4</v>
      </c>
      <c r="I106" s="3">
        <v>2.95062103942691E-5</v>
      </c>
      <c r="J106">
        <v>4.9173995252319502E-4</v>
      </c>
      <c r="K106">
        <v>-3.65674951649048E-4</v>
      </c>
      <c r="M106">
        <v>2.4074011482065011E-4</v>
      </c>
      <c r="N106">
        <v>8.1350140588288909E-3</v>
      </c>
      <c r="O106">
        <v>5.920164685399072E-3</v>
      </c>
      <c r="P106">
        <v>1.41879612290073E-2</v>
      </c>
      <c r="Q106">
        <v>1.7606859598315198E-2</v>
      </c>
      <c r="T106">
        <v>2.4612518898326802E-2</v>
      </c>
      <c r="U106">
        <v>2.1231970224296401E-4</v>
      </c>
      <c r="V106">
        <v>0</v>
      </c>
      <c r="W106">
        <v>1.25894542925927E-2</v>
      </c>
      <c r="X106">
        <v>3.4465648023574002E-3</v>
      </c>
      <c r="Y106">
        <v>5.1743607124876201E-4</v>
      </c>
      <c r="Z106">
        <v>1.56445277139095E-4</v>
      </c>
      <c r="AA106">
        <v>0</v>
      </c>
      <c r="AB106">
        <v>9.7912985553018795E-4</v>
      </c>
      <c r="AC106">
        <v>0</v>
      </c>
      <c r="AD106">
        <v>6.7649830831547004E-4</v>
      </c>
      <c r="AE106">
        <v>1.7714114946717401E-4</v>
      </c>
      <c r="AF106">
        <v>6.7243808903795204E-3</v>
      </c>
      <c r="AG106">
        <v>2.4518293999367599E-3</v>
      </c>
    </row>
    <row r="107" spans="1:41" x14ac:dyDescent="0.2">
      <c r="A107" t="s">
        <v>263</v>
      </c>
      <c r="C107">
        <f t="shared" si="42"/>
        <v>4.7552653200905431E-2</v>
      </c>
      <c r="D107">
        <f t="shared" si="43"/>
        <v>3.2925680041618277E-2</v>
      </c>
      <c r="E107">
        <v>0</v>
      </c>
      <c r="G107">
        <v>3.9033678677056799E-3</v>
      </c>
      <c r="H107" s="3">
        <v>1.33713885791676E-4</v>
      </c>
      <c r="I107" s="3">
        <v>3.9792268527784997E-5</v>
      </c>
      <c r="J107">
        <v>2.7172309080184301E-4</v>
      </c>
      <c r="K107">
        <v>-8.2096028178473506E-5</v>
      </c>
      <c r="M107">
        <v>1.2990005443190881E-4</v>
      </c>
      <c r="N107">
        <v>3.0973329992637498E-3</v>
      </c>
      <c r="O107">
        <v>2.6273937465476926E-3</v>
      </c>
      <c r="P107">
        <v>5.7657524807835396E-3</v>
      </c>
      <c r="Q107">
        <v>6.7568818523496797E-3</v>
      </c>
      <c r="T107">
        <v>6.39390813152429E-3</v>
      </c>
      <c r="U107">
        <v>1.33038992253924E-4</v>
      </c>
      <c r="V107">
        <v>0</v>
      </c>
      <c r="W107">
        <v>4.87839325094878E-3</v>
      </c>
      <c r="X107">
        <v>1.3817694853093701E-3</v>
      </c>
      <c r="Y107">
        <v>3.51812867518116E-4</v>
      </c>
      <c r="Z107">
        <v>1.77428145085212E-4</v>
      </c>
      <c r="AA107">
        <v>0</v>
      </c>
      <c r="AB107">
        <v>1.2320680356020101E-3</v>
      </c>
      <c r="AC107">
        <v>0</v>
      </c>
      <c r="AD107">
        <v>4.5005631671282898E-4</v>
      </c>
      <c r="AE107">
        <v>1.17847291393811E-4</v>
      </c>
      <c r="AF107">
        <v>8.23138802476381E-3</v>
      </c>
      <c r="AG107">
        <v>1.56118044176821E-3</v>
      </c>
    </row>
    <row r="108" spans="1:41" x14ac:dyDescent="0.2">
      <c r="A108" t="s">
        <v>264</v>
      </c>
      <c r="C108">
        <f t="shared" si="42"/>
        <v>13849.503057601984</v>
      </c>
      <c r="D108">
        <f t="shared" si="43"/>
        <v>13753.682576090139</v>
      </c>
      <c r="E108">
        <v>0</v>
      </c>
      <c r="G108">
        <v>0.564888074301792</v>
      </c>
      <c r="H108" s="3">
        <v>3.8853896173920002E-2</v>
      </c>
      <c r="I108" s="3">
        <v>6.8708418640223604E-2</v>
      </c>
      <c r="J108">
        <v>3.8228710676179598</v>
      </c>
      <c r="K108">
        <v>-1.01747072351867</v>
      </c>
      <c r="M108">
        <v>1.27129980195778E-3</v>
      </c>
      <c r="N108">
        <v>1.63317552740355</v>
      </c>
      <c r="O108">
        <v>4.5407922050323324E-3</v>
      </c>
      <c r="P108">
        <v>3.0838800499083798</v>
      </c>
      <c r="Q108">
        <v>3.5926202274873398</v>
      </c>
      <c r="T108">
        <v>13711.920907368607</v>
      </c>
      <c r="U108">
        <v>0.28602246257763803</v>
      </c>
      <c r="V108">
        <v>0</v>
      </c>
      <c r="W108">
        <v>2.5304663711376301</v>
      </c>
      <c r="X108">
        <v>29.3774785043436</v>
      </c>
      <c r="Y108">
        <v>0.77767470277906503</v>
      </c>
      <c r="Z108">
        <v>0.30689273876686601</v>
      </c>
      <c r="AA108">
        <v>0</v>
      </c>
      <c r="AB108">
        <v>0.16764604512</v>
      </c>
      <c r="AC108">
        <v>0</v>
      </c>
      <c r="AD108">
        <v>8.1085626406541795</v>
      </c>
      <c r="AE108">
        <v>2.12322793573381</v>
      </c>
      <c r="AF108">
        <v>2.0155262399999998</v>
      </c>
      <c r="AG108">
        <v>80.095313962242201</v>
      </c>
    </row>
    <row r="109" spans="1:41" x14ac:dyDescent="0.2">
      <c r="A109" t="s">
        <v>680</v>
      </c>
      <c r="C109">
        <f t="shared" si="42"/>
        <v>8.4639207231446818</v>
      </c>
      <c r="D109">
        <f t="shared" si="43"/>
        <v>8.3877114558253929</v>
      </c>
      <c r="E109">
        <v>0</v>
      </c>
      <c r="G109">
        <v>1.51520465768245E-3</v>
      </c>
      <c r="H109" s="3">
        <v>8.0445834586799999E-5</v>
      </c>
      <c r="I109" s="3">
        <v>-6.5458365732620695E-4</v>
      </c>
      <c r="J109">
        <v>1.20209517372027E-2</v>
      </c>
      <c r="K109">
        <v>-0.15851428936518799</v>
      </c>
      <c r="M109">
        <v>1.8446244210455545E-3</v>
      </c>
      <c r="N109">
        <v>2.0094350148671301E-2</v>
      </c>
      <c r="O109">
        <v>9.3143096316098822E-3</v>
      </c>
      <c r="P109">
        <v>3.4522075831865E-2</v>
      </c>
      <c r="Q109">
        <v>6.0361012594994101E-2</v>
      </c>
      <c r="T109">
        <v>7.9014996909092998</v>
      </c>
      <c r="U109">
        <v>1.8386804026144501E-4</v>
      </c>
      <c r="V109">
        <v>0</v>
      </c>
      <c r="W109">
        <v>3.0886334697517299E-2</v>
      </c>
      <c r="X109">
        <v>4.6571249892512601E-2</v>
      </c>
      <c r="Y109">
        <v>0.28191695525921701</v>
      </c>
      <c r="Z109">
        <v>0</v>
      </c>
      <c r="AA109">
        <v>0</v>
      </c>
      <c r="AB109">
        <v>5.1698439840000001E-4</v>
      </c>
      <c r="AC109">
        <v>0</v>
      </c>
      <c r="AD109">
        <v>3.04291737048452E-2</v>
      </c>
      <c r="AE109">
        <v>7.9678821678574995E-3</v>
      </c>
      <c r="AF109">
        <v>3.9455733015000003E-3</v>
      </c>
      <c r="AG109">
        <v>0.17941890893812601</v>
      </c>
    </row>
    <row r="110" spans="1:41" s="378" customFormat="1" x14ac:dyDescent="0.2">
      <c r="A110" s="378" t="s">
        <v>266</v>
      </c>
      <c r="C110" s="378">
        <f t="shared" si="42"/>
        <v>3.1303546727562353E-6</v>
      </c>
      <c r="D110" s="378">
        <f t="shared" si="43"/>
        <v>2.1253065954252543E-6</v>
      </c>
      <c r="E110" s="378">
        <v>0</v>
      </c>
      <c r="G110" s="378">
        <v>1.3138476992566499E-7</v>
      </c>
      <c r="H110" s="380">
        <v>5.7054042817632304E-9</v>
      </c>
      <c r="I110" s="380">
        <v>4.5173954306791399E-9</v>
      </c>
      <c r="J110" s="378">
        <v>9.6300423432027694E-8</v>
      </c>
      <c r="K110" s="378">
        <v>-2.2136723385910999E-7</v>
      </c>
      <c r="M110" s="378">
        <v>1.5602100783584245E-8</v>
      </c>
      <c r="N110" s="378">
        <v>1.0570069709666E-7</v>
      </c>
      <c r="O110" s="378">
        <v>2.1304543161055801E-7</v>
      </c>
      <c r="P110" s="378">
        <v>1.8888166717047001E-7</v>
      </c>
      <c r="Q110" s="378">
        <v>2.5136000390083702E-7</v>
      </c>
      <c r="T110" s="378">
        <v>1.9056790746028601E-7</v>
      </c>
      <c r="U110" s="378">
        <v>4.5461580210470099E-9</v>
      </c>
      <c r="V110" s="378">
        <v>0</v>
      </c>
      <c r="W110" s="378">
        <v>1.6532479297565799E-7</v>
      </c>
      <c r="X110" s="378">
        <v>9.0288557392038996E-7</v>
      </c>
      <c r="Y110" s="378">
        <v>3.0522518775995398E-8</v>
      </c>
      <c r="Z110" s="378">
        <v>3.1635207312832301E-9</v>
      </c>
      <c r="AA110" s="378">
        <v>0</v>
      </c>
      <c r="AB110" s="378">
        <v>5.3706222978484999E-8</v>
      </c>
      <c r="AC110" s="378">
        <v>0</v>
      </c>
      <c r="AD110" s="378">
        <v>1.9172652599440999E-7</v>
      </c>
      <c r="AE110" s="378">
        <v>5.02036099433381E-8</v>
      </c>
      <c r="AF110" s="378">
        <v>3.0068432177989502E-7</v>
      </c>
      <c r="AG110" s="378">
        <v>4.4589286040231299E-7</v>
      </c>
    </row>
    <row r="111" spans="1:41" s="378" customFormat="1" x14ac:dyDescent="0.2">
      <c r="A111" s="378" t="s">
        <v>267</v>
      </c>
      <c r="C111" s="378">
        <f t="shared" si="42"/>
        <v>4.4824723024224705E-7</v>
      </c>
      <c r="D111" s="378">
        <f t="shared" si="43"/>
        <v>2.5856627216539816E-7</v>
      </c>
      <c r="E111" s="378">
        <v>0</v>
      </c>
      <c r="G111" s="378">
        <v>2.0590061345897899E-8</v>
      </c>
      <c r="H111" s="380">
        <v>1.19980180585539E-9</v>
      </c>
      <c r="I111" s="380">
        <v>1.4968714314880001E-9</v>
      </c>
      <c r="J111" s="378">
        <v>1.5297143006399E-8</v>
      </c>
      <c r="K111" s="378">
        <v>-3.9421398229536797E-8</v>
      </c>
      <c r="M111" s="378">
        <v>4.4568188246948013E-9</v>
      </c>
      <c r="N111" s="378">
        <v>2.1358049171243901E-8</v>
      </c>
      <c r="O111" s="378">
        <v>4.3096446754829845E-8</v>
      </c>
      <c r="P111" s="378">
        <v>3.7843072885634098E-8</v>
      </c>
      <c r="Q111" s="378">
        <v>4.7893205830642602E-8</v>
      </c>
      <c r="T111" s="378">
        <v>1.34577949668635E-9</v>
      </c>
      <c r="U111" s="378">
        <v>2.8492584067424799E-9</v>
      </c>
      <c r="V111" s="378">
        <v>0</v>
      </c>
      <c r="W111" s="378">
        <v>3.4022670050775099E-8</v>
      </c>
      <c r="X111" s="378">
        <v>5.3340998831013397E-8</v>
      </c>
      <c r="Y111" s="378">
        <v>4.8923652204848804E-9</v>
      </c>
      <c r="Z111" s="378">
        <v>2.5948252712052601E-11</v>
      </c>
      <c r="AA111" s="378">
        <v>0</v>
      </c>
      <c r="AB111" s="378">
        <v>7.44165843993863E-9</v>
      </c>
      <c r="AC111" s="378">
        <v>0</v>
      </c>
      <c r="AD111" s="378">
        <v>2.80595713858429E-8</v>
      </c>
      <c r="AE111" s="378">
        <v>7.3474015644198303E-9</v>
      </c>
      <c r="AF111" s="378">
        <v>5.9624647719389896E-8</v>
      </c>
      <c r="AG111" s="378">
        <v>9.5486858047092796E-8</v>
      </c>
    </row>
    <row r="112" spans="1:41" s="378" customFormat="1" x14ac:dyDescent="0.2">
      <c r="A112" s="378" t="s">
        <v>268</v>
      </c>
      <c r="C112" s="378">
        <f>SUM(E112:AG112)</f>
        <v>53.369921725721099</v>
      </c>
      <c r="D112" s="378">
        <f>SUM(M112:AB112)</f>
        <v>54.432832344124336</v>
      </c>
      <c r="E112" s="378">
        <v>0</v>
      </c>
      <c r="G112" s="378">
        <v>1.23464346201159</v>
      </c>
      <c r="H112" s="380">
        <v>9.2404273989889693E-2</v>
      </c>
      <c r="I112" s="380">
        <v>0.13878552303597699</v>
      </c>
      <c r="J112" s="378">
        <v>1.1152963878469699</v>
      </c>
      <c r="K112" s="378">
        <v>-22.092870778526201</v>
      </c>
      <c r="M112" s="378">
        <v>0.45267141027924623</v>
      </c>
      <c r="N112" s="378">
        <v>1.0821543762806101</v>
      </c>
      <c r="O112" s="378">
        <v>5.9568104344032173</v>
      </c>
      <c r="P112" s="378">
        <v>1.96136693551763</v>
      </c>
      <c r="Q112" s="378">
        <v>2.55350507316773</v>
      </c>
      <c r="T112" s="378">
        <v>24.0353755150485</v>
      </c>
      <c r="U112" s="378">
        <v>0.122733355549309</v>
      </c>
      <c r="V112" s="378">
        <v>0</v>
      </c>
      <c r="W112" s="378">
        <v>1.7193171562</v>
      </c>
      <c r="X112" s="378">
        <v>15.5666496933205</v>
      </c>
      <c r="Y112" s="378">
        <v>0.52189329501740001</v>
      </c>
      <c r="Z112" s="378">
        <v>5.68235004883778E-5</v>
      </c>
      <c r="AA112" s="378">
        <v>0</v>
      </c>
      <c r="AB112" s="378">
        <v>0.460298275839713</v>
      </c>
      <c r="AC112" s="378">
        <v>0</v>
      </c>
      <c r="AD112" s="378">
        <f>AE112+AG112</f>
        <v>7.0321167752609934</v>
      </c>
      <c r="AE112" s="378">
        <v>0.80659034893739401</v>
      </c>
      <c r="AF112" s="378">
        <v>4.3845969627165502</v>
      </c>
      <c r="AG112" s="378">
        <v>6.2255264263235999</v>
      </c>
    </row>
    <row r="113" spans="1:33" s="378" customFormat="1" x14ac:dyDescent="0.2">
      <c r="A113" s="378" t="s">
        <v>269</v>
      </c>
      <c r="C113" s="378">
        <f t="shared" si="42"/>
        <v>163.09358991465695</v>
      </c>
      <c r="D113" s="378">
        <f t="shared" si="43"/>
        <v>94.850862252900626</v>
      </c>
      <c r="E113" s="378">
        <v>0</v>
      </c>
      <c r="G113" s="378">
        <v>6.4214446216301404</v>
      </c>
      <c r="H113" s="380">
        <v>0.33403882338035101</v>
      </c>
      <c r="I113" s="380">
        <v>1.59122855504442E-3</v>
      </c>
      <c r="J113" s="378">
        <v>7.0131988139835704</v>
      </c>
      <c r="K113" s="378">
        <v>-3.9723872185673299</v>
      </c>
      <c r="M113" s="378">
        <v>0.84653337274999996</v>
      </c>
      <c r="N113" s="378">
        <v>9.0666835353865594</v>
      </c>
      <c r="O113" s="378">
        <v>11.21417515856</v>
      </c>
      <c r="P113" s="378">
        <v>17.3005251019061</v>
      </c>
      <c r="Q113" s="378">
        <v>20.6541667179605</v>
      </c>
      <c r="T113" s="378">
        <v>11.751180019646499</v>
      </c>
      <c r="U113" s="378">
        <v>0.84186884079226498</v>
      </c>
      <c r="V113" s="378">
        <v>0</v>
      </c>
      <c r="W113" s="378">
        <v>15.896533722492199</v>
      </c>
      <c r="X113" s="378">
        <v>3.08945707373584</v>
      </c>
      <c r="Y113" s="378">
        <v>1.8530324834504699</v>
      </c>
      <c r="Z113" s="378">
        <v>8.3766550109482196E-2</v>
      </c>
      <c r="AA113" s="378">
        <v>0</v>
      </c>
      <c r="AB113" s="378">
        <v>2.2529396761106999</v>
      </c>
      <c r="AC113" s="378">
        <v>0</v>
      </c>
      <c r="AD113" s="378">
        <v>14.34035566315</v>
      </c>
      <c r="AE113" s="378">
        <v>3.7550235598725399</v>
      </c>
      <c r="AF113" s="378">
        <v>17.891151257380901</v>
      </c>
      <c r="AG113" s="378">
        <v>22.4583109123711</v>
      </c>
    </row>
    <row r="114" spans="1:33" s="378" customFormat="1" x14ac:dyDescent="0.2">
      <c r="H114" s="380"/>
      <c r="I114" s="380"/>
      <c r="T114" s="378">
        <f>T112/C112</f>
        <v>0.4503543332623044</v>
      </c>
    </row>
    <row r="116" spans="1:33" ht="15" x14ac:dyDescent="0.25">
      <c r="I116"/>
      <c r="J116" s="189" t="s">
        <v>140</v>
      </c>
      <c r="K116" s="189" t="s">
        <v>681</v>
      </c>
      <c r="M116" s="189" t="s">
        <v>682</v>
      </c>
      <c r="N116" s="189" t="s">
        <v>596</v>
      </c>
      <c r="O116" s="189" t="s">
        <v>683</v>
      </c>
      <c r="P116" s="189" t="s">
        <v>684</v>
      </c>
      <c r="Q116" s="189" t="s">
        <v>113</v>
      </c>
      <c r="R116" s="189"/>
      <c r="T116" s="190" t="s">
        <v>103</v>
      </c>
    </row>
    <row r="117" spans="1:33" x14ac:dyDescent="0.2">
      <c r="I117"/>
      <c r="J117">
        <f>SUM(T112:U112)</f>
        <v>24.158108870597808</v>
      </c>
      <c r="K117">
        <f>SUM(M112:Q112)+AB112</f>
        <v>12.466806505488146</v>
      </c>
      <c r="M117">
        <f>SUM(U112:Y112)</f>
        <v>17.930593500087209</v>
      </c>
      <c r="N117">
        <f>SUM(E112:J112)</f>
        <v>2.5811296468844267</v>
      </c>
      <c r="O117">
        <f>AF112</f>
        <v>4.3845969627165502</v>
      </c>
      <c r="P117">
        <f>AD112+AE112+AG112</f>
        <v>14.064233550521987</v>
      </c>
      <c r="Q117">
        <f>K112</f>
        <v>-22.092870778526201</v>
      </c>
      <c r="T117">
        <f>SUM(J117:Q117)</f>
        <v>53.492598257769927</v>
      </c>
    </row>
    <row r="118" spans="1:33" x14ac:dyDescent="0.2">
      <c r="K118" s="5">
        <f>I35</f>
        <v>177.48648095328832</v>
      </c>
    </row>
    <row r="119" spans="1:33" x14ac:dyDescent="0.2">
      <c r="J119">
        <f>J117</f>
        <v>24.158108870597808</v>
      </c>
      <c r="K119">
        <f>SUM(K117:K118)</f>
        <v>189.95328745877646</v>
      </c>
      <c r="M119">
        <f t="shared" ref="M119:Q119" si="44">M117</f>
        <v>17.930593500087209</v>
      </c>
      <c r="N119">
        <f t="shared" si="44"/>
        <v>2.5811296468844267</v>
      </c>
      <c r="O119">
        <f t="shared" si="44"/>
        <v>4.3845969627165502</v>
      </c>
      <c r="P119">
        <f t="shared" si="44"/>
        <v>14.064233550521987</v>
      </c>
      <c r="Q119">
        <f t="shared" si="44"/>
        <v>-22.092870778526201</v>
      </c>
      <c r="T119">
        <f>SUM(J119:Q119)</f>
        <v>230.97907921105823</v>
      </c>
    </row>
    <row r="121" spans="1:33" x14ac:dyDescent="0.2">
      <c r="Q121" t="s">
        <v>685</v>
      </c>
    </row>
    <row r="122" spans="1:33" x14ac:dyDescent="0.2">
      <c r="Q122" s="5">
        <f>J119+K118</f>
        <v>201.64458982388612</v>
      </c>
      <c r="R122" s="5"/>
    </row>
  </sheetData>
  <pageMargins left="0.7" right="0.7" top="0.75" bottom="0.75" header="0.3" footer="0.3"/>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P141"/>
  <sheetViews>
    <sheetView zoomScale="60" zoomScaleNormal="60" workbookViewId="0">
      <selection activeCell="K25" sqref="K25"/>
    </sheetView>
  </sheetViews>
  <sheetFormatPr defaultRowHeight="12.75" x14ac:dyDescent="0.2"/>
  <cols>
    <col min="1" max="1" width="41.5703125" bestFit="1" customWidth="1"/>
    <col min="2" max="2" width="28.85546875" customWidth="1"/>
    <col min="3" max="3" width="22.7109375" customWidth="1"/>
    <col min="4" max="4" width="10" bestFit="1" customWidth="1"/>
    <col min="5" max="5" width="11" customWidth="1"/>
    <col min="6" max="6" width="1.42578125" customWidth="1"/>
    <col min="7" max="7" width="9.140625" customWidth="1"/>
    <col min="8" max="8" width="14.28515625" style="3" customWidth="1"/>
    <col min="9" max="9" width="9.140625" style="3" customWidth="1"/>
    <col min="10" max="10" width="12.5703125" customWidth="1"/>
    <col min="11" max="11" width="9.140625" customWidth="1"/>
    <col min="12" max="12" width="1.42578125" customWidth="1"/>
    <col min="13" max="17" width="9.140625" customWidth="1"/>
    <col min="18" max="19" width="1.42578125" customWidth="1"/>
    <col min="20" max="22" width="9.140625" customWidth="1"/>
    <col min="23" max="23" width="9.85546875" customWidth="1"/>
    <col min="24" max="29" width="9.140625" customWidth="1"/>
    <col min="30" max="32" width="11" customWidth="1"/>
    <col min="33" max="42" width="9.140625" customWidth="1"/>
    <col min="43" max="43" width="9.85546875" customWidth="1"/>
    <col min="45" max="47" width="10.7109375" customWidth="1"/>
  </cols>
  <sheetData>
    <row r="1" spans="1:28" x14ac:dyDescent="0.2">
      <c r="A1" s="20" t="s">
        <v>181</v>
      </c>
      <c r="B1" s="19" t="s">
        <v>253</v>
      </c>
      <c r="C1" s="21" t="s">
        <v>11</v>
      </c>
    </row>
    <row r="2" spans="1:28" x14ac:dyDescent="0.2">
      <c r="A2" s="9" t="s">
        <v>570</v>
      </c>
      <c r="B2" s="3">
        <v>1</v>
      </c>
      <c r="C2" s="10" t="s">
        <v>2</v>
      </c>
      <c r="V2" s="58" t="s">
        <v>674</v>
      </c>
      <c r="W2" s="58"/>
      <c r="X2" s="58"/>
      <c r="Y2" s="58" t="s">
        <v>676</v>
      </c>
      <c r="Z2" s="58" t="s">
        <v>677</v>
      </c>
      <c r="AA2" s="58" t="s">
        <v>678</v>
      </c>
      <c r="AB2" s="58" t="s">
        <v>679</v>
      </c>
    </row>
    <row r="3" spans="1:28" x14ac:dyDescent="0.2">
      <c r="A3" s="36" t="s">
        <v>187</v>
      </c>
      <c r="B3" s="3"/>
      <c r="C3" s="10"/>
      <c r="V3" s="34" t="s">
        <v>260</v>
      </c>
      <c r="Y3" s="60"/>
      <c r="Z3" s="60">
        <v>13.633095144737183</v>
      </c>
      <c r="AB3" s="60">
        <v>10.518409779895041</v>
      </c>
    </row>
    <row r="4" spans="1:28" x14ac:dyDescent="0.2">
      <c r="A4" s="9" t="s">
        <v>563</v>
      </c>
      <c r="B4" s="3">
        <v>1.21</v>
      </c>
      <c r="C4" s="10" t="s">
        <v>2</v>
      </c>
      <c r="V4" s="34" t="s">
        <v>261</v>
      </c>
      <c r="Y4" s="60"/>
      <c r="Z4" s="60">
        <v>2.3180961131050544E-3</v>
      </c>
      <c r="AB4" s="60">
        <v>2.0422107330536204E-3</v>
      </c>
    </row>
    <row r="5" spans="1:28" x14ac:dyDescent="0.2">
      <c r="A5" s="9" t="s">
        <v>433</v>
      </c>
      <c r="B5" s="3">
        <v>1.21</v>
      </c>
      <c r="C5" s="10" t="s">
        <v>2</v>
      </c>
      <c r="V5" s="34" t="s">
        <v>262</v>
      </c>
      <c r="Y5" s="60"/>
      <c r="Z5" s="60">
        <v>0.1338682449140344</v>
      </c>
      <c r="AB5" s="60">
        <v>0.11369481305972057</v>
      </c>
    </row>
    <row r="6" spans="1:28" x14ac:dyDescent="0.2">
      <c r="A6" s="9" t="s">
        <v>564</v>
      </c>
      <c r="B6" s="3">
        <v>1.2</v>
      </c>
      <c r="C6" s="10" t="s">
        <v>2</v>
      </c>
      <c r="V6" s="34" t="s">
        <v>263</v>
      </c>
      <c r="Y6" s="60"/>
      <c r="Z6" s="60">
        <v>5.9309787720596717E-2</v>
      </c>
      <c r="AB6" s="60">
        <v>4.3462958266524854E-2</v>
      </c>
    </row>
    <row r="7" spans="1:28" x14ac:dyDescent="0.2">
      <c r="A7" s="9" t="s">
        <v>249</v>
      </c>
      <c r="B7" s="3">
        <v>0.59</v>
      </c>
      <c r="C7" s="10" t="s">
        <v>2</v>
      </c>
      <c r="V7" s="34" t="s">
        <v>264</v>
      </c>
      <c r="Y7" s="60"/>
      <c r="Z7" s="60">
        <v>8.0673984219261961</v>
      </c>
      <c r="AB7" s="60">
        <v>6.323404098198532</v>
      </c>
    </row>
    <row r="8" spans="1:28" ht="15" x14ac:dyDescent="0.2">
      <c r="A8" s="9" t="s">
        <v>565</v>
      </c>
      <c r="B8" s="3">
        <v>0.61</v>
      </c>
      <c r="C8" s="10" t="s">
        <v>2</v>
      </c>
      <c r="V8" s="34" t="s">
        <v>675</v>
      </c>
      <c r="Y8" s="60"/>
      <c r="Z8" s="60">
        <v>0.7046194867248059</v>
      </c>
      <c r="AB8" s="60">
        <v>0.54867836513123325</v>
      </c>
    </row>
    <row r="9" spans="1:28" x14ac:dyDescent="0.2">
      <c r="A9" s="9" t="s">
        <v>161</v>
      </c>
      <c r="B9" s="3">
        <v>0.56999999999999995</v>
      </c>
      <c r="C9" s="10" t="s">
        <v>2</v>
      </c>
      <c r="D9" t="s">
        <v>559</v>
      </c>
      <c r="V9" s="34" t="s">
        <v>266</v>
      </c>
      <c r="Y9" s="60"/>
      <c r="Z9" s="60">
        <v>2.311040369713185E-6</v>
      </c>
      <c r="AB9" s="60">
        <v>1.9462108788353849E-6</v>
      </c>
    </row>
    <row r="10" spans="1:28" x14ac:dyDescent="0.2">
      <c r="A10" s="9" t="s">
        <v>566</v>
      </c>
      <c r="B10" s="3">
        <v>0.59</v>
      </c>
      <c r="C10" s="10" t="s">
        <v>2</v>
      </c>
      <c r="D10" t="s">
        <v>559</v>
      </c>
      <c r="V10" s="34" t="s">
        <v>267</v>
      </c>
      <c r="Y10" s="60"/>
      <c r="Z10" s="60">
        <v>4.6745887212267045E-7</v>
      </c>
      <c r="AB10" s="60">
        <v>3.9258295202252605E-7</v>
      </c>
    </row>
    <row r="11" spans="1:28" x14ac:dyDescent="0.2">
      <c r="A11" s="9" t="s">
        <v>567</v>
      </c>
      <c r="B11" s="3">
        <v>0.59</v>
      </c>
      <c r="C11" s="10" t="s">
        <v>2</v>
      </c>
      <c r="D11" t="s">
        <v>559</v>
      </c>
      <c r="V11" s="34" t="s">
        <v>268</v>
      </c>
      <c r="Y11" s="60">
        <v>10.236591740410013</v>
      </c>
      <c r="Z11" s="4">
        <f>Y11+I37</f>
        <v>215.06535366189951</v>
      </c>
      <c r="AA11" s="4">
        <v>32.554386895921823</v>
      </c>
      <c r="AB11" s="4">
        <f>AA11+I37</f>
        <v>237.38314881741132</v>
      </c>
    </row>
    <row r="12" spans="1:28" x14ac:dyDescent="0.2">
      <c r="A12" s="9" t="s">
        <v>568</v>
      </c>
      <c r="B12" s="3">
        <v>1.1599999999999999</v>
      </c>
      <c r="C12" s="10" t="s">
        <v>2</v>
      </c>
      <c r="V12" s="59" t="s">
        <v>269</v>
      </c>
      <c r="W12" s="59"/>
      <c r="X12" s="59"/>
      <c r="Y12" s="61"/>
      <c r="Z12" s="61">
        <v>186.89641079500848</v>
      </c>
      <c r="AA12" s="61"/>
      <c r="AB12" s="61">
        <v>151.95950060564334</v>
      </c>
    </row>
    <row r="13" spans="1:28" x14ac:dyDescent="0.2">
      <c r="A13" s="9" t="s">
        <v>569</v>
      </c>
      <c r="B13" s="3">
        <v>1.01</v>
      </c>
      <c r="C13" s="10" t="s">
        <v>2</v>
      </c>
    </row>
    <row r="14" spans="1:28" x14ac:dyDescent="0.2">
      <c r="A14" s="11" t="s">
        <v>251</v>
      </c>
      <c r="B14" s="7">
        <v>0.75</v>
      </c>
      <c r="C14" s="12" t="s">
        <v>252</v>
      </c>
      <c r="H14" s="166" t="s">
        <v>588</v>
      </c>
      <c r="I14"/>
    </row>
    <row r="15" spans="1:28" x14ac:dyDescent="0.2">
      <c r="H15" s="13" t="s">
        <v>103</v>
      </c>
      <c r="I15" s="13" t="s">
        <v>31</v>
      </c>
      <c r="J15" s="13" t="s">
        <v>32</v>
      </c>
      <c r="K15" s="14" t="s">
        <v>33</v>
      </c>
    </row>
    <row r="16" spans="1:28" x14ac:dyDescent="0.2">
      <c r="H16"/>
      <c r="I16" s="4">
        <f>AD118</f>
        <v>4.4291717502181248E-10</v>
      </c>
      <c r="J16" s="4">
        <f t="shared" ref="J16:K16" si="0">AE118</f>
        <v>2.2263364178137345E-9</v>
      </c>
      <c r="K16" s="4">
        <f t="shared" si="0"/>
        <v>204.8287619214895</v>
      </c>
    </row>
    <row r="18" spans="1:19" x14ac:dyDescent="0.2">
      <c r="A18" s="20" t="s">
        <v>540</v>
      </c>
      <c r="B18" s="19" t="s">
        <v>99</v>
      </c>
      <c r="C18" s="19" t="s">
        <v>571</v>
      </c>
      <c r="D18" s="19" t="s">
        <v>104</v>
      </c>
      <c r="E18" s="21" t="s">
        <v>11</v>
      </c>
      <c r="F18" s="18"/>
      <c r="L18" s="18"/>
      <c r="R18" s="18"/>
      <c r="S18" s="18"/>
    </row>
    <row r="19" spans="1:19" x14ac:dyDescent="0.2">
      <c r="A19" s="9" t="s">
        <v>45</v>
      </c>
      <c r="B19" s="3" t="s">
        <v>161</v>
      </c>
      <c r="C19" s="3">
        <f>D19*0.231*1.2</f>
        <v>2.0790000000000003E-2</v>
      </c>
      <c r="D19" s="3">
        <f>0.01*5+0.005*5</f>
        <v>7.5000000000000011E-2</v>
      </c>
      <c r="E19" s="10" t="s">
        <v>2</v>
      </c>
      <c r="F19" s="3"/>
      <c r="H19" s="1" t="s">
        <v>572</v>
      </c>
      <c r="L19" s="3"/>
      <c r="R19" s="3"/>
      <c r="S19" s="3"/>
    </row>
    <row r="20" spans="1:19" x14ac:dyDescent="0.2">
      <c r="A20" s="9" t="s">
        <v>88</v>
      </c>
      <c r="B20" s="3" t="s">
        <v>161</v>
      </c>
      <c r="C20" s="3">
        <f t="shared" ref="C20:C33" si="1">D20*0.231*1.2</f>
        <v>5.5439999999999994E-3</v>
      </c>
      <c r="D20" s="3">
        <f>0.004*5</f>
        <v>0.02</v>
      </c>
      <c r="E20" s="10" t="s">
        <v>2</v>
      </c>
      <c r="F20" s="3"/>
      <c r="H20" s="18" t="s">
        <v>542</v>
      </c>
      <c r="L20" s="3"/>
      <c r="R20" s="3"/>
      <c r="S20" s="3"/>
    </row>
    <row r="21" spans="1:19" x14ac:dyDescent="0.2">
      <c r="A21" s="9" t="s">
        <v>49</v>
      </c>
      <c r="B21" s="3" t="s">
        <v>161</v>
      </c>
      <c r="C21" s="3">
        <f t="shared" si="1"/>
        <v>4.1579999999999997E-4</v>
      </c>
      <c r="D21" s="3">
        <f>0.0003*5</f>
        <v>1.4999999999999998E-3</v>
      </c>
      <c r="E21" s="10" t="s">
        <v>2</v>
      </c>
      <c r="F21" s="3"/>
      <c r="H21" s="18" t="s">
        <v>543</v>
      </c>
      <c r="L21" s="3"/>
      <c r="R21" s="3"/>
      <c r="S21" s="3"/>
    </row>
    <row r="22" spans="1:19" x14ac:dyDescent="0.2">
      <c r="A22" s="9" t="s">
        <v>146</v>
      </c>
      <c r="B22" s="3" t="s">
        <v>161</v>
      </c>
      <c r="C22" s="3">
        <f t="shared" si="1"/>
        <v>6.9299999999999993E-4</v>
      </c>
      <c r="D22" s="3">
        <f>0.0005*5</f>
        <v>2.5000000000000001E-3</v>
      </c>
      <c r="E22" s="10" t="s">
        <v>2</v>
      </c>
      <c r="F22" s="3"/>
      <c r="H22"/>
      <c r="I22"/>
      <c r="L22" s="3"/>
      <c r="R22" s="3"/>
      <c r="S22" s="3"/>
    </row>
    <row r="23" spans="1:19" x14ac:dyDescent="0.2">
      <c r="A23" s="9" t="s">
        <v>142</v>
      </c>
      <c r="B23" s="3" t="s">
        <v>161</v>
      </c>
      <c r="C23" s="3">
        <f t="shared" si="1"/>
        <v>4.1580000000000002E-3</v>
      </c>
      <c r="D23" s="3">
        <f>0.001*5*3</f>
        <v>1.4999999999999999E-2</v>
      </c>
      <c r="E23" s="10" t="s">
        <v>2</v>
      </c>
      <c r="F23" s="3"/>
      <c r="L23" s="3"/>
      <c r="R23" s="3"/>
      <c r="S23" s="3"/>
    </row>
    <row r="24" spans="1:19" x14ac:dyDescent="0.2">
      <c r="A24" s="9" t="s">
        <v>102</v>
      </c>
      <c r="B24" s="3" t="s">
        <v>161</v>
      </c>
      <c r="C24" s="3">
        <f t="shared" si="1"/>
        <v>2.7719999999999997E-3</v>
      </c>
      <c r="D24" s="3">
        <f>0.001*5+0.005</f>
        <v>0.01</v>
      </c>
      <c r="E24" s="10" t="s">
        <v>2</v>
      </c>
      <c r="F24" s="3"/>
      <c r="L24" s="3"/>
      <c r="R24" s="3"/>
      <c r="S24" s="3"/>
    </row>
    <row r="25" spans="1:19" x14ac:dyDescent="0.2">
      <c r="A25" s="9" t="s">
        <v>147</v>
      </c>
      <c r="B25" s="3" t="s">
        <v>161</v>
      </c>
      <c r="C25" s="3">
        <f t="shared" si="1"/>
        <v>4.1580000000000002E-3</v>
      </c>
      <c r="D25" s="3">
        <f>0.003*5</f>
        <v>1.4999999999999999E-2</v>
      </c>
      <c r="E25" s="10" t="s">
        <v>2</v>
      </c>
      <c r="F25" s="3"/>
      <c r="L25" s="3"/>
      <c r="R25" s="3"/>
      <c r="S25" s="3"/>
    </row>
    <row r="26" spans="1:19" x14ac:dyDescent="0.2">
      <c r="A26" s="9" t="s">
        <v>148</v>
      </c>
      <c r="B26" s="3" t="s">
        <v>161</v>
      </c>
      <c r="C26" s="3">
        <f t="shared" si="1"/>
        <v>2.7719999999999997E-3</v>
      </c>
      <c r="D26" s="3">
        <f>0.002*5</f>
        <v>0.01</v>
      </c>
      <c r="E26" s="10" t="s">
        <v>2</v>
      </c>
      <c r="F26" s="3"/>
      <c r="L26" s="3"/>
      <c r="R26" s="3"/>
      <c r="S26" s="3"/>
    </row>
    <row r="27" spans="1:19" x14ac:dyDescent="0.2">
      <c r="A27" s="9" t="s">
        <v>149</v>
      </c>
      <c r="B27" s="3" t="s">
        <v>161</v>
      </c>
      <c r="C27" s="3">
        <f t="shared" si="1"/>
        <v>4.1580000000000002E-3</v>
      </c>
      <c r="D27" s="3">
        <f>0.003*5</f>
        <v>1.4999999999999999E-2</v>
      </c>
      <c r="E27" s="10" t="s">
        <v>2</v>
      </c>
      <c r="F27" s="3"/>
      <c r="L27" s="3"/>
      <c r="R27" s="3"/>
      <c r="S27" s="3"/>
    </row>
    <row r="28" spans="1:19" x14ac:dyDescent="0.2">
      <c r="A28" s="9" t="s">
        <v>404</v>
      </c>
      <c r="B28" s="3" t="s">
        <v>161</v>
      </c>
      <c r="C28" s="3">
        <f t="shared" si="1"/>
        <v>1.3859999999999999E-3</v>
      </c>
      <c r="D28" s="3">
        <v>5.0000000000000001E-3</v>
      </c>
      <c r="E28" s="10" t="s">
        <v>2</v>
      </c>
      <c r="F28" s="3"/>
      <c r="L28" s="3"/>
      <c r="R28" s="3"/>
      <c r="S28" s="3"/>
    </row>
    <row r="29" spans="1:19" x14ac:dyDescent="0.2">
      <c r="A29" s="9" t="s">
        <v>47</v>
      </c>
      <c r="B29" s="3" t="s">
        <v>161</v>
      </c>
      <c r="C29" s="3">
        <f t="shared" si="1"/>
        <v>1.3859999999999999E-3</v>
      </c>
      <c r="D29" s="3">
        <v>5.0000000000000001E-3</v>
      </c>
      <c r="E29" s="10" t="s">
        <v>2</v>
      </c>
      <c r="F29" s="3"/>
      <c r="L29" s="3"/>
      <c r="R29" s="3"/>
      <c r="S29" s="3"/>
    </row>
    <row r="30" spans="1:19" x14ac:dyDescent="0.2">
      <c r="A30" s="9" t="s">
        <v>51</v>
      </c>
      <c r="B30" s="3" t="s">
        <v>161</v>
      </c>
      <c r="C30" s="3">
        <f t="shared" si="1"/>
        <v>1.3859999999999999E-3</v>
      </c>
      <c r="D30" s="3">
        <v>5.0000000000000001E-3</v>
      </c>
      <c r="E30" s="10" t="s">
        <v>2</v>
      </c>
      <c r="F30" s="3"/>
      <c r="H30" s="18" t="s">
        <v>134</v>
      </c>
      <c r="L30" s="3"/>
      <c r="R30" s="3"/>
      <c r="S30" s="3"/>
    </row>
    <row r="31" spans="1:19" x14ac:dyDescent="0.2">
      <c r="A31" s="9" t="s">
        <v>151</v>
      </c>
      <c r="B31" s="3" t="s">
        <v>161</v>
      </c>
      <c r="C31" s="3">
        <f t="shared" si="1"/>
        <v>5.5439999999999994E-3</v>
      </c>
      <c r="D31" s="3">
        <f>0.002*10</f>
        <v>0.02</v>
      </c>
      <c r="E31" s="10" t="s">
        <v>2</v>
      </c>
      <c r="F31" s="3"/>
      <c r="L31" s="3"/>
      <c r="R31" s="3"/>
      <c r="S31" s="3"/>
    </row>
    <row r="32" spans="1:19" x14ac:dyDescent="0.2">
      <c r="A32" s="9" t="s">
        <v>152</v>
      </c>
      <c r="B32" s="3" t="s">
        <v>161</v>
      </c>
      <c r="C32" s="3">
        <f t="shared" si="1"/>
        <v>5.5439999999999994E-3</v>
      </c>
      <c r="D32" s="3">
        <f>0.002*10</f>
        <v>0.02</v>
      </c>
      <c r="E32" s="10" t="s">
        <v>2</v>
      </c>
      <c r="F32" s="3"/>
      <c r="H32" s="3" t="s">
        <v>107</v>
      </c>
      <c r="L32" s="3"/>
      <c r="R32" s="3"/>
      <c r="S32" s="3"/>
    </row>
    <row r="33" spans="1:68" x14ac:dyDescent="0.2">
      <c r="A33" s="11" t="s">
        <v>144</v>
      </c>
      <c r="B33" s="7" t="s">
        <v>161</v>
      </c>
      <c r="C33" s="7">
        <f t="shared" si="1"/>
        <v>5.5440000000000003E-2</v>
      </c>
      <c r="D33" s="7">
        <f>0.02*10</f>
        <v>0.2</v>
      </c>
      <c r="E33" s="12" t="s">
        <v>2</v>
      </c>
      <c r="F33" s="3"/>
      <c r="H33"/>
      <c r="I33"/>
      <c r="J33" t="s">
        <v>153</v>
      </c>
      <c r="L33" s="3"/>
      <c r="O33" s="1"/>
      <c r="P33" s="1"/>
      <c r="Q33" s="1"/>
      <c r="R33" s="3"/>
      <c r="S33" s="3"/>
      <c r="T33" s="1"/>
      <c r="U33" s="1"/>
      <c r="V33" s="1"/>
    </row>
    <row r="34" spans="1:68" x14ac:dyDescent="0.2">
      <c r="A34" s="15" t="s">
        <v>90</v>
      </c>
      <c r="B34" s="6" t="s">
        <v>167</v>
      </c>
      <c r="C34" s="6">
        <f>D34*0.241*1.2</f>
        <v>1.4459999999999998E-3</v>
      </c>
      <c r="D34" s="6">
        <f>0.001*5</f>
        <v>5.0000000000000001E-3</v>
      </c>
      <c r="E34" s="26" t="s">
        <v>2</v>
      </c>
      <c r="F34" s="3"/>
      <c r="H34"/>
      <c r="I34" s="1" t="s">
        <v>103</v>
      </c>
      <c r="L34" s="3"/>
      <c r="M34" t="s">
        <v>164</v>
      </c>
      <c r="N34" t="s">
        <v>163</v>
      </c>
      <c r="O34" t="s">
        <v>159</v>
      </c>
      <c r="P34" s="5" t="s">
        <v>157</v>
      </c>
      <c r="Q34" s="5" t="s">
        <v>158</v>
      </c>
      <c r="R34" s="3"/>
      <c r="S34" s="3"/>
      <c r="T34" t="s">
        <v>155</v>
      </c>
      <c r="U34" s="5" t="s">
        <v>156</v>
      </c>
      <c r="V34" t="s">
        <v>162</v>
      </c>
      <c r="W34" t="s">
        <v>165</v>
      </c>
      <c r="X34" t="s">
        <v>108</v>
      </c>
      <c r="Y34" t="s">
        <v>160</v>
      </c>
      <c r="Z34" t="s">
        <v>154</v>
      </c>
    </row>
    <row r="35" spans="1:68" x14ac:dyDescent="0.2">
      <c r="A35" s="171" t="s">
        <v>45</v>
      </c>
      <c r="B35" s="3" t="s">
        <v>167</v>
      </c>
      <c r="C35" s="3">
        <f>D35*0.241*1.2</f>
        <v>1.4459999999999998E-3</v>
      </c>
      <c r="D35" s="3">
        <f>0.001*5</f>
        <v>5.0000000000000001E-3</v>
      </c>
      <c r="E35" s="10" t="s">
        <v>2</v>
      </c>
      <c r="F35" s="3"/>
      <c r="H35" t="s">
        <v>133</v>
      </c>
      <c r="I35" s="1">
        <f>SUM(M35:Z35)</f>
        <v>10.236591740410013</v>
      </c>
      <c r="L35" s="3"/>
      <c r="M35">
        <v>11.6537993480233</v>
      </c>
      <c r="N35">
        <v>2.1259909607296099</v>
      </c>
      <c r="O35">
        <v>1.97000784530642</v>
      </c>
      <c r="P35">
        <v>1.1576957731082</v>
      </c>
      <c r="Q35">
        <v>0.51027758015330005</v>
      </c>
      <c r="R35" s="3"/>
      <c r="S35" s="3"/>
      <c r="T35">
        <v>9.2666119764329959</v>
      </c>
      <c r="U35">
        <v>2.4129043698643993</v>
      </c>
      <c r="V35">
        <v>1.4859876308541811</v>
      </c>
      <c r="W35">
        <v>1.9711599819221195</v>
      </c>
      <c r="X35">
        <v>1.7750907654088648</v>
      </c>
      <c r="Y35">
        <v>5.9401558117524669</v>
      </c>
      <c r="Z35">
        <v>-30.033090303145848</v>
      </c>
    </row>
    <row r="36" spans="1:68" x14ac:dyDescent="0.2">
      <c r="A36" s="171" t="s">
        <v>88</v>
      </c>
      <c r="B36" s="3" t="s">
        <v>167</v>
      </c>
      <c r="C36" s="3">
        <f>D36*0.241*1.2</f>
        <v>1.4459999999999998E-3</v>
      </c>
      <c r="D36" s="3">
        <f>0.001*5</f>
        <v>5.0000000000000001E-3</v>
      </c>
      <c r="E36" s="10" t="s">
        <v>2</v>
      </c>
      <c r="F36" s="3"/>
      <c r="G36" s="3"/>
      <c r="H36" t="s">
        <v>135</v>
      </c>
      <c r="I36" s="5"/>
      <c r="K36" s="5"/>
      <c r="L36" s="3"/>
      <c r="R36" s="3"/>
      <c r="S36" s="3"/>
    </row>
    <row r="37" spans="1:68" x14ac:dyDescent="0.2">
      <c r="A37" s="172" t="s">
        <v>168</v>
      </c>
      <c r="B37" s="7" t="s">
        <v>167</v>
      </c>
      <c r="C37" s="7">
        <f>D37*0.241*1.2</f>
        <v>1.4459999999999998E-3</v>
      </c>
      <c r="D37" s="7">
        <f>0.001*5</f>
        <v>5.0000000000000001E-3</v>
      </c>
      <c r="E37" s="12" t="s">
        <v>2</v>
      </c>
      <c r="F37" s="3"/>
      <c r="G37" s="3"/>
      <c r="H37" t="s">
        <v>136</v>
      </c>
      <c r="I37" s="4">
        <f>K16</f>
        <v>204.8287619214895</v>
      </c>
      <c r="K37" s="5"/>
      <c r="L37" s="3"/>
      <c r="R37" s="3"/>
      <c r="S37" s="3"/>
    </row>
    <row r="38" spans="1:68" x14ac:dyDescent="0.2">
      <c r="A38" s="171" t="s">
        <v>169</v>
      </c>
      <c r="B38" s="3" t="s">
        <v>166</v>
      </c>
      <c r="C38" s="3">
        <f>D38*0.241*1.2</f>
        <v>3.0365999999999997E-2</v>
      </c>
      <c r="D38" s="3">
        <f>0.35*0.3</f>
        <v>0.105</v>
      </c>
      <c r="E38" s="10" t="s">
        <v>2</v>
      </c>
      <c r="F38" s="3"/>
      <c r="G38" s="3"/>
      <c r="H38" t="s">
        <v>137</v>
      </c>
      <c r="I38" s="5"/>
      <c r="K38" s="5"/>
      <c r="L38" s="3"/>
      <c r="R38" s="3"/>
      <c r="S38" s="3"/>
    </row>
    <row r="39" spans="1:68" x14ac:dyDescent="0.2">
      <c r="A39" s="171" t="s">
        <v>170</v>
      </c>
      <c r="B39" s="3" t="s">
        <v>166</v>
      </c>
      <c r="C39" s="3">
        <f t="shared" ref="C39:C45" si="2">D39*0.241*1.2</f>
        <v>8.6759999999999997E-3</v>
      </c>
      <c r="D39" s="3">
        <f>0.1*0.3</f>
        <v>0.03</v>
      </c>
      <c r="E39" s="10" t="s">
        <v>2</v>
      </c>
      <c r="F39" s="3"/>
      <c r="G39" s="3"/>
      <c r="H39"/>
      <c r="I39"/>
      <c r="L39" s="3"/>
      <c r="R39" s="3"/>
      <c r="S39" s="3"/>
      <c r="BN39" s="5"/>
      <c r="BO39" s="5"/>
      <c r="BP39" s="5"/>
    </row>
    <row r="40" spans="1:68" x14ac:dyDescent="0.2">
      <c r="A40" s="171" t="s">
        <v>171</v>
      </c>
      <c r="B40" s="3" t="s">
        <v>166</v>
      </c>
      <c r="C40" s="3">
        <f t="shared" si="2"/>
        <v>4.7718000000000003E-2</v>
      </c>
      <c r="D40" s="3">
        <f>0.55*0.3</f>
        <v>0.16500000000000001</v>
      </c>
      <c r="E40" s="10" t="s">
        <v>2</v>
      </c>
      <c r="F40" s="3"/>
      <c r="G40" s="3"/>
      <c r="H40" s="179" t="s">
        <v>607</v>
      </c>
      <c r="I40" s="1">
        <f>I35+I37</f>
        <v>215.06535366189951</v>
      </c>
      <c r="L40" s="3"/>
      <c r="R40" s="3"/>
      <c r="S40" s="3"/>
      <c r="AQ40" s="30"/>
      <c r="AX40" s="30"/>
      <c r="AZ40" s="5"/>
      <c r="BA40" s="5"/>
      <c r="BB40" s="5"/>
      <c r="BE40" s="30"/>
      <c r="BG40" s="4"/>
      <c r="BH40" s="4"/>
      <c r="BI40" s="4"/>
    </row>
    <row r="41" spans="1:68" x14ac:dyDescent="0.2">
      <c r="A41" s="171" t="s">
        <v>172</v>
      </c>
      <c r="B41" s="3" t="s">
        <v>166</v>
      </c>
      <c r="C41" s="3">
        <f t="shared" si="2"/>
        <v>2.8919999999999996E-3</v>
      </c>
      <c r="D41" s="3">
        <f>0.001*2*5</f>
        <v>0.01</v>
      </c>
      <c r="E41" s="10" t="s">
        <v>2</v>
      </c>
      <c r="F41" s="3"/>
      <c r="G41" s="3"/>
      <c r="H41"/>
      <c r="I41"/>
      <c r="L41" s="3"/>
      <c r="R41" s="3"/>
      <c r="S41" s="3"/>
      <c r="AQ41" s="30"/>
      <c r="AX41" s="30"/>
      <c r="AZ41" s="5"/>
      <c r="BA41" s="5"/>
      <c r="BB41" s="5"/>
      <c r="BE41" s="30"/>
      <c r="BG41" s="4"/>
      <c r="BH41" s="4"/>
      <c r="BI41" s="4"/>
    </row>
    <row r="42" spans="1:68" x14ac:dyDescent="0.2">
      <c r="A42" s="171" t="s">
        <v>51</v>
      </c>
      <c r="B42" s="3" t="s">
        <v>166</v>
      </c>
      <c r="C42" s="3">
        <f t="shared" si="2"/>
        <v>2.8919999999999996E-3</v>
      </c>
      <c r="D42" s="3">
        <f>0.002*5</f>
        <v>0.01</v>
      </c>
      <c r="E42" s="10" t="s">
        <v>2</v>
      </c>
      <c r="F42" s="3"/>
      <c r="G42" s="3"/>
      <c r="H42"/>
      <c r="I42"/>
      <c r="L42" s="3"/>
      <c r="R42" s="3"/>
      <c r="S42" s="3"/>
      <c r="AQ42" s="30"/>
      <c r="AX42" s="30"/>
      <c r="AZ42" s="5"/>
      <c r="BA42" s="5"/>
      <c r="BB42" s="5"/>
      <c r="BE42" s="30"/>
      <c r="BG42" s="4"/>
      <c r="BH42" s="4"/>
      <c r="BI42" s="4"/>
    </row>
    <row r="43" spans="1:68" x14ac:dyDescent="0.2">
      <c r="A43" s="9" t="s">
        <v>47</v>
      </c>
      <c r="B43" s="3" t="s">
        <v>166</v>
      </c>
      <c r="C43" s="3">
        <f t="shared" si="2"/>
        <v>2.8919999999999996E-3</v>
      </c>
      <c r="D43" s="3">
        <f>0.002*5</f>
        <v>0.01</v>
      </c>
      <c r="E43" s="10" t="s">
        <v>2</v>
      </c>
      <c r="F43" s="3"/>
      <c r="G43" s="3"/>
      <c r="H43"/>
      <c r="I43"/>
      <c r="L43" s="3"/>
      <c r="R43" s="3"/>
      <c r="S43" s="3"/>
      <c r="AQ43" s="30"/>
      <c r="AX43" s="30"/>
      <c r="AZ43" s="5"/>
      <c r="BA43" s="5"/>
      <c r="BB43" s="5"/>
      <c r="BE43" s="30"/>
      <c r="BG43" s="4"/>
      <c r="BH43" s="4"/>
      <c r="BI43" s="4"/>
    </row>
    <row r="44" spans="1:68" x14ac:dyDescent="0.2">
      <c r="A44" s="9" t="s">
        <v>173</v>
      </c>
      <c r="B44" s="3" t="s">
        <v>166</v>
      </c>
      <c r="C44" s="3">
        <f t="shared" si="2"/>
        <v>1.4459999999999998E-3</v>
      </c>
      <c r="D44" s="3">
        <f>0.001*5</f>
        <v>5.0000000000000001E-3</v>
      </c>
      <c r="E44" s="10" t="s">
        <v>2</v>
      </c>
      <c r="F44" s="3"/>
      <c r="G44" s="3"/>
      <c r="H44"/>
      <c r="I44"/>
      <c r="L44" s="3"/>
      <c r="R44" s="3"/>
      <c r="S44" s="3"/>
      <c r="AQ44" s="30"/>
      <c r="AX44" s="30"/>
      <c r="AZ44" s="5"/>
      <c r="BA44" s="5"/>
      <c r="BB44" s="5"/>
      <c r="BE44" s="30"/>
      <c r="BG44" s="4"/>
      <c r="BH44" s="4"/>
      <c r="BI44" s="4"/>
    </row>
    <row r="45" spans="1:68" x14ac:dyDescent="0.2">
      <c r="A45" s="11" t="s">
        <v>144</v>
      </c>
      <c r="B45" s="7" t="s">
        <v>166</v>
      </c>
      <c r="C45" s="7">
        <f t="shared" si="2"/>
        <v>4.3379999999999995E-2</v>
      </c>
      <c r="D45" s="7">
        <f>0.03*5</f>
        <v>0.15</v>
      </c>
      <c r="E45" s="12" t="s">
        <v>2</v>
      </c>
      <c r="F45" s="3"/>
      <c r="G45" s="3"/>
      <c r="H45"/>
      <c r="I45"/>
      <c r="L45" s="3"/>
      <c r="R45" s="3"/>
      <c r="S45" s="3"/>
      <c r="AQ45" s="30"/>
      <c r="AX45" s="30"/>
      <c r="AZ45" s="5"/>
      <c r="BA45" s="5"/>
      <c r="BB45" s="5"/>
      <c r="BE45" s="30"/>
      <c r="BG45" s="4"/>
      <c r="BH45" s="4"/>
      <c r="BI45" s="4"/>
    </row>
    <row r="46" spans="1:68" x14ac:dyDescent="0.2">
      <c r="G46" s="3"/>
      <c r="H46"/>
      <c r="I46"/>
      <c r="AQ46" s="30"/>
      <c r="AX46" s="30"/>
      <c r="AZ46" s="5"/>
      <c r="BA46" s="5"/>
      <c r="BB46" s="5"/>
      <c r="BE46" s="30"/>
      <c r="BG46" s="4"/>
      <c r="BH46" s="4"/>
      <c r="BI46" s="4"/>
    </row>
    <row r="47" spans="1:68" s="7" customFormat="1" x14ac:dyDescent="0.2">
      <c r="A47" s="17" t="s">
        <v>708</v>
      </c>
      <c r="U47" s="151" t="s">
        <v>550</v>
      </c>
      <c r="V47" s="152" t="s">
        <v>551</v>
      </c>
      <c r="W47" s="152" t="s">
        <v>550</v>
      </c>
      <c r="X47" s="152" t="s">
        <v>551</v>
      </c>
      <c r="Y47" s="153" t="s">
        <v>552</v>
      </c>
      <c r="Z47" s="154"/>
      <c r="AA47" s="155"/>
      <c r="AB47" s="17" t="s">
        <v>105</v>
      </c>
      <c r="AC47" s="17"/>
      <c r="AD47" s="32" t="s">
        <v>549</v>
      </c>
      <c r="AE47" s="33"/>
      <c r="AF47" s="33"/>
      <c r="AG47" s="33" t="s">
        <v>548</v>
      </c>
      <c r="AH47" s="33"/>
      <c r="AI47" s="33"/>
      <c r="AJ47" s="33" t="s">
        <v>547</v>
      </c>
      <c r="AK47" s="33"/>
      <c r="AL47" s="33"/>
      <c r="AM47" s="158" t="s">
        <v>553</v>
      </c>
      <c r="AN47" s="154"/>
      <c r="AO47" s="155"/>
      <c r="AQ47" s="209"/>
      <c r="AX47" s="209"/>
      <c r="AZ47" s="210"/>
      <c r="BA47" s="210"/>
      <c r="BB47" s="210"/>
      <c r="BE47" s="209"/>
      <c r="BG47" s="211"/>
      <c r="BH47" s="211"/>
      <c r="BI47" s="211"/>
    </row>
    <row r="48" spans="1:68" s="49" customFormat="1" ht="15" customHeight="1" x14ac:dyDescent="0.2">
      <c r="A48" s="57" t="s">
        <v>58</v>
      </c>
      <c r="B48" s="55" t="s">
        <v>289</v>
      </c>
      <c r="C48" s="56" t="s">
        <v>290</v>
      </c>
      <c r="D48" s="56" t="s">
        <v>11</v>
      </c>
      <c r="E48" s="63" t="s">
        <v>291</v>
      </c>
      <c r="F48" s="63"/>
      <c r="G48" s="66" t="s">
        <v>292</v>
      </c>
      <c r="H48" s="66" t="s">
        <v>8</v>
      </c>
      <c r="I48" s="66" t="s">
        <v>217</v>
      </c>
      <c r="J48" s="66" t="s">
        <v>11</v>
      </c>
      <c r="K48" s="66" t="s">
        <v>291</v>
      </c>
      <c r="L48" s="63"/>
      <c r="M48" s="67" t="s">
        <v>293</v>
      </c>
      <c r="N48" s="67" t="s">
        <v>8</v>
      </c>
      <c r="O48" s="67" t="s">
        <v>217</v>
      </c>
      <c r="P48" s="67" t="s">
        <v>11</v>
      </c>
      <c r="Q48" s="67" t="s">
        <v>291</v>
      </c>
      <c r="R48" s="63"/>
      <c r="S48" s="63"/>
      <c r="T48" s="79" t="s">
        <v>275</v>
      </c>
      <c r="U48" s="126" t="s">
        <v>530</v>
      </c>
      <c r="V48" s="114" t="s">
        <v>531</v>
      </c>
      <c r="W48" s="114" t="s">
        <v>532</v>
      </c>
      <c r="X48" s="114" t="s">
        <v>533</v>
      </c>
      <c r="Y48" s="114" t="s">
        <v>534</v>
      </c>
      <c r="Z48" s="114" t="s">
        <v>535</v>
      </c>
      <c r="AA48" s="131" t="s">
        <v>536</v>
      </c>
      <c r="AB48" s="207" t="s">
        <v>545</v>
      </c>
      <c r="AC48" s="208" t="s">
        <v>546</v>
      </c>
      <c r="AD48" s="148" t="s">
        <v>31</v>
      </c>
      <c r="AE48" s="149" t="s">
        <v>32</v>
      </c>
      <c r="AF48" s="150" t="s">
        <v>33</v>
      </c>
      <c r="AG48" s="148" t="s">
        <v>31</v>
      </c>
      <c r="AH48" s="149" t="s">
        <v>32</v>
      </c>
      <c r="AI48" s="150" t="s">
        <v>33</v>
      </c>
      <c r="AJ48" s="148" t="s">
        <v>31</v>
      </c>
      <c r="AK48" s="149" t="s">
        <v>32</v>
      </c>
      <c r="AL48" s="149" t="s">
        <v>33</v>
      </c>
      <c r="AM48" s="159"/>
      <c r="AN48" s="156"/>
      <c r="AO48" s="160"/>
    </row>
    <row r="49" spans="1:41" s="8" customFormat="1" ht="15" customHeight="1" x14ac:dyDescent="0.2">
      <c r="A49" s="68" t="s">
        <v>59</v>
      </c>
      <c r="B49" s="54" t="s">
        <v>30</v>
      </c>
      <c r="C49" s="51">
        <v>0.1</v>
      </c>
      <c r="D49" s="51" t="s">
        <v>2</v>
      </c>
      <c r="E49" s="62" t="s">
        <v>294</v>
      </c>
      <c r="F49" s="62">
        <v>0</v>
      </c>
      <c r="G49" s="51" t="s">
        <v>12</v>
      </c>
      <c r="H49" s="51">
        <v>0</v>
      </c>
      <c r="I49" s="51">
        <v>0</v>
      </c>
      <c r="J49" s="51">
        <v>0</v>
      </c>
      <c r="K49" s="51">
        <v>0</v>
      </c>
      <c r="L49" s="62">
        <v>0</v>
      </c>
      <c r="M49" s="51" t="s">
        <v>30</v>
      </c>
      <c r="N49" s="51" t="s">
        <v>7</v>
      </c>
      <c r="O49" s="69">
        <v>9.9000000000000008E-3</v>
      </c>
      <c r="P49" s="51" t="s">
        <v>2</v>
      </c>
      <c r="Q49" s="8" t="s">
        <v>1367</v>
      </c>
      <c r="R49" s="62">
        <v>0</v>
      </c>
      <c r="S49" s="62">
        <v>0</v>
      </c>
      <c r="T49" s="80" t="s">
        <v>34</v>
      </c>
      <c r="U49" s="127">
        <v>0</v>
      </c>
      <c r="V49" s="115">
        <v>0</v>
      </c>
      <c r="W49" s="115">
        <v>0</v>
      </c>
      <c r="X49" s="115">
        <v>0</v>
      </c>
      <c r="Y49" s="129">
        <v>7.06</v>
      </c>
      <c r="Z49" s="129">
        <v>78.599999999999994</v>
      </c>
      <c r="AA49" s="132" t="s">
        <v>539</v>
      </c>
      <c r="AB49" s="27">
        <f>$C$19*I49</f>
        <v>0</v>
      </c>
      <c r="AC49" s="29">
        <f>$C$19*O49</f>
        <v>2.0582100000000005E-4</v>
      </c>
      <c r="AD49" s="135">
        <f>AB49*U49+AC49*W49</f>
        <v>0</v>
      </c>
      <c r="AE49" s="135">
        <f t="shared" ref="AE49" si="3">AB49*V49+AC49*X49</f>
        <v>0</v>
      </c>
      <c r="AF49" s="24">
        <f t="shared" ref="AF49" si="4">AB49*Y49+AC49*Z49</f>
        <v>1.6177530600000004E-2</v>
      </c>
      <c r="AG49" s="24">
        <f t="shared" ref="AG49" si="5">AB49*U49</f>
        <v>0</v>
      </c>
      <c r="AH49" s="24">
        <f t="shared" ref="AH49" si="6">AB49*V49</f>
        <v>0</v>
      </c>
      <c r="AI49" s="24">
        <f t="shared" ref="AI49" si="7">AB49*Y49</f>
        <v>0</v>
      </c>
      <c r="AJ49" s="24">
        <f t="shared" ref="AJ49" si="8">AC49*W49</f>
        <v>0</v>
      </c>
      <c r="AK49" s="24">
        <f t="shared" ref="AK49" si="9">AC49*X49</f>
        <v>0</v>
      </c>
      <c r="AL49" s="24">
        <f t="shared" ref="AL49" si="10">AC49*Z49</f>
        <v>1.6177530600000004E-2</v>
      </c>
      <c r="AM49" s="161">
        <f t="shared" ref="AM49:AO49" si="11">AG49+AJ49</f>
        <v>0</v>
      </c>
      <c r="AN49" s="157">
        <f t="shared" si="11"/>
        <v>0</v>
      </c>
      <c r="AO49" s="162">
        <f t="shared" si="11"/>
        <v>1.6177530600000004E-2</v>
      </c>
    </row>
    <row r="50" spans="1:41" s="8" customFormat="1" ht="15" customHeight="1" x14ac:dyDescent="0.2">
      <c r="A50" s="68" t="s">
        <v>59</v>
      </c>
      <c r="B50" s="54" t="s">
        <v>15</v>
      </c>
      <c r="C50" s="51">
        <v>0.25</v>
      </c>
      <c r="D50" s="51" t="s">
        <v>2</v>
      </c>
      <c r="E50" s="62" t="s">
        <v>294</v>
      </c>
      <c r="F50" s="62">
        <v>0</v>
      </c>
      <c r="G50" s="51" t="s">
        <v>12</v>
      </c>
      <c r="H50" s="51">
        <v>0</v>
      </c>
      <c r="I50" s="69">
        <v>0</v>
      </c>
      <c r="J50" s="51">
        <v>0</v>
      </c>
      <c r="K50" s="51">
        <v>0</v>
      </c>
      <c r="L50" s="62">
        <v>0</v>
      </c>
      <c r="M50" s="51" t="s">
        <v>15</v>
      </c>
      <c r="N50" s="51" t="s">
        <v>7</v>
      </c>
      <c r="O50" s="69">
        <v>2.5000000000000001E-2</v>
      </c>
      <c r="P50" s="51" t="s">
        <v>2</v>
      </c>
      <c r="Q50" s="51">
        <v>0</v>
      </c>
      <c r="R50" s="62">
        <v>0</v>
      </c>
      <c r="S50" s="62">
        <v>0</v>
      </c>
      <c r="T50" s="54" t="s">
        <v>13</v>
      </c>
      <c r="U50" s="127">
        <v>0</v>
      </c>
      <c r="V50" s="115">
        <v>1.2009414857886904E-7</v>
      </c>
      <c r="W50" s="115">
        <v>0</v>
      </c>
      <c r="X50" s="115">
        <v>3.2843909509658706E-7</v>
      </c>
      <c r="Y50" s="115">
        <v>14.526941022240393</v>
      </c>
      <c r="Z50" s="115">
        <v>111.251141519207</v>
      </c>
      <c r="AA50" s="132" t="s">
        <v>538</v>
      </c>
      <c r="AB50" s="27">
        <f t="shared" ref="AB50:AB54" si="12">$C$19*I50</f>
        <v>0</v>
      </c>
      <c r="AC50" s="29">
        <f t="shared" ref="AC50:AC54" si="13">$C$19*O50</f>
        <v>5.1975000000000014E-4</v>
      </c>
      <c r="AD50" s="135">
        <f t="shared" ref="AD50:AD117" si="14">AB50*U50+AC50*W50</f>
        <v>0</v>
      </c>
      <c r="AE50" s="135">
        <f t="shared" ref="AE50:AE117" si="15">AB50*V50+AC50*X50</f>
        <v>1.7070621967645116E-10</v>
      </c>
      <c r="AF50" s="24">
        <f t="shared" ref="AF50:AF117" si="16">AB50*Y50+AC50*Z50</f>
        <v>5.782278080460785E-2</v>
      </c>
      <c r="AG50" s="24">
        <f t="shared" ref="AG50:AG117" si="17">AB50*U50</f>
        <v>0</v>
      </c>
      <c r="AH50" s="24">
        <f t="shared" ref="AH50:AH117" si="18">AB50*V50</f>
        <v>0</v>
      </c>
      <c r="AI50" s="24">
        <f t="shared" ref="AI50:AI117" si="19">AB50*Y50</f>
        <v>0</v>
      </c>
      <c r="AJ50" s="24">
        <f t="shared" ref="AJ50:AJ117" si="20">AC50*W50</f>
        <v>0</v>
      </c>
      <c r="AK50" s="24">
        <f t="shared" ref="AK50:AK117" si="21">AC50*X50</f>
        <v>1.7070621967645116E-10</v>
      </c>
      <c r="AL50" s="24">
        <f t="shared" ref="AL50:AL117" si="22">AC50*Z50</f>
        <v>5.782278080460785E-2</v>
      </c>
      <c r="AM50" s="161">
        <f t="shared" ref="AM50:AM117" si="23">AG50+AJ50</f>
        <v>0</v>
      </c>
      <c r="AN50" s="157">
        <f t="shared" ref="AN50:AN117" si="24">AH50+AK50</f>
        <v>1.7070621967645116E-10</v>
      </c>
      <c r="AO50" s="162">
        <f t="shared" ref="AO50:AO117" si="25">AI50+AL50</f>
        <v>5.782278080460785E-2</v>
      </c>
    </row>
    <row r="51" spans="1:41" s="8" customFormat="1" ht="15" customHeight="1" x14ac:dyDescent="0.2">
      <c r="A51" s="68" t="s">
        <v>59</v>
      </c>
      <c r="B51" s="54" t="s">
        <v>16</v>
      </c>
      <c r="C51" s="51">
        <v>0.1</v>
      </c>
      <c r="D51" s="51" t="s">
        <v>2</v>
      </c>
      <c r="E51" s="62" t="s">
        <v>294</v>
      </c>
      <c r="F51" s="62">
        <v>0</v>
      </c>
      <c r="G51" s="51" t="s">
        <v>12</v>
      </c>
      <c r="H51" s="51">
        <v>0</v>
      </c>
      <c r="I51" s="69">
        <v>0</v>
      </c>
      <c r="J51" s="51">
        <v>0</v>
      </c>
      <c r="K51" s="51">
        <v>0</v>
      </c>
      <c r="L51" s="62">
        <v>0</v>
      </c>
      <c r="M51" s="51" t="s">
        <v>69</v>
      </c>
      <c r="N51" s="51" t="s">
        <v>7</v>
      </c>
      <c r="O51" s="69">
        <v>1.0000000000000002E-2</v>
      </c>
      <c r="P51" s="51" t="s">
        <v>2</v>
      </c>
      <c r="Q51" s="51">
        <v>0</v>
      </c>
      <c r="R51" s="62">
        <v>0</v>
      </c>
      <c r="S51" s="62">
        <v>0</v>
      </c>
      <c r="T51" s="54" t="s">
        <v>17</v>
      </c>
      <c r="U51" s="127">
        <v>0</v>
      </c>
      <c r="V51" s="115">
        <v>0</v>
      </c>
      <c r="W51" s="115">
        <v>0</v>
      </c>
      <c r="X51" s="115">
        <v>0</v>
      </c>
      <c r="Y51" s="115">
        <v>47</v>
      </c>
      <c r="Z51" s="115">
        <v>913</v>
      </c>
      <c r="AA51" s="132" t="s">
        <v>539</v>
      </c>
      <c r="AB51" s="27">
        <f t="shared" si="12"/>
        <v>0</v>
      </c>
      <c r="AC51" s="29">
        <f t="shared" si="13"/>
        <v>2.0790000000000007E-4</v>
      </c>
      <c r="AD51" s="135">
        <f t="shared" si="14"/>
        <v>0</v>
      </c>
      <c r="AE51" s="135">
        <f t="shared" si="15"/>
        <v>0</v>
      </c>
      <c r="AF51" s="24">
        <f t="shared" si="16"/>
        <v>0.18981270000000006</v>
      </c>
      <c r="AG51" s="24">
        <f t="shared" si="17"/>
        <v>0</v>
      </c>
      <c r="AH51" s="24">
        <f t="shared" si="18"/>
        <v>0</v>
      </c>
      <c r="AI51" s="24">
        <f t="shared" si="19"/>
        <v>0</v>
      </c>
      <c r="AJ51" s="24">
        <f t="shared" si="20"/>
        <v>0</v>
      </c>
      <c r="AK51" s="24">
        <f t="shared" si="21"/>
        <v>0</v>
      </c>
      <c r="AL51" s="24">
        <f t="shared" si="22"/>
        <v>0.18981270000000006</v>
      </c>
      <c r="AM51" s="161">
        <f t="shared" si="23"/>
        <v>0</v>
      </c>
      <c r="AN51" s="157">
        <f t="shared" si="24"/>
        <v>0</v>
      </c>
      <c r="AO51" s="162">
        <f t="shared" si="25"/>
        <v>0.18981270000000006</v>
      </c>
    </row>
    <row r="52" spans="1:41" s="8" customFormat="1" ht="15" customHeight="1" x14ac:dyDescent="0.2">
      <c r="A52" s="68" t="s">
        <v>59</v>
      </c>
      <c r="B52" s="54" t="s">
        <v>18</v>
      </c>
      <c r="C52" s="51">
        <v>0.05</v>
      </c>
      <c r="D52" s="51" t="s">
        <v>2</v>
      </c>
      <c r="E52" s="62" t="s">
        <v>294</v>
      </c>
      <c r="F52" s="62">
        <v>0</v>
      </c>
      <c r="G52" s="51" t="s">
        <v>12</v>
      </c>
      <c r="H52" s="51">
        <v>0</v>
      </c>
      <c r="I52" s="69">
        <v>0</v>
      </c>
      <c r="J52" s="51">
        <v>0</v>
      </c>
      <c r="K52" s="51">
        <v>0</v>
      </c>
      <c r="L52" s="62">
        <v>0</v>
      </c>
      <c r="M52" s="51" t="s">
        <v>18</v>
      </c>
      <c r="N52" s="51" t="s">
        <v>7</v>
      </c>
      <c r="O52" s="69">
        <v>5.000000000000001E-3</v>
      </c>
      <c r="P52" s="51" t="s">
        <v>2</v>
      </c>
      <c r="Q52" s="51">
        <v>0</v>
      </c>
      <c r="R52" s="62">
        <v>0</v>
      </c>
      <c r="S52" s="62">
        <v>0</v>
      </c>
      <c r="T52" s="54" t="s">
        <v>14</v>
      </c>
      <c r="U52" s="127">
        <v>0</v>
      </c>
      <c r="V52" s="115">
        <v>0</v>
      </c>
      <c r="W52" s="115">
        <v>0</v>
      </c>
      <c r="X52" s="115">
        <v>0</v>
      </c>
      <c r="Y52" s="115">
        <v>109.72</v>
      </c>
      <c r="Z52" s="115">
        <v>110</v>
      </c>
      <c r="AA52" s="132" t="s">
        <v>539</v>
      </c>
      <c r="AB52" s="27">
        <f t="shared" si="12"/>
        <v>0</v>
      </c>
      <c r="AC52" s="29">
        <f t="shared" si="13"/>
        <v>1.0395000000000003E-4</v>
      </c>
      <c r="AD52" s="135">
        <f t="shared" si="14"/>
        <v>0</v>
      </c>
      <c r="AE52" s="135">
        <f t="shared" si="15"/>
        <v>0</v>
      </c>
      <c r="AF52" s="24">
        <f t="shared" si="16"/>
        <v>1.1434500000000004E-2</v>
      </c>
      <c r="AG52" s="24">
        <f t="shared" si="17"/>
        <v>0</v>
      </c>
      <c r="AH52" s="24">
        <f t="shared" si="18"/>
        <v>0</v>
      </c>
      <c r="AI52" s="24">
        <f t="shared" si="19"/>
        <v>0</v>
      </c>
      <c r="AJ52" s="24">
        <f t="shared" si="20"/>
        <v>0</v>
      </c>
      <c r="AK52" s="24">
        <f t="shared" si="21"/>
        <v>0</v>
      </c>
      <c r="AL52" s="24">
        <f t="shared" si="22"/>
        <v>1.1434500000000004E-2</v>
      </c>
      <c r="AM52" s="161">
        <f t="shared" si="23"/>
        <v>0</v>
      </c>
      <c r="AN52" s="157">
        <f t="shared" si="24"/>
        <v>0</v>
      </c>
      <c r="AO52" s="162">
        <f t="shared" si="25"/>
        <v>1.1434500000000004E-2</v>
      </c>
    </row>
    <row r="53" spans="1:41" s="8" customFormat="1" ht="15" customHeight="1" x14ac:dyDescent="0.2">
      <c r="A53" s="68" t="s">
        <v>59</v>
      </c>
      <c r="B53" s="50" t="s">
        <v>39</v>
      </c>
      <c r="C53" s="51">
        <v>0</v>
      </c>
      <c r="D53" s="51">
        <v>0</v>
      </c>
      <c r="E53" s="62" t="s">
        <v>1369</v>
      </c>
      <c r="F53" s="62">
        <v>0</v>
      </c>
      <c r="G53" s="51" t="s">
        <v>39</v>
      </c>
      <c r="H53" s="51" t="s">
        <v>6</v>
      </c>
      <c r="I53" s="69">
        <v>1.0000000000000001E-7</v>
      </c>
      <c r="J53" s="51" t="s">
        <v>2</v>
      </c>
      <c r="K53" s="54">
        <v>0</v>
      </c>
      <c r="L53" s="62">
        <v>0</v>
      </c>
      <c r="M53" s="51" t="s">
        <v>39</v>
      </c>
      <c r="N53" s="51" t="s">
        <v>7</v>
      </c>
      <c r="O53" s="69">
        <v>1.0000000000000001E-5</v>
      </c>
      <c r="P53" s="51" t="s">
        <v>2</v>
      </c>
      <c r="Q53" s="54" t="s">
        <v>295</v>
      </c>
      <c r="R53" s="62">
        <v>0</v>
      </c>
      <c r="S53" s="62">
        <v>0</v>
      </c>
      <c r="T53" s="54" t="s">
        <v>60</v>
      </c>
      <c r="U53" s="127">
        <v>1.0252176328593382E-6</v>
      </c>
      <c r="V53" s="115">
        <v>0</v>
      </c>
      <c r="W53" s="115">
        <v>8.6533271568247147E-7</v>
      </c>
      <c r="X53" s="115">
        <v>0</v>
      </c>
      <c r="Y53" s="115">
        <v>0.65406517859613422</v>
      </c>
      <c r="Z53" s="115">
        <v>11.248588270889815</v>
      </c>
      <c r="AA53" s="132" t="s">
        <v>537</v>
      </c>
      <c r="AB53" s="27">
        <f>$C$19*I53</f>
        <v>2.0790000000000004E-9</v>
      </c>
      <c r="AC53" s="29">
        <f t="shared" si="13"/>
        <v>2.0790000000000006E-7</v>
      </c>
      <c r="AD53" s="135">
        <f t="shared" si="14"/>
        <v>1.8203409904910043E-13</v>
      </c>
      <c r="AE53" s="135">
        <f t="shared" si="15"/>
        <v>0</v>
      </c>
      <c r="AF53" s="24">
        <f t="shared" si="16"/>
        <v>2.3399413030242949E-6</v>
      </c>
      <c r="AG53" s="24">
        <f t="shared" si="17"/>
        <v>2.1314274587145642E-15</v>
      </c>
      <c r="AH53" s="24">
        <f t="shared" si="18"/>
        <v>0</v>
      </c>
      <c r="AI53" s="24">
        <f t="shared" si="19"/>
        <v>1.3598015063013633E-9</v>
      </c>
      <c r="AJ53" s="24">
        <f t="shared" si="20"/>
        <v>1.7990267159038588E-13</v>
      </c>
      <c r="AK53" s="24">
        <f t="shared" si="21"/>
        <v>0</v>
      </c>
      <c r="AL53" s="24">
        <f t="shared" si="22"/>
        <v>2.3385815015179933E-6</v>
      </c>
      <c r="AM53" s="161">
        <f t="shared" si="23"/>
        <v>1.8203409904910043E-13</v>
      </c>
      <c r="AN53" s="157">
        <f t="shared" si="24"/>
        <v>0</v>
      </c>
      <c r="AO53" s="162">
        <f t="shared" si="25"/>
        <v>2.3399413030242949E-6</v>
      </c>
    </row>
    <row r="54" spans="1:41" s="8" customFormat="1" ht="15" customHeight="1" x14ac:dyDescent="0.2">
      <c r="A54" s="68" t="s">
        <v>59</v>
      </c>
      <c r="B54" s="54" t="s">
        <v>87</v>
      </c>
      <c r="C54" s="51">
        <v>0</v>
      </c>
      <c r="D54" s="51">
        <v>0</v>
      </c>
      <c r="E54" s="62" t="s">
        <v>1370</v>
      </c>
      <c r="F54" s="62">
        <v>0</v>
      </c>
      <c r="G54" s="51" t="s">
        <v>3</v>
      </c>
      <c r="H54" s="51" t="s">
        <v>6</v>
      </c>
      <c r="I54" s="69">
        <v>1.0000000000000001E-7</v>
      </c>
      <c r="J54" s="51" t="s">
        <v>2</v>
      </c>
      <c r="K54" s="51">
        <v>0</v>
      </c>
      <c r="L54" s="62">
        <v>0</v>
      </c>
      <c r="M54" s="51" t="s">
        <v>3</v>
      </c>
      <c r="N54" s="51" t="s">
        <v>7</v>
      </c>
      <c r="O54" s="69">
        <v>1.0000000000000002E-6</v>
      </c>
      <c r="P54" s="51" t="s">
        <v>2</v>
      </c>
      <c r="Q54" s="51" t="s">
        <v>1371</v>
      </c>
      <c r="R54" s="62">
        <v>0</v>
      </c>
      <c r="S54" s="62">
        <v>0</v>
      </c>
      <c r="T54" s="54" t="s">
        <v>28</v>
      </c>
      <c r="U54" s="127">
        <v>2.5208446330720887E-5</v>
      </c>
      <c r="V54" s="115">
        <v>2.6504960021309262E-7</v>
      </c>
      <c r="W54" s="115">
        <v>1.4222228897488039E-7</v>
      </c>
      <c r="X54" s="115">
        <v>3.170874313501273E-7</v>
      </c>
      <c r="Y54" s="115">
        <v>17.989178582912412</v>
      </c>
      <c r="Z54" s="115">
        <v>290.05086067463066</v>
      </c>
      <c r="AA54" s="132" t="s">
        <v>537</v>
      </c>
      <c r="AB54" s="27">
        <f t="shared" si="12"/>
        <v>2.0790000000000004E-9</v>
      </c>
      <c r="AC54" s="29">
        <f t="shared" si="13"/>
        <v>2.0790000000000006E-8</v>
      </c>
      <c r="AD54" s="135">
        <f t="shared" si="14"/>
        <v>5.5365161309356501E-14</v>
      </c>
      <c r="AE54" s="135">
        <f t="shared" si="15"/>
        <v>7.1432858166121691E-15</v>
      </c>
      <c r="AF54" s="24">
        <f t="shared" si="16"/>
        <v>6.0675568956994478E-6</v>
      </c>
      <c r="AG54" s="24">
        <f t="shared" si="17"/>
        <v>5.2408359921568735E-14</v>
      </c>
      <c r="AH54" s="24">
        <f t="shared" si="18"/>
        <v>5.5103811884301964E-16</v>
      </c>
      <c r="AI54" s="24">
        <f t="shared" si="19"/>
        <v>3.7399502273874912E-8</v>
      </c>
      <c r="AJ54" s="24">
        <f t="shared" si="20"/>
        <v>2.9568013877877642E-15</v>
      </c>
      <c r="AK54" s="24">
        <f t="shared" si="21"/>
        <v>6.5922476977691489E-15</v>
      </c>
      <c r="AL54" s="24">
        <f t="shared" si="22"/>
        <v>6.0301573934255733E-6</v>
      </c>
      <c r="AM54" s="161">
        <f t="shared" si="23"/>
        <v>5.5365161309356501E-14</v>
      </c>
      <c r="AN54" s="157">
        <f t="shared" si="24"/>
        <v>7.1432858166121691E-15</v>
      </c>
      <c r="AO54" s="162">
        <f t="shared" si="25"/>
        <v>6.0675568956994478E-6</v>
      </c>
    </row>
    <row r="55" spans="1:41" s="8" customFormat="1" ht="15" customHeight="1" x14ac:dyDescent="0.2">
      <c r="A55" s="70" t="s">
        <v>308</v>
      </c>
      <c r="B55" s="53" t="s">
        <v>19</v>
      </c>
      <c r="C55" s="74">
        <v>0.3</v>
      </c>
      <c r="D55" s="51" t="s">
        <v>2</v>
      </c>
      <c r="E55" s="62" t="s">
        <v>294</v>
      </c>
      <c r="F55" s="62">
        <v>0</v>
      </c>
      <c r="G55" s="51" t="s">
        <v>65</v>
      </c>
      <c r="H55" s="54" t="s">
        <v>6</v>
      </c>
      <c r="I55" s="69">
        <v>2.9999999999999997E-4</v>
      </c>
      <c r="J55" s="51">
        <v>0</v>
      </c>
      <c r="K55" s="51">
        <v>0</v>
      </c>
      <c r="L55" s="62">
        <v>0</v>
      </c>
      <c r="M55" s="51" t="s">
        <v>65</v>
      </c>
      <c r="N55" s="51" t="s">
        <v>7</v>
      </c>
      <c r="O55" s="69">
        <v>0.03</v>
      </c>
      <c r="P55" s="51" t="s">
        <v>2</v>
      </c>
      <c r="Q55" s="51">
        <v>0</v>
      </c>
      <c r="R55" s="62">
        <v>0</v>
      </c>
      <c r="S55" s="62">
        <v>0</v>
      </c>
      <c r="T55" s="54" t="s">
        <v>20</v>
      </c>
      <c r="U55" s="127">
        <v>0</v>
      </c>
      <c r="V55" s="115">
        <v>2.5624272316803493E-8</v>
      </c>
      <c r="W55" s="115">
        <v>0</v>
      </c>
      <c r="X55" s="115">
        <v>6.1179997974786175E-9</v>
      </c>
      <c r="Y55" s="115">
        <v>95.727827940780713</v>
      </c>
      <c r="Z55" s="115">
        <v>451.93033608164546</v>
      </c>
      <c r="AA55" s="132" t="s">
        <v>538</v>
      </c>
      <c r="AB55" s="27">
        <f>$C$20*I55</f>
        <v>1.6631999999999996E-6</v>
      </c>
      <c r="AC55" s="29">
        <f>$C$20*O55</f>
        <v>1.6631999999999997E-4</v>
      </c>
      <c r="AD55" s="135">
        <f t="shared" si="14"/>
        <v>0</v>
      </c>
      <c r="AE55" s="135">
        <f t="shared" si="15"/>
        <v>1.0601640160339511E-12</v>
      </c>
      <c r="AF55" s="24">
        <f t="shared" si="16"/>
        <v>7.5324268020530369E-2</v>
      </c>
      <c r="AG55" s="24">
        <f t="shared" si="17"/>
        <v>0</v>
      </c>
      <c r="AH55" s="24">
        <f t="shared" si="18"/>
        <v>4.2618289717307559E-14</v>
      </c>
      <c r="AI55" s="24">
        <f t="shared" si="19"/>
        <v>1.5921452343110645E-4</v>
      </c>
      <c r="AJ55" s="24">
        <f t="shared" si="20"/>
        <v>0</v>
      </c>
      <c r="AK55" s="24">
        <f t="shared" si="21"/>
        <v>1.0175457263166435E-12</v>
      </c>
      <c r="AL55" s="24">
        <f t="shared" si="22"/>
        <v>7.516505349709926E-2</v>
      </c>
      <c r="AM55" s="161">
        <f t="shared" si="23"/>
        <v>0</v>
      </c>
      <c r="AN55" s="157">
        <f t="shared" si="24"/>
        <v>1.0601640160339511E-12</v>
      </c>
      <c r="AO55" s="162">
        <f t="shared" si="25"/>
        <v>7.5324268020530369E-2</v>
      </c>
    </row>
    <row r="56" spans="1:41" s="8" customFormat="1" ht="15" customHeight="1" x14ac:dyDescent="0.2">
      <c r="A56" s="68" t="s">
        <v>75</v>
      </c>
      <c r="B56" s="54" t="s">
        <v>66</v>
      </c>
      <c r="C56" s="51">
        <v>0.05</v>
      </c>
      <c r="D56" s="51" t="s">
        <v>2</v>
      </c>
      <c r="E56" s="62" t="s">
        <v>294</v>
      </c>
      <c r="F56" s="62">
        <v>0</v>
      </c>
      <c r="G56" s="54" t="s">
        <v>12</v>
      </c>
      <c r="H56" s="51">
        <v>0</v>
      </c>
      <c r="I56" s="69">
        <v>0</v>
      </c>
      <c r="J56" s="51">
        <v>0</v>
      </c>
      <c r="K56" s="51">
        <v>0</v>
      </c>
      <c r="L56" s="62">
        <v>0</v>
      </c>
      <c r="M56" s="51" t="s">
        <v>66</v>
      </c>
      <c r="N56" s="51" t="s">
        <v>7</v>
      </c>
      <c r="O56" s="69">
        <v>5.000000000000001E-3</v>
      </c>
      <c r="P56" s="51" t="s">
        <v>2</v>
      </c>
      <c r="Q56" s="51">
        <v>0</v>
      </c>
      <c r="R56" s="62">
        <v>0</v>
      </c>
      <c r="S56" s="62">
        <v>0</v>
      </c>
      <c r="T56" s="54" t="s">
        <v>61</v>
      </c>
      <c r="U56" s="128">
        <v>0</v>
      </c>
      <c r="V56" s="115">
        <v>3.4962401965755862E-5</v>
      </c>
      <c r="W56" s="125">
        <v>0</v>
      </c>
      <c r="X56" s="115">
        <v>1.4442852689626513E-7</v>
      </c>
      <c r="Y56" s="115">
        <v>1.7253896630384493</v>
      </c>
      <c r="Z56" s="115">
        <v>5.4794308572283885</v>
      </c>
      <c r="AA56" s="132" t="s">
        <v>538</v>
      </c>
      <c r="AB56" s="27">
        <f>$C$21*I56</f>
        <v>0</v>
      </c>
      <c r="AC56" s="29">
        <f>$C$21*O56</f>
        <v>2.0790000000000003E-6</v>
      </c>
      <c r="AD56" s="135">
        <f t="shared" si="14"/>
        <v>0</v>
      </c>
      <c r="AE56" s="135">
        <f t="shared" si="15"/>
        <v>3.0026690741733524E-13</v>
      </c>
      <c r="AF56" s="24">
        <f t="shared" si="16"/>
        <v>1.1391736752177822E-5</v>
      </c>
      <c r="AG56" s="24">
        <f t="shared" si="17"/>
        <v>0</v>
      </c>
      <c r="AH56" s="24">
        <f t="shared" si="18"/>
        <v>0</v>
      </c>
      <c r="AI56" s="24">
        <f t="shared" si="19"/>
        <v>0</v>
      </c>
      <c r="AJ56" s="24">
        <f t="shared" si="20"/>
        <v>0</v>
      </c>
      <c r="AK56" s="24">
        <f t="shared" si="21"/>
        <v>3.0026690741733524E-13</v>
      </c>
      <c r="AL56" s="24">
        <f t="shared" si="22"/>
        <v>1.1391736752177822E-5</v>
      </c>
      <c r="AM56" s="161">
        <f t="shared" si="23"/>
        <v>0</v>
      </c>
      <c r="AN56" s="157">
        <f t="shared" si="24"/>
        <v>3.0026690741733524E-13</v>
      </c>
      <c r="AO56" s="162">
        <f t="shared" si="25"/>
        <v>1.1391736752177822E-5</v>
      </c>
    </row>
    <row r="57" spans="1:41" s="8" customFormat="1" ht="15" customHeight="1" x14ac:dyDescent="0.2">
      <c r="A57" s="68" t="s">
        <v>75</v>
      </c>
      <c r="B57" s="54" t="s">
        <v>5</v>
      </c>
      <c r="C57" s="51">
        <v>0.02</v>
      </c>
      <c r="D57" s="51" t="s">
        <v>2</v>
      </c>
      <c r="E57" s="62" t="s">
        <v>294</v>
      </c>
      <c r="F57" s="62">
        <v>0</v>
      </c>
      <c r="G57" s="54" t="s">
        <v>12</v>
      </c>
      <c r="H57" s="51">
        <v>0</v>
      </c>
      <c r="I57" s="69">
        <v>0</v>
      </c>
      <c r="J57" s="51">
        <v>0</v>
      </c>
      <c r="K57" s="51">
        <v>0</v>
      </c>
      <c r="L57" s="62">
        <v>0</v>
      </c>
      <c r="M57" s="51" t="s">
        <v>5</v>
      </c>
      <c r="N57" s="51" t="s">
        <v>7</v>
      </c>
      <c r="O57" s="69">
        <v>2E-3</v>
      </c>
      <c r="P57" s="51" t="s">
        <v>2</v>
      </c>
      <c r="Q57" s="51">
        <v>0</v>
      </c>
      <c r="R57" s="62">
        <v>0</v>
      </c>
      <c r="S57" s="62">
        <v>0</v>
      </c>
      <c r="T57" s="54" t="s">
        <v>25</v>
      </c>
      <c r="U57" s="127">
        <v>0</v>
      </c>
      <c r="V57" s="115">
        <v>0</v>
      </c>
      <c r="W57" s="115">
        <v>0</v>
      </c>
      <c r="X57" s="115">
        <v>0</v>
      </c>
      <c r="Y57" s="115">
        <v>164.24</v>
      </c>
      <c r="Z57" s="115">
        <v>400.09</v>
      </c>
      <c r="AA57" s="132" t="s">
        <v>539</v>
      </c>
      <c r="AB57" s="27">
        <f t="shared" ref="AB57:AB60" si="26">$C$21*I57</f>
        <v>0</v>
      </c>
      <c r="AC57" s="29">
        <f t="shared" ref="AC57:AC60" si="27">$C$21*O57</f>
        <v>8.3160000000000001E-7</v>
      </c>
      <c r="AD57" s="135">
        <f t="shared" si="14"/>
        <v>0</v>
      </c>
      <c r="AE57" s="135">
        <f t="shared" si="15"/>
        <v>0</v>
      </c>
      <c r="AF57" s="24">
        <f t="shared" si="16"/>
        <v>3.32714844E-4</v>
      </c>
      <c r="AG57" s="24">
        <f t="shared" si="17"/>
        <v>0</v>
      </c>
      <c r="AH57" s="24">
        <f t="shared" si="18"/>
        <v>0</v>
      </c>
      <c r="AI57" s="24">
        <f t="shared" si="19"/>
        <v>0</v>
      </c>
      <c r="AJ57" s="24">
        <f t="shared" si="20"/>
        <v>0</v>
      </c>
      <c r="AK57" s="24">
        <f t="shared" si="21"/>
        <v>0</v>
      </c>
      <c r="AL57" s="24">
        <f t="shared" si="22"/>
        <v>3.32714844E-4</v>
      </c>
      <c r="AM57" s="161">
        <f t="shared" si="23"/>
        <v>0</v>
      </c>
      <c r="AN57" s="157">
        <f t="shared" si="24"/>
        <v>0</v>
      </c>
      <c r="AO57" s="162">
        <f t="shared" si="25"/>
        <v>3.32714844E-4</v>
      </c>
    </row>
    <row r="58" spans="1:41" s="8" customFormat="1" ht="15" customHeight="1" x14ac:dyDescent="0.2">
      <c r="A58" s="68" t="s">
        <v>75</v>
      </c>
      <c r="B58" s="54" t="s">
        <v>76</v>
      </c>
      <c r="C58" s="51">
        <v>1E-3</v>
      </c>
      <c r="D58" s="51" t="s">
        <v>2</v>
      </c>
      <c r="E58" s="62" t="s">
        <v>294</v>
      </c>
      <c r="F58" s="62">
        <v>0</v>
      </c>
      <c r="G58" s="54" t="s">
        <v>12</v>
      </c>
      <c r="H58" s="51">
        <v>0</v>
      </c>
      <c r="I58" s="69">
        <v>0</v>
      </c>
      <c r="J58" s="51">
        <v>0</v>
      </c>
      <c r="K58" s="51">
        <v>0</v>
      </c>
      <c r="L58" s="62">
        <v>0</v>
      </c>
      <c r="M58" s="51" t="s">
        <v>72</v>
      </c>
      <c r="N58" s="51" t="s">
        <v>7</v>
      </c>
      <c r="O58" s="69">
        <v>1E-4</v>
      </c>
      <c r="P58" s="51" t="s">
        <v>2</v>
      </c>
      <c r="Q58" s="51">
        <v>0</v>
      </c>
      <c r="R58" s="62">
        <v>0</v>
      </c>
      <c r="S58" s="62">
        <v>0</v>
      </c>
      <c r="T58" s="54" t="s">
        <v>81</v>
      </c>
      <c r="U58" s="127">
        <v>0</v>
      </c>
      <c r="V58" s="115">
        <v>0</v>
      </c>
      <c r="W58" s="115">
        <v>0</v>
      </c>
      <c r="X58" s="115">
        <v>0</v>
      </c>
      <c r="Y58" s="115">
        <v>306.24811854656059</v>
      </c>
      <c r="Z58" s="115">
        <v>2239.9292193792821</v>
      </c>
      <c r="AA58" s="132" t="s">
        <v>537</v>
      </c>
      <c r="AB58" s="27">
        <f t="shared" si="26"/>
        <v>0</v>
      </c>
      <c r="AC58" s="29">
        <f t="shared" si="27"/>
        <v>4.1579999999999999E-8</v>
      </c>
      <c r="AD58" s="135">
        <f t="shared" si="14"/>
        <v>0</v>
      </c>
      <c r="AE58" s="135">
        <f t="shared" si="15"/>
        <v>0</v>
      </c>
      <c r="AF58" s="24">
        <f t="shared" si="16"/>
        <v>9.3136256941790555E-5</v>
      </c>
      <c r="AG58" s="24">
        <f t="shared" si="17"/>
        <v>0</v>
      </c>
      <c r="AH58" s="24">
        <f t="shared" si="18"/>
        <v>0</v>
      </c>
      <c r="AI58" s="24">
        <f t="shared" si="19"/>
        <v>0</v>
      </c>
      <c r="AJ58" s="24">
        <f t="shared" si="20"/>
        <v>0</v>
      </c>
      <c r="AK58" s="24">
        <f t="shared" si="21"/>
        <v>0</v>
      </c>
      <c r="AL58" s="24">
        <f t="shared" si="22"/>
        <v>9.3136256941790555E-5</v>
      </c>
      <c r="AM58" s="161">
        <f t="shared" si="23"/>
        <v>0</v>
      </c>
      <c r="AN58" s="157">
        <f t="shared" si="24"/>
        <v>0</v>
      </c>
      <c r="AO58" s="162">
        <f t="shared" si="25"/>
        <v>9.3136256941790555E-5</v>
      </c>
    </row>
    <row r="59" spans="1:41" s="8" customFormat="1" ht="15" customHeight="1" x14ac:dyDescent="0.2">
      <c r="A59" s="68" t="s">
        <v>75</v>
      </c>
      <c r="B59" s="54" t="s">
        <v>77</v>
      </c>
      <c r="C59" s="51">
        <v>1E-3</v>
      </c>
      <c r="D59" s="51" t="s">
        <v>2</v>
      </c>
      <c r="E59" s="62" t="s">
        <v>294</v>
      </c>
      <c r="F59" s="62">
        <v>0</v>
      </c>
      <c r="G59" s="54" t="s">
        <v>12</v>
      </c>
      <c r="H59" s="51">
        <v>0</v>
      </c>
      <c r="I59" s="69">
        <v>0</v>
      </c>
      <c r="J59" s="51">
        <v>0</v>
      </c>
      <c r="K59" s="51">
        <v>0</v>
      </c>
      <c r="L59" s="62">
        <v>0</v>
      </c>
      <c r="M59" s="51" t="s">
        <v>71</v>
      </c>
      <c r="N59" s="51" t="s">
        <v>7</v>
      </c>
      <c r="O59" s="69">
        <v>1E-4</v>
      </c>
      <c r="P59" s="51" t="s">
        <v>2</v>
      </c>
      <c r="Q59" s="54">
        <v>0</v>
      </c>
      <c r="R59" s="62">
        <v>0</v>
      </c>
      <c r="S59" s="62">
        <v>0</v>
      </c>
      <c r="T59" s="54" t="s">
        <v>95</v>
      </c>
      <c r="U59" s="127">
        <v>0</v>
      </c>
      <c r="V59" s="115">
        <v>0</v>
      </c>
      <c r="W59" s="115">
        <v>0</v>
      </c>
      <c r="X59" s="115">
        <v>0</v>
      </c>
      <c r="Y59" s="115">
        <v>6089.5109426939807</v>
      </c>
      <c r="Z59" s="115">
        <v>54476.932420915044</v>
      </c>
      <c r="AA59" s="132" t="s">
        <v>537</v>
      </c>
      <c r="AB59" s="27">
        <f t="shared" si="26"/>
        <v>0</v>
      </c>
      <c r="AC59" s="29">
        <f t="shared" si="27"/>
        <v>4.1579999999999999E-8</v>
      </c>
      <c r="AD59" s="135">
        <f t="shared" si="14"/>
        <v>0</v>
      </c>
      <c r="AE59" s="135">
        <f t="shared" si="15"/>
        <v>0</v>
      </c>
      <c r="AF59" s="24">
        <f t="shared" si="16"/>
        <v>2.2651508500616474E-3</v>
      </c>
      <c r="AG59" s="24">
        <f t="shared" si="17"/>
        <v>0</v>
      </c>
      <c r="AH59" s="24">
        <f t="shared" si="18"/>
        <v>0</v>
      </c>
      <c r="AI59" s="24">
        <f t="shared" si="19"/>
        <v>0</v>
      </c>
      <c r="AJ59" s="24">
        <f t="shared" si="20"/>
        <v>0</v>
      </c>
      <c r="AK59" s="24">
        <f t="shared" si="21"/>
        <v>0</v>
      </c>
      <c r="AL59" s="24">
        <f t="shared" si="22"/>
        <v>2.2651508500616474E-3</v>
      </c>
      <c r="AM59" s="161">
        <f t="shared" si="23"/>
        <v>0</v>
      </c>
      <c r="AN59" s="157">
        <f t="shared" si="24"/>
        <v>0</v>
      </c>
      <c r="AO59" s="162">
        <f t="shared" si="25"/>
        <v>2.2651508500616474E-3</v>
      </c>
    </row>
    <row r="60" spans="1:41" s="8" customFormat="1" ht="15" customHeight="1" x14ac:dyDescent="0.2">
      <c r="A60" s="68" t="s">
        <v>75</v>
      </c>
      <c r="B60" s="54" t="s">
        <v>70</v>
      </c>
      <c r="C60" s="51">
        <v>1E-3</v>
      </c>
      <c r="D60" s="51" t="s">
        <v>2</v>
      </c>
      <c r="E60" s="62" t="s">
        <v>294</v>
      </c>
      <c r="F60" s="62">
        <v>0</v>
      </c>
      <c r="G60" s="54" t="s">
        <v>12</v>
      </c>
      <c r="H60" s="51">
        <v>0</v>
      </c>
      <c r="I60" s="69">
        <v>0</v>
      </c>
      <c r="J60" s="51">
        <v>0</v>
      </c>
      <c r="K60" s="51">
        <v>0</v>
      </c>
      <c r="L60" s="62">
        <v>0</v>
      </c>
      <c r="M60" s="51" t="s">
        <v>70</v>
      </c>
      <c r="N60" s="51" t="s">
        <v>7</v>
      </c>
      <c r="O60" s="69">
        <v>1E-4</v>
      </c>
      <c r="P60" s="51" t="s">
        <v>2</v>
      </c>
      <c r="Q60" s="51">
        <v>0</v>
      </c>
      <c r="R60" s="62">
        <v>0</v>
      </c>
      <c r="S60" s="62">
        <v>0</v>
      </c>
      <c r="T60" s="54" t="s">
        <v>96</v>
      </c>
      <c r="U60" s="127">
        <v>0</v>
      </c>
      <c r="V60" s="115">
        <v>0</v>
      </c>
      <c r="W60" s="115">
        <v>0</v>
      </c>
      <c r="X60" s="115">
        <v>0</v>
      </c>
      <c r="Y60" s="115">
        <v>15653.997644153058</v>
      </c>
      <c r="Z60" s="115">
        <v>184815.26625319294</v>
      </c>
      <c r="AA60" s="132" t="s">
        <v>537</v>
      </c>
      <c r="AB60" s="27">
        <f t="shared" si="26"/>
        <v>0</v>
      </c>
      <c r="AC60" s="29">
        <f t="shared" si="27"/>
        <v>4.1579999999999999E-8</v>
      </c>
      <c r="AD60" s="135">
        <f t="shared" si="14"/>
        <v>0</v>
      </c>
      <c r="AE60" s="135">
        <f t="shared" si="15"/>
        <v>0</v>
      </c>
      <c r="AF60" s="24">
        <f t="shared" si="16"/>
        <v>7.6846187708077621E-3</v>
      </c>
      <c r="AG60" s="24">
        <f t="shared" si="17"/>
        <v>0</v>
      </c>
      <c r="AH60" s="24">
        <f t="shared" si="18"/>
        <v>0</v>
      </c>
      <c r="AI60" s="24">
        <f t="shared" si="19"/>
        <v>0</v>
      </c>
      <c r="AJ60" s="24">
        <f t="shared" si="20"/>
        <v>0</v>
      </c>
      <c r="AK60" s="24">
        <f t="shared" si="21"/>
        <v>0</v>
      </c>
      <c r="AL60" s="24">
        <f t="shared" si="22"/>
        <v>7.6846187708077621E-3</v>
      </c>
      <c r="AM60" s="161">
        <f t="shared" si="23"/>
        <v>0</v>
      </c>
      <c r="AN60" s="157">
        <f t="shared" si="24"/>
        <v>0</v>
      </c>
      <c r="AO60" s="162">
        <f t="shared" si="25"/>
        <v>7.6846187708077621E-3</v>
      </c>
    </row>
    <row r="61" spans="1:41" s="8" customFormat="1" ht="15" customHeight="1" x14ac:dyDescent="0.2">
      <c r="A61" s="68" t="s">
        <v>55</v>
      </c>
      <c r="B61" s="54" t="s">
        <v>79</v>
      </c>
      <c r="C61" s="74">
        <v>1</v>
      </c>
      <c r="D61" s="51" t="s">
        <v>2</v>
      </c>
      <c r="E61" s="64">
        <v>1</v>
      </c>
      <c r="F61" s="64">
        <v>0</v>
      </c>
      <c r="G61" s="51" t="s">
        <v>12</v>
      </c>
      <c r="H61" s="51">
        <v>0</v>
      </c>
      <c r="I61" s="69">
        <v>0</v>
      </c>
      <c r="J61" s="51">
        <v>0</v>
      </c>
      <c r="K61" s="51" t="s">
        <v>297</v>
      </c>
      <c r="L61" s="64">
        <v>0</v>
      </c>
      <c r="M61" s="51" t="s">
        <v>79</v>
      </c>
      <c r="N61" s="51" t="s">
        <v>7</v>
      </c>
      <c r="O61" s="69">
        <v>0.1</v>
      </c>
      <c r="P61" s="51" t="s">
        <v>2</v>
      </c>
      <c r="Q61" s="51">
        <v>0</v>
      </c>
      <c r="R61" s="64">
        <v>0</v>
      </c>
      <c r="S61" s="64">
        <v>0</v>
      </c>
      <c r="T61" s="54" t="s">
        <v>80</v>
      </c>
      <c r="U61" s="127">
        <v>0</v>
      </c>
      <c r="V61" s="115">
        <v>0</v>
      </c>
      <c r="W61" s="115">
        <v>0</v>
      </c>
      <c r="X61" s="115">
        <v>0</v>
      </c>
      <c r="Y61" s="115">
        <v>31</v>
      </c>
      <c r="Z61" s="115">
        <v>73.7</v>
      </c>
      <c r="AA61" s="132" t="s">
        <v>539</v>
      </c>
      <c r="AB61" s="27">
        <f>$C$22*I61</f>
        <v>0</v>
      </c>
      <c r="AC61" s="29">
        <f>$C$22*O61</f>
        <v>6.929999999999999E-5</v>
      </c>
      <c r="AD61" s="135">
        <f t="shared" si="14"/>
        <v>0</v>
      </c>
      <c r="AE61" s="135">
        <f t="shared" si="15"/>
        <v>0</v>
      </c>
      <c r="AF61" s="24">
        <f t="shared" si="16"/>
        <v>5.1074099999999997E-3</v>
      </c>
      <c r="AG61" s="24">
        <f t="shared" si="17"/>
        <v>0</v>
      </c>
      <c r="AH61" s="24">
        <f t="shared" si="18"/>
        <v>0</v>
      </c>
      <c r="AI61" s="24">
        <f t="shared" si="19"/>
        <v>0</v>
      </c>
      <c r="AJ61" s="24">
        <f t="shared" si="20"/>
        <v>0</v>
      </c>
      <c r="AK61" s="24">
        <f t="shared" si="21"/>
        <v>0</v>
      </c>
      <c r="AL61" s="24">
        <f t="shared" si="22"/>
        <v>5.1074099999999997E-3</v>
      </c>
      <c r="AM61" s="161">
        <f t="shared" si="23"/>
        <v>0</v>
      </c>
      <c r="AN61" s="157">
        <f t="shared" si="24"/>
        <v>0</v>
      </c>
      <c r="AO61" s="162">
        <f t="shared" si="25"/>
        <v>5.1074099999999997E-3</v>
      </c>
    </row>
    <row r="62" spans="1:41" s="8" customFormat="1" ht="15" customHeight="1" x14ac:dyDescent="0.2">
      <c r="A62" s="73" t="s">
        <v>429</v>
      </c>
      <c r="B62" s="54" t="s">
        <v>0</v>
      </c>
      <c r="C62" s="74">
        <v>1</v>
      </c>
      <c r="D62" s="51" t="s">
        <v>2</v>
      </c>
      <c r="E62" s="64">
        <v>1</v>
      </c>
      <c r="F62" s="64">
        <v>0</v>
      </c>
      <c r="G62" s="54" t="s">
        <v>0</v>
      </c>
      <c r="H62" s="51" t="s">
        <v>6</v>
      </c>
      <c r="I62" s="69">
        <v>1E-3</v>
      </c>
      <c r="J62" s="51" t="s">
        <v>2</v>
      </c>
      <c r="K62" s="51">
        <v>0</v>
      </c>
      <c r="L62" s="64">
        <v>0</v>
      </c>
      <c r="M62" s="51" t="s">
        <v>0</v>
      </c>
      <c r="N62" s="51" t="s">
        <v>7</v>
      </c>
      <c r="O62" s="69">
        <v>0.1</v>
      </c>
      <c r="P62" s="51" t="s">
        <v>2</v>
      </c>
      <c r="Q62" s="51">
        <v>0</v>
      </c>
      <c r="R62" s="64">
        <v>0</v>
      </c>
      <c r="S62" s="64">
        <v>0</v>
      </c>
      <c r="T62" s="54" t="s">
        <v>21</v>
      </c>
      <c r="U62" s="127">
        <v>0</v>
      </c>
      <c r="V62" s="115">
        <v>0</v>
      </c>
      <c r="W62" s="115">
        <v>0</v>
      </c>
      <c r="X62" s="115">
        <v>0</v>
      </c>
      <c r="Y62" s="115">
        <v>2.8072892978694037</v>
      </c>
      <c r="Z62" s="115">
        <v>44.680467206809801</v>
      </c>
      <c r="AA62" s="132" t="s">
        <v>537</v>
      </c>
      <c r="AB62" s="27">
        <f>$C$23*I62</f>
        <v>4.1580000000000007E-6</v>
      </c>
      <c r="AC62" s="29">
        <f>$C$23*O62</f>
        <v>4.1580000000000002E-4</v>
      </c>
      <c r="AD62" s="135">
        <f t="shared" si="14"/>
        <v>0</v>
      </c>
      <c r="AE62" s="135">
        <f t="shared" si="15"/>
        <v>0</v>
      </c>
      <c r="AF62" s="24">
        <f t="shared" si="16"/>
        <v>1.8589810973492056E-2</v>
      </c>
      <c r="AG62" s="24">
        <f t="shared" si="17"/>
        <v>0</v>
      </c>
      <c r="AH62" s="24">
        <f t="shared" si="18"/>
        <v>0</v>
      </c>
      <c r="AI62" s="24">
        <f t="shared" si="19"/>
        <v>1.1672708900540982E-5</v>
      </c>
      <c r="AJ62" s="24">
        <f t="shared" si="20"/>
        <v>0</v>
      </c>
      <c r="AK62" s="24">
        <f t="shared" si="21"/>
        <v>0</v>
      </c>
      <c r="AL62" s="24">
        <f t="shared" si="22"/>
        <v>1.8578138264591516E-2</v>
      </c>
      <c r="AM62" s="161">
        <f t="shared" si="23"/>
        <v>0</v>
      </c>
      <c r="AN62" s="157">
        <f t="shared" si="24"/>
        <v>0</v>
      </c>
      <c r="AO62" s="162">
        <f t="shared" si="25"/>
        <v>1.8589810973492056E-2</v>
      </c>
    </row>
    <row r="63" spans="1:41" s="8" customFormat="1" ht="15" customHeight="1" x14ac:dyDescent="0.2">
      <c r="A63" s="68" t="s">
        <v>1049</v>
      </c>
      <c r="B63" s="54" t="s">
        <v>527</v>
      </c>
      <c r="C63" s="51">
        <v>0.6</v>
      </c>
      <c r="D63" s="51" t="s">
        <v>2</v>
      </c>
      <c r="E63" s="62" t="s">
        <v>294</v>
      </c>
      <c r="F63" s="62">
        <v>0</v>
      </c>
      <c r="G63" s="54" t="s">
        <v>12</v>
      </c>
      <c r="H63" s="51">
        <v>0</v>
      </c>
      <c r="I63" s="51">
        <v>0</v>
      </c>
      <c r="J63" s="51">
        <v>0</v>
      </c>
      <c r="K63" s="51">
        <v>0</v>
      </c>
      <c r="L63" s="62">
        <v>0</v>
      </c>
      <c r="M63" s="51" t="s">
        <v>68</v>
      </c>
      <c r="N63" s="51" t="s">
        <v>7</v>
      </c>
      <c r="O63" s="69">
        <v>0.06</v>
      </c>
      <c r="P63" s="51" t="s">
        <v>2</v>
      </c>
      <c r="Q63" s="51">
        <v>0</v>
      </c>
      <c r="R63" s="62">
        <v>0</v>
      </c>
      <c r="S63" s="62">
        <v>0</v>
      </c>
      <c r="T63" s="54" t="s">
        <v>526</v>
      </c>
      <c r="U63" s="127">
        <v>0</v>
      </c>
      <c r="V63" s="115">
        <v>1.6437731647150863E-6</v>
      </c>
      <c r="W63" s="115">
        <v>0</v>
      </c>
      <c r="X63" s="115">
        <v>9.8891167609639291E-6</v>
      </c>
      <c r="Y63" s="115">
        <v>25539.178143122717</v>
      </c>
      <c r="Z63" s="115">
        <v>766743.80504211958</v>
      </c>
      <c r="AA63" s="132" t="s">
        <v>538</v>
      </c>
      <c r="AB63" s="27">
        <f>$C$24*I63</f>
        <v>0</v>
      </c>
      <c r="AC63" s="29">
        <f>$C$24*O63</f>
        <v>1.6631999999999997E-4</v>
      </c>
      <c r="AD63" s="135">
        <f t="shared" si="14"/>
        <v>0</v>
      </c>
      <c r="AE63" s="135">
        <f t="shared" si="15"/>
        <v>1.6447578996835205E-9</v>
      </c>
      <c r="AF63" s="24">
        <f t="shared" si="16"/>
        <v>127.5248296546053</v>
      </c>
      <c r="AG63" s="24">
        <f t="shared" si="17"/>
        <v>0</v>
      </c>
      <c r="AH63" s="24">
        <f t="shared" si="18"/>
        <v>0</v>
      </c>
      <c r="AI63" s="24">
        <f t="shared" si="19"/>
        <v>0</v>
      </c>
      <c r="AJ63" s="24">
        <f t="shared" si="20"/>
        <v>0</v>
      </c>
      <c r="AK63" s="24">
        <f t="shared" si="21"/>
        <v>1.6447578996835205E-9</v>
      </c>
      <c r="AL63" s="24">
        <f t="shared" si="22"/>
        <v>127.5248296546053</v>
      </c>
      <c r="AM63" s="161">
        <f t="shared" si="23"/>
        <v>0</v>
      </c>
      <c r="AN63" s="157">
        <f t="shared" si="24"/>
        <v>1.6447578996835205E-9</v>
      </c>
      <c r="AO63" s="162">
        <f t="shared" si="25"/>
        <v>127.5248296546053</v>
      </c>
    </row>
    <row r="64" spans="1:41" s="8" customFormat="1" ht="15" customHeight="1" x14ac:dyDescent="0.2">
      <c r="A64" s="68" t="s">
        <v>1049</v>
      </c>
      <c r="B64" s="54" t="s">
        <v>84</v>
      </c>
      <c r="C64" s="51">
        <v>0.2</v>
      </c>
      <c r="D64" s="51" t="s">
        <v>2</v>
      </c>
      <c r="E64" s="62" t="s">
        <v>294</v>
      </c>
      <c r="F64" s="62">
        <v>0</v>
      </c>
      <c r="G64" s="51" t="s">
        <v>84</v>
      </c>
      <c r="H64" s="51" t="s">
        <v>6</v>
      </c>
      <c r="I64" s="69">
        <v>2.0000000000000001E-4</v>
      </c>
      <c r="J64" s="51" t="s">
        <v>2</v>
      </c>
      <c r="K64" s="51">
        <v>0</v>
      </c>
      <c r="L64" s="62">
        <v>0</v>
      </c>
      <c r="M64" s="51" t="s">
        <v>73</v>
      </c>
      <c r="N64" s="51" t="s">
        <v>7</v>
      </c>
      <c r="O64" s="69">
        <v>2.0000000000000004E-2</v>
      </c>
      <c r="P64" s="51" t="s">
        <v>2</v>
      </c>
      <c r="Q64" s="51">
        <v>0</v>
      </c>
      <c r="R64" s="62">
        <v>0</v>
      </c>
      <c r="S64" s="62">
        <v>0</v>
      </c>
      <c r="T64" s="54" t="s">
        <v>62</v>
      </c>
      <c r="U64" s="127">
        <v>3.1027213023718394E-8</v>
      </c>
      <c r="V64" s="115">
        <v>0</v>
      </c>
      <c r="W64" s="115">
        <v>1.7206281348183625E-8</v>
      </c>
      <c r="X64" s="116">
        <v>0</v>
      </c>
      <c r="Y64" s="115">
        <v>2.6323079574736696</v>
      </c>
      <c r="Z64" s="115">
        <v>191.63613931032927</v>
      </c>
      <c r="AA64" s="132" t="s">
        <v>537</v>
      </c>
      <c r="AB64" s="27">
        <f t="shared" ref="AB64:AB66" si="28">$C$24*I64</f>
        <v>5.5439999999999994E-7</v>
      </c>
      <c r="AC64" s="29">
        <f t="shared" ref="AC64:AC66" si="29">$C$24*O64</f>
        <v>5.5440000000000005E-5</v>
      </c>
      <c r="AD64" s="135">
        <f t="shared" si="14"/>
        <v>9.7111772484364964E-13</v>
      </c>
      <c r="AE64" s="135">
        <f t="shared" si="15"/>
        <v>0</v>
      </c>
      <c r="AF64" s="24">
        <f t="shared" si="16"/>
        <v>1.0625766914896279E-2</v>
      </c>
      <c r="AG64" s="24">
        <f t="shared" si="17"/>
        <v>1.7201486900349474E-14</v>
      </c>
      <c r="AH64" s="24">
        <f t="shared" si="18"/>
        <v>0</v>
      </c>
      <c r="AI64" s="24">
        <f t="shared" si="19"/>
        <v>1.4593515316234023E-6</v>
      </c>
      <c r="AJ64" s="24">
        <f t="shared" si="20"/>
        <v>9.5391623794330023E-13</v>
      </c>
      <c r="AK64" s="24">
        <f t="shared" si="21"/>
        <v>0</v>
      </c>
      <c r="AL64" s="24">
        <f t="shared" si="22"/>
        <v>1.0624307563364655E-2</v>
      </c>
      <c r="AM64" s="161">
        <f t="shared" si="23"/>
        <v>9.7111772484364964E-13</v>
      </c>
      <c r="AN64" s="157">
        <f t="shared" si="24"/>
        <v>0</v>
      </c>
      <c r="AO64" s="162">
        <f t="shared" si="25"/>
        <v>1.0625766914896279E-2</v>
      </c>
    </row>
    <row r="65" spans="1:41" s="8" customFormat="1" ht="15" customHeight="1" x14ac:dyDescent="0.2">
      <c r="A65" s="68" t="s">
        <v>1049</v>
      </c>
      <c r="B65" s="54" t="s">
        <v>85</v>
      </c>
      <c r="C65" s="51">
        <v>0.1</v>
      </c>
      <c r="D65" s="51" t="s">
        <v>2</v>
      </c>
      <c r="E65" s="62" t="s">
        <v>294</v>
      </c>
      <c r="F65" s="62">
        <v>0</v>
      </c>
      <c r="G65" s="51" t="s">
        <v>43</v>
      </c>
      <c r="H65" s="51" t="s">
        <v>6</v>
      </c>
      <c r="I65" s="69">
        <v>1E-4</v>
      </c>
      <c r="J65" s="51" t="s">
        <v>2</v>
      </c>
      <c r="K65" s="51">
        <v>0</v>
      </c>
      <c r="L65" s="62">
        <v>0</v>
      </c>
      <c r="M65" s="51" t="s">
        <v>43</v>
      </c>
      <c r="N65" s="51" t="s">
        <v>7</v>
      </c>
      <c r="O65" s="69">
        <v>1.0000000000000002E-2</v>
      </c>
      <c r="P65" s="51" t="s">
        <v>2</v>
      </c>
      <c r="Q65" s="51">
        <v>0</v>
      </c>
      <c r="R65" s="62">
        <v>0</v>
      </c>
      <c r="S65" s="62">
        <v>0</v>
      </c>
      <c r="T65" s="54" t="s">
        <v>92</v>
      </c>
      <c r="U65" s="127">
        <v>0</v>
      </c>
      <c r="V65" s="115">
        <v>0</v>
      </c>
      <c r="W65" s="115">
        <v>0</v>
      </c>
      <c r="X65" s="115">
        <v>0</v>
      </c>
      <c r="Y65" s="129">
        <v>63</v>
      </c>
      <c r="Z65" s="129">
        <v>2910</v>
      </c>
      <c r="AA65" s="132" t="s">
        <v>539</v>
      </c>
      <c r="AB65" s="27">
        <f t="shared" si="28"/>
        <v>2.7719999999999997E-7</v>
      </c>
      <c r="AC65" s="29">
        <f t="shared" si="29"/>
        <v>2.7720000000000002E-5</v>
      </c>
      <c r="AD65" s="135">
        <f t="shared" si="14"/>
        <v>0</v>
      </c>
      <c r="AE65" s="135">
        <f t="shared" si="15"/>
        <v>0</v>
      </c>
      <c r="AF65" s="24">
        <f t="shared" si="16"/>
        <v>8.068266360000001E-2</v>
      </c>
      <c r="AG65" s="24">
        <f t="shared" si="17"/>
        <v>0</v>
      </c>
      <c r="AH65" s="24">
        <f t="shared" si="18"/>
        <v>0</v>
      </c>
      <c r="AI65" s="24">
        <f t="shared" si="19"/>
        <v>1.7463599999999997E-5</v>
      </c>
      <c r="AJ65" s="24">
        <f t="shared" si="20"/>
        <v>0</v>
      </c>
      <c r="AK65" s="24">
        <f t="shared" si="21"/>
        <v>0</v>
      </c>
      <c r="AL65" s="24">
        <f t="shared" si="22"/>
        <v>8.0665200000000006E-2</v>
      </c>
      <c r="AM65" s="161">
        <f t="shared" si="23"/>
        <v>0</v>
      </c>
      <c r="AN65" s="157">
        <f t="shared" si="24"/>
        <v>0</v>
      </c>
      <c r="AO65" s="162">
        <f t="shared" si="25"/>
        <v>8.068266360000001E-2</v>
      </c>
    </row>
    <row r="66" spans="1:41" s="8" customFormat="1" ht="15" customHeight="1" x14ac:dyDescent="0.2">
      <c r="A66" s="68" t="s">
        <v>1049</v>
      </c>
      <c r="B66" s="50" t="s">
        <v>67</v>
      </c>
      <c r="C66" s="51">
        <v>0</v>
      </c>
      <c r="D66" s="51">
        <v>0</v>
      </c>
      <c r="E66" s="62" t="s">
        <v>301</v>
      </c>
      <c r="F66" s="62">
        <v>0</v>
      </c>
      <c r="G66" s="8" t="s">
        <v>12</v>
      </c>
      <c r="H66" s="51">
        <v>0</v>
      </c>
      <c r="I66" s="69">
        <v>0</v>
      </c>
      <c r="J66" s="51">
        <v>0</v>
      </c>
      <c r="K66" s="51">
        <v>0</v>
      </c>
      <c r="L66" s="62">
        <v>0</v>
      </c>
      <c r="M66" s="51" t="s">
        <v>67</v>
      </c>
      <c r="N66" s="51" t="s">
        <v>7</v>
      </c>
      <c r="O66" s="69">
        <v>1.0000000000000001E-5</v>
      </c>
      <c r="P66" s="51" t="s">
        <v>2</v>
      </c>
      <c r="Q66" s="51" t="s">
        <v>1366</v>
      </c>
      <c r="R66" s="62">
        <v>0</v>
      </c>
      <c r="S66" s="62">
        <v>0</v>
      </c>
      <c r="T66" s="54" t="s">
        <v>94</v>
      </c>
      <c r="U66" s="127">
        <v>0</v>
      </c>
      <c r="V66" s="115">
        <v>0</v>
      </c>
      <c r="W66" s="115">
        <v>0</v>
      </c>
      <c r="X66" s="115">
        <v>0</v>
      </c>
      <c r="Y66" s="115">
        <v>63.500038841149426</v>
      </c>
      <c r="Z66" s="115">
        <v>10848.472578502809</v>
      </c>
      <c r="AA66" s="132" t="s">
        <v>537</v>
      </c>
      <c r="AB66" s="27">
        <f t="shared" si="28"/>
        <v>0</v>
      </c>
      <c r="AC66" s="29">
        <f t="shared" si="29"/>
        <v>2.7719999999999999E-8</v>
      </c>
      <c r="AD66" s="135">
        <f t="shared" si="14"/>
        <v>0</v>
      </c>
      <c r="AE66" s="135">
        <f t="shared" si="15"/>
        <v>0</v>
      </c>
      <c r="AF66" s="24">
        <f t="shared" si="16"/>
        <v>3.0071965987609785E-4</v>
      </c>
      <c r="AG66" s="24">
        <f t="shared" si="17"/>
        <v>0</v>
      </c>
      <c r="AH66" s="24">
        <f t="shared" si="18"/>
        <v>0</v>
      </c>
      <c r="AI66" s="24">
        <f t="shared" si="19"/>
        <v>0</v>
      </c>
      <c r="AJ66" s="24">
        <f t="shared" si="20"/>
        <v>0</v>
      </c>
      <c r="AK66" s="24">
        <f t="shared" si="21"/>
        <v>0</v>
      </c>
      <c r="AL66" s="24">
        <f t="shared" si="22"/>
        <v>3.0071965987609785E-4</v>
      </c>
      <c r="AM66" s="161">
        <f t="shared" si="23"/>
        <v>0</v>
      </c>
      <c r="AN66" s="157">
        <f t="shared" si="24"/>
        <v>0</v>
      </c>
      <c r="AO66" s="162">
        <f t="shared" si="25"/>
        <v>3.0071965987609785E-4</v>
      </c>
    </row>
    <row r="67" spans="1:41" s="8" customFormat="1" ht="15" customHeight="1" x14ac:dyDescent="0.2">
      <c r="A67" s="70" t="s">
        <v>389</v>
      </c>
      <c r="B67" s="54" t="s">
        <v>392</v>
      </c>
      <c r="C67" s="75">
        <v>0.1</v>
      </c>
      <c r="D67" s="54" t="s">
        <v>2</v>
      </c>
      <c r="E67" s="62" t="s">
        <v>294</v>
      </c>
      <c r="F67" s="62">
        <v>0</v>
      </c>
      <c r="G67" s="52" t="s">
        <v>392</v>
      </c>
      <c r="H67" s="54" t="s">
        <v>6</v>
      </c>
      <c r="I67" s="69">
        <v>1E-4</v>
      </c>
      <c r="J67" s="54" t="s">
        <v>2</v>
      </c>
      <c r="K67" s="51">
        <v>0</v>
      </c>
      <c r="L67" s="62">
        <v>0</v>
      </c>
      <c r="M67" s="52" t="s">
        <v>392</v>
      </c>
      <c r="N67" s="54" t="s">
        <v>7</v>
      </c>
      <c r="O67" s="69">
        <v>1.0000000000000002E-2</v>
      </c>
      <c r="P67" s="54" t="s">
        <v>2</v>
      </c>
      <c r="Q67" s="51">
        <v>0</v>
      </c>
      <c r="R67" s="62">
        <v>0</v>
      </c>
      <c r="S67" s="62">
        <v>0</v>
      </c>
      <c r="T67" s="53" t="s">
        <v>17</v>
      </c>
      <c r="U67" s="127">
        <v>0</v>
      </c>
      <c r="V67" s="115">
        <v>0</v>
      </c>
      <c r="W67" s="115">
        <v>0</v>
      </c>
      <c r="X67" s="115">
        <v>0</v>
      </c>
      <c r="Y67" s="115">
        <v>47</v>
      </c>
      <c r="Z67" s="115">
        <v>913</v>
      </c>
      <c r="AA67" s="132" t="s">
        <v>539</v>
      </c>
      <c r="AB67" s="27">
        <f>$C$25*I67</f>
        <v>4.1580000000000006E-7</v>
      </c>
      <c r="AC67" s="29">
        <f>$C$25*O67</f>
        <v>4.1580000000000012E-5</v>
      </c>
      <c r="AD67" s="135">
        <f t="shared" si="14"/>
        <v>0</v>
      </c>
      <c r="AE67" s="135">
        <f t="shared" si="15"/>
        <v>0</v>
      </c>
      <c r="AF67" s="24">
        <f t="shared" si="16"/>
        <v>3.7982082600000008E-2</v>
      </c>
      <c r="AG67" s="24">
        <f t="shared" si="17"/>
        <v>0</v>
      </c>
      <c r="AH67" s="24">
        <f t="shared" si="18"/>
        <v>0</v>
      </c>
      <c r="AI67" s="24">
        <f t="shared" si="19"/>
        <v>1.9542600000000002E-5</v>
      </c>
      <c r="AJ67" s="24">
        <f t="shared" si="20"/>
        <v>0</v>
      </c>
      <c r="AK67" s="24">
        <f t="shared" si="21"/>
        <v>0</v>
      </c>
      <c r="AL67" s="24">
        <f t="shared" si="22"/>
        <v>3.796254000000001E-2</v>
      </c>
      <c r="AM67" s="161">
        <f t="shared" si="23"/>
        <v>0</v>
      </c>
      <c r="AN67" s="157">
        <f t="shared" si="24"/>
        <v>0</v>
      </c>
      <c r="AO67" s="162">
        <f t="shared" si="25"/>
        <v>3.7982082600000008E-2</v>
      </c>
    </row>
    <row r="68" spans="1:41" s="8" customFormat="1" ht="15" customHeight="1" x14ac:dyDescent="0.2">
      <c r="A68" s="70" t="s">
        <v>389</v>
      </c>
      <c r="B68" s="54" t="s">
        <v>390</v>
      </c>
      <c r="C68" s="51">
        <v>0.2</v>
      </c>
      <c r="D68" s="51" t="s">
        <v>2</v>
      </c>
      <c r="E68" s="62" t="s">
        <v>294</v>
      </c>
      <c r="F68" s="62">
        <v>0</v>
      </c>
      <c r="G68" s="52" t="s">
        <v>390</v>
      </c>
      <c r="H68" s="51" t="s">
        <v>6</v>
      </c>
      <c r="I68" s="69">
        <v>2.0000000000000001E-4</v>
      </c>
      <c r="J68" s="51" t="s">
        <v>2</v>
      </c>
      <c r="K68" s="51">
        <v>0</v>
      </c>
      <c r="L68" s="62">
        <v>0</v>
      </c>
      <c r="M68" s="52" t="s">
        <v>390</v>
      </c>
      <c r="N68" s="51" t="s">
        <v>7</v>
      </c>
      <c r="O68" s="69">
        <v>2.0000000000000004E-2</v>
      </c>
      <c r="P68" s="51" t="s">
        <v>2</v>
      </c>
      <c r="Q68" s="51">
        <v>0</v>
      </c>
      <c r="R68" s="62">
        <v>0</v>
      </c>
      <c r="S68" s="62">
        <v>0</v>
      </c>
      <c r="T68" s="54" t="s">
        <v>391</v>
      </c>
      <c r="U68" s="127">
        <v>0</v>
      </c>
      <c r="V68" s="115">
        <v>0</v>
      </c>
      <c r="W68" s="115">
        <v>0</v>
      </c>
      <c r="X68" s="115">
        <v>0</v>
      </c>
      <c r="Y68" s="115">
        <v>53</v>
      </c>
      <c r="Z68" s="115">
        <v>687</v>
      </c>
      <c r="AA68" s="132" t="s">
        <v>539</v>
      </c>
      <c r="AB68" s="27">
        <f>$C$25*I68</f>
        <v>8.3160000000000011E-7</v>
      </c>
      <c r="AC68" s="29">
        <f>$C$25*O68</f>
        <v>8.3160000000000024E-5</v>
      </c>
      <c r="AD68" s="135">
        <f t="shared" si="14"/>
        <v>0</v>
      </c>
      <c r="AE68" s="135">
        <f t="shared" si="15"/>
        <v>0</v>
      </c>
      <c r="AF68" s="24">
        <f t="shared" si="16"/>
        <v>5.7174994800000017E-2</v>
      </c>
      <c r="AG68" s="24">
        <f t="shared" si="17"/>
        <v>0</v>
      </c>
      <c r="AH68" s="24">
        <f t="shared" si="18"/>
        <v>0</v>
      </c>
      <c r="AI68" s="24">
        <f t="shared" si="19"/>
        <v>4.4074800000000007E-5</v>
      </c>
      <c r="AJ68" s="24">
        <f t="shared" si="20"/>
        <v>0</v>
      </c>
      <c r="AK68" s="24">
        <f t="shared" si="21"/>
        <v>0</v>
      </c>
      <c r="AL68" s="24">
        <f t="shared" si="22"/>
        <v>5.7130920000000016E-2</v>
      </c>
      <c r="AM68" s="161">
        <f t="shared" si="23"/>
        <v>0</v>
      </c>
      <c r="AN68" s="157">
        <f t="shared" si="24"/>
        <v>0</v>
      </c>
      <c r="AO68" s="162">
        <f t="shared" si="25"/>
        <v>5.7174994800000017E-2</v>
      </c>
    </row>
    <row r="69" spans="1:41" s="8" customFormat="1" ht="15" customHeight="1" x14ac:dyDescent="0.2">
      <c r="A69" s="68" t="s">
        <v>148</v>
      </c>
      <c r="B69" s="54" t="s">
        <v>393</v>
      </c>
      <c r="C69" s="74">
        <v>1</v>
      </c>
      <c r="D69" s="51" t="s">
        <v>2</v>
      </c>
      <c r="E69" s="64">
        <v>1</v>
      </c>
      <c r="F69" s="64">
        <v>0</v>
      </c>
      <c r="G69" s="51" t="s">
        <v>12</v>
      </c>
      <c r="H69" s="51">
        <v>0</v>
      </c>
      <c r="I69" s="69">
        <v>0</v>
      </c>
      <c r="J69" s="51">
        <v>0</v>
      </c>
      <c r="K69" s="51">
        <v>0</v>
      </c>
      <c r="L69" s="64">
        <v>0</v>
      </c>
      <c r="M69" s="51" t="s">
        <v>393</v>
      </c>
      <c r="N69" s="51" t="s">
        <v>7</v>
      </c>
      <c r="O69" s="69">
        <v>0.1</v>
      </c>
      <c r="P69" s="51" t="s">
        <v>2</v>
      </c>
      <c r="Q69" s="51">
        <v>0</v>
      </c>
      <c r="R69" s="64">
        <v>0</v>
      </c>
      <c r="S69" s="64">
        <v>0</v>
      </c>
      <c r="T69" s="54" t="s">
        <v>394</v>
      </c>
      <c r="U69" s="127">
        <v>0</v>
      </c>
      <c r="V69" s="115">
        <v>0</v>
      </c>
      <c r="W69" s="115">
        <v>0</v>
      </c>
      <c r="X69" s="115">
        <v>0</v>
      </c>
      <c r="Y69" s="129">
        <v>4.9000000000000004</v>
      </c>
      <c r="Z69" s="129">
        <v>100</v>
      </c>
      <c r="AA69" s="132" t="s">
        <v>539</v>
      </c>
      <c r="AB69" s="27">
        <f>$C$26*I69</f>
        <v>0</v>
      </c>
      <c r="AC69" s="29">
        <f>$C$25*O69</f>
        <v>4.1580000000000002E-4</v>
      </c>
      <c r="AD69" s="135">
        <f t="shared" si="14"/>
        <v>0</v>
      </c>
      <c r="AE69" s="135">
        <f t="shared" si="15"/>
        <v>0</v>
      </c>
      <c r="AF69" s="24">
        <f t="shared" si="16"/>
        <v>4.1580000000000006E-2</v>
      </c>
      <c r="AG69" s="24">
        <f t="shared" si="17"/>
        <v>0</v>
      </c>
      <c r="AH69" s="24">
        <f t="shared" si="18"/>
        <v>0</v>
      </c>
      <c r="AI69" s="24">
        <f t="shared" si="19"/>
        <v>0</v>
      </c>
      <c r="AJ69" s="24">
        <f t="shared" si="20"/>
        <v>0</v>
      </c>
      <c r="AK69" s="24">
        <f t="shared" si="21"/>
        <v>0</v>
      </c>
      <c r="AL69" s="24">
        <f t="shared" si="22"/>
        <v>4.1580000000000006E-2</v>
      </c>
      <c r="AM69" s="161">
        <f t="shared" si="23"/>
        <v>0</v>
      </c>
      <c r="AN69" s="157">
        <f t="shared" si="24"/>
        <v>0</v>
      </c>
      <c r="AO69" s="162">
        <f t="shared" si="25"/>
        <v>4.1580000000000006E-2</v>
      </c>
    </row>
    <row r="70" spans="1:41" s="8" customFormat="1" ht="15" customHeight="1" x14ac:dyDescent="0.2">
      <c r="A70" s="70" t="s">
        <v>149</v>
      </c>
      <c r="B70" s="54" t="s">
        <v>1</v>
      </c>
      <c r="C70" s="74">
        <v>1</v>
      </c>
      <c r="D70" s="51" t="s">
        <v>2</v>
      </c>
      <c r="E70" s="64">
        <v>1</v>
      </c>
      <c r="F70" s="64">
        <v>0</v>
      </c>
      <c r="G70" s="51" t="s">
        <v>1</v>
      </c>
      <c r="H70" s="51" t="s">
        <v>6</v>
      </c>
      <c r="I70" s="69">
        <v>1E-3</v>
      </c>
      <c r="J70" s="51" t="s">
        <v>2</v>
      </c>
      <c r="K70" s="51">
        <v>0</v>
      </c>
      <c r="L70" s="64">
        <v>0</v>
      </c>
      <c r="M70" s="51" t="s">
        <v>1</v>
      </c>
      <c r="N70" s="51" t="s">
        <v>7</v>
      </c>
      <c r="O70" s="69">
        <v>1.0000000000000002E-2</v>
      </c>
      <c r="P70" s="51" t="s">
        <v>2</v>
      </c>
      <c r="Q70" s="8" t="s">
        <v>1365</v>
      </c>
      <c r="R70" s="64">
        <v>0</v>
      </c>
      <c r="S70" s="64">
        <v>0</v>
      </c>
      <c r="T70" s="54" t="s">
        <v>23</v>
      </c>
      <c r="U70" s="127">
        <v>0</v>
      </c>
      <c r="V70" s="115">
        <v>0</v>
      </c>
      <c r="W70" s="115">
        <v>0</v>
      </c>
      <c r="X70" s="115">
        <v>0</v>
      </c>
      <c r="Y70" s="117">
        <v>222</v>
      </c>
      <c r="Z70" s="117">
        <v>53200</v>
      </c>
      <c r="AA70" s="132" t="s">
        <v>539</v>
      </c>
      <c r="AB70" s="27">
        <f>$C$27*I70</f>
        <v>4.1580000000000007E-6</v>
      </c>
      <c r="AC70" s="29">
        <f>$C$27*O70</f>
        <v>4.1580000000000012E-5</v>
      </c>
      <c r="AD70" s="135">
        <f t="shared" si="14"/>
        <v>0</v>
      </c>
      <c r="AE70" s="135">
        <f t="shared" si="15"/>
        <v>0</v>
      </c>
      <c r="AF70" s="24">
        <f t="shared" si="16"/>
        <v>2.2129790760000003</v>
      </c>
      <c r="AG70" s="24">
        <f t="shared" si="17"/>
        <v>0</v>
      </c>
      <c r="AH70" s="24">
        <f t="shared" si="18"/>
        <v>0</v>
      </c>
      <c r="AI70" s="24">
        <f t="shared" si="19"/>
        <v>9.230760000000001E-4</v>
      </c>
      <c r="AJ70" s="24">
        <f t="shared" si="20"/>
        <v>0</v>
      </c>
      <c r="AK70" s="24">
        <f t="shared" si="21"/>
        <v>0</v>
      </c>
      <c r="AL70" s="24">
        <f t="shared" si="22"/>
        <v>2.2120560000000005</v>
      </c>
      <c r="AM70" s="161">
        <f t="shared" si="23"/>
        <v>0</v>
      </c>
      <c r="AN70" s="157">
        <f t="shared" si="24"/>
        <v>0</v>
      </c>
      <c r="AO70" s="162">
        <f t="shared" si="25"/>
        <v>2.2129790760000003</v>
      </c>
    </row>
    <row r="71" spans="1:41" s="8" customFormat="1" ht="15" customHeight="1" x14ac:dyDescent="0.2">
      <c r="A71" s="70" t="s">
        <v>395</v>
      </c>
      <c r="B71" s="54" t="s">
        <v>396</v>
      </c>
      <c r="C71" s="51">
        <v>1</v>
      </c>
      <c r="D71" s="54" t="s">
        <v>2</v>
      </c>
      <c r="E71" s="62" t="s">
        <v>397</v>
      </c>
      <c r="F71" s="62">
        <v>0</v>
      </c>
      <c r="G71" s="51" t="s">
        <v>396</v>
      </c>
      <c r="H71" s="54" t="s">
        <v>6</v>
      </c>
      <c r="I71" s="69">
        <v>1E-3</v>
      </c>
      <c r="J71" s="54" t="s">
        <v>2</v>
      </c>
      <c r="K71" s="51">
        <v>0</v>
      </c>
      <c r="L71" s="62">
        <v>0</v>
      </c>
      <c r="M71" s="51" t="s">
        <v>396</v>
      </c>
      <c r="N71" s="54" t="s">
        <v>7</v>
      </c>
      <c r="O71" s="69">
        <v>5.000000000000001E-3</v>
      </c>
      <c r="P71" s="51" t="s">
        <v>2</v>
      </c>
      <c r="Q71" s="8" t="s">
        <v>562</v>
      </c>
      <c r="R71" s="62">
        <v>0</v>
      </c>
      <c r="S71" s="62">
        <v>0</v>
      </c>
      <c r="T71" s="54" t="s">
        <v>398</v>
      </c>
      <c r="U71" s="127">
        <v>0</v>
      </c>
      <c r="V71" s="115">
        <v>0</v>
      </c>
      <c r="W71" s="115">
        <v>0</v>
      </c>
      <c r="X71" s="115">
        <v>0</v>
      </c>
      <c r="Y71" s="115">
        <v>279.49742748859956</v>
      </c>
      <c r="Z71" s="115">
        <v>35.171294449245522</v>
      </c>
      <c r="AA71" s="132" t="s">
        <v>538</v>
      </c>
      <c r="AB71" s="27">
        <f>$C$28*I71</f>
        <v>1.3859999999999999E-6</v>
      </c>
      <c r="AC71" s="29">
        <f t="shared" ref="AC71:AC74" si="30">$C$28*O71</f>
        <v>6.9300000000000006E-6</v>
      </c>
      <c r="AD71" s="135">
        <f t="shared" ref="AD71:AD74" si="31">AB71*U71+AC71*W71</f>
        <v>0</v>
      </c>
      <c r="AE71" s="135">
        <f t="shared" ref="AE71:AE74" si="32">AB71*V71+AC71*X71</f>
        <v>0</v>
      </c>
      <c r="AF71" s="24">
        <f t="shared" ref="AF71:AF74" si="33">AB71*Y71+AC71*Z71</f>
        <v>6.3112050503247048E-4</v>
      </c>
      <c r="AG71" s="24">
        <f t="shared" ref="AG71:AG74" si="34">AB71*U71</f>
        <v>0</v>
      </c>
      <c r="AH71" s="24">
        <f t="shared" ref="AH71:AH74" si="35">AB71*V71</f>
        <v>0</v>
      </c>
      <c r="AI71" s="24">
        <f t="shared" ref="AI71:AI74" si="36">AB71*Y71</f>
        <v>3.8738343449919898E-4</v>
      </c>
      <c r="AJ71" s="24">
        <f t="shared" ref="AJ71:AJ74" si="37">AC71*W71</f>
        <v>0</v>
      </c>
      <c r="AK71" s="24">
        <f t="shared" ref="AK71:AK74" si="38">AC71*X71</f>
        <v>0</v>
      </c>
      <c r="AL71" s="24">
        <f t="shared" ref="AL71:AL74" si="39">AC71*Z71</f>
        <v>2.437370705332715E-4</v>
      </c>
      <c r="AM71" s="161">
        <f t="shared" ref="AM71:AM74" si="40">AG71+AJ71</f>
        <v>0</v>
      </c>
      <c r="AN71" s="157">
        <f t="shared" ref="AN71:AN74" si="41">AH71+AK71</f>
        <v>0</v>
      </c>
      <c r="AO71" s="162">
        <f t="shared" ref="AO71:AO74" si="42">AI71+AL71</f>
        <v>6.3112050503247048E-4</v>
      </c>
    </row>
    <row r="72" spans="1:41" s="8" customFormat="1" ht="15" customHeight="1" x14ac:dyDescent="0.2">
      <c r="A72" s="70" t="s">
        <v>399</v>
      </c>
      <c r="B72" s="54" t="s">
        <v>400</v>
      </c>
      <c r="C72" s="51">
        <v>1</v>
      </c>
      <c r="D72" s="54" t="s">
        <v>2</v>
      </c>
      <c r="E72" s="62" t="s">
        <v>397</v>
      </c>
      <c r="F72" s="62">
        <v>0</v>
      </c>
      <c r="G72" s="51" t="s">
        <v>400</v>
      </c>
      <c r="H72" s="54" t="s">
        <v>6</v>
      </c>
      <c r="I72" s="69">
        <v>1E-3</v>
      </c>
      <c r="J72" s="54" t="s">
        <v>2</v>
      </c>
      <c r="K72" s="51">
        <v>0</v>
      </c>
      <c r="L72" s="62">
        <v>0</v>
      </c>
      <c r="M72" s="51" t="s">
        <v>400</v>
      </c>
      <c r="N72" s="54" t="s">
        <v>7</v>
      </c>
      <c r="O72" s="69">
        <v>5.000000000000001E-3</v>
      </c>
      <c r="P72" s="51" t="s">
        <v>2</v>
      </c>
      <c r="Q72" s="8" t="s">
        <v>562</v>
      </c>
      <c r="R72" s="62">
        <v>0</v>
      </c>
      <c r="S72" s="62">
        <v>0</v>
      </c>
      <c r="T72" s="54" t="s">
        <v>401</v>
      </c>
      <c r="U72" s="128">
        <v>0</v>
      </c>
      <c r="V72" s="115">
        <v>4.7523947982961088E-7</v>
      </c>
      <c r="W72" s="125">
        <v>0</v>
      </c>
      <c r="X72" s="115">
        <v>5.9553870155211211E-7</v>
      </c>
      <c r="Y72" s="115">
        <v>174.02319075927511</v>
      </c>
      <c r="Z72" s="115">
        <v>462.56767404636184</v>
      </c>
      <c r="AA72" s="132" t="s">
        <v>538</v>
      </c>
      <c r="AB72" s="27">
        <f t="shared" ref="AB72:AB74" si="43">$C$28*I72</f>
        <v>1.3859999999999999E-6</v>
      </c>
      <c r="AC72" s="29">
        <f t="shared" si="30"/>
        <v>6.9300000000000006E-6</v>
      </c>
      <c r="AD72" s="135">
        <f t="shared" si="31"/>
        <v>0</v>
      </c>
      <c r="AE72" s="135">
        <f t="shared" si="32"/>
        <v>4.7857651207999785E-12</v>
      </c>
      <c r="AF72" s="24">
        <f t="shared" si="33"/>
        <v>3.4467901235336429E-3</v>
      </c>
      <c r="AG72" s="24">
        <f t="shared" si="34"/>
        <v>0</v>
      </c>
      <c r="AH72" s="24">
        <f t="shared" si="35"/>
        <v>6.5868191904384064E-13</v>
      </c>
      <c r="AI72" s="24">
        <f t="shared" si="36"/>
        <v>2.4119614239235528E-4</v>
      </c>
      <c r="AJ72" s="24">
        <f t="shared" si="37"/>
        <v>0</v>
      </c>
      <c r="AK72" s="24">
        <f t="shared" si="38"/>
        <v>4.1270832017561376E-12</v>
      </c>
      <c r="AL72" s="24">
        <f t="shared" si="39"/>
        <v>3.2055939811412876E-3</v>
      </c>
      <c r="AM72" s="161">
        <f t="shared" si="40"/>
        <v>0</v>
      </c>
      <c r="AN72" s="157">
        <f t="shared" si="41"/>
        <v>4.7857651207999785E-12</v>
      </c>
      <c r="AO72" s="162">
        <f t="shared" si="42"/>
        <v>3.4467901235336429E-3</v>
      </c>
    </row>
    <row r="73" spans="1:41" s="8" customFormat="1" ht="15" customHeight="1" x14ac:dyDescent="0.2">
      <c r="A73" s="118" t="s">
        <v>47</v>
      </c>
      <c r="B73" s="54" t="s">
        <v>5</v>
      </c>
      <c r="C73" s="75">
        <v>1</v>
      </c>
      <c r="D73" s="54" t="s">
        <v>2</v>
      </c>
      <c r="E73" s="62">
        <v>1</v>
      </c>
      <c r="F73" s="62">
        <v>0</v>
      </c>
      <c r="G73" s="52" t="s">
        <v>12</v>
      </c>
      <c r="H73" s="54">
        <v>0</v>
      </c>
      <c r="I73" s="69">
        <v>0</v>
      </c>
      <c r="J73" s="54">
        <v>0</v>
      </c>
      <c r="K73" s="51" t="s">
        <v>297</v>
      </c>
      <c r="L73" s="62">
        <v>0</v>
      </c>
      <c r="M73" s="52" t="s">
        <v>5</v>
      </c>
      <c r="N73" s="54" t="s">
        <v>7</v>
      </c>
      <c r="O73" s="69">
        <v>0.1</v>
      </c>
      <c r="P73" s="51" t="s">
        <v>2</v>
      </c>
      <c r="Q73" s="8">
        <v>0</v>
      </c>
      <c r="R73" s="62">
        <v>0</v>
      </c>
      <c r="S73" s="62">
        <v>0</v>
      </c>
      <c r="T73" s="53" t="s">
        <v>25</v>
      </c>
      <c r="U73" s="128">
        <v>0</v>
      </c>
      <c r="V73" s="115">
        <v>0</v>
      </c>
      <c r="W73" s="125">
        <v>0</v>
      </c>
      <c r="X73" s="115">
        <v>0</v>
      </c>
      <c r="Y73" s="115">
        <v>164.24</v>
      </c>
      <c r="Z73" s="115">
        <v>400.09</v>
      </c>
      <c r="AA73" s="132" t="s">
        <v>539</v>
      </c>
      <c r="AB73" s="27">
        <f t="shared" si="43"/>
        <v>0</v>
      </c>
      <c r="AC73" s="29">
        <f t="shared" si="30"/>
        <v>1.3859999999999998E-4</v>
      </c>
      <c r="AD73" s="135">
        <f t="shared" si="31"/>
        <v>0</v>
      </c>
      <c r="AE73" s="135">
        <f t="shared" si="32"/>
        <v>0</v>
      </c>
      <c r="AF73" s="24">
        <f t="shared" si="33"/>
        <v>5.5452473999999988E-2</v>
      </c>
      <c r="AG73" s="24">
        <f t="shared" si="34"/>
        <v>0</v>
      </c>
      <c r="AH73" s="24">
        <f t="shared" si="35"/>
        <v>0</v>
      </c>
      <c r="AI73" s="24">
        <f t="shared" si="36"/>
        <v>0</v>
      </c>
      <c r="AJ73" s="24">
        <f t="shared" si="37"/>
        <v>0</v>
      </c>
      <c r="AK73" s="24">
        <f t="shared" si="38"/>
        <v>0</v>
      </c>
      <c r="AL73" s="24">
        <f t="shared" si="39"/>
        <v>5.5452473999999988E-2</v>
      </c>
      <c r="AM73" s="161">
        <f t="shared" si="40"/>
        <v>0</v>
      </c>
      <c r="AN73" s="157">
        <f t="shared" si="41"/>
        <v>0</v>
      </c>
      <c r="AO73" s="162">
        <f t="shared" si="42"/>
        <v>5.5452473999999988E-2</v>
      </c>
    </row>
    <row r="74" spans="1:41" s="8" customFormat="1" ht="15" customHeight="1" x14ac:dyDescent="0.2">
      <c r="A74" s="70" t="s">
        <v>51</v>
      </c>
      <c r="B74" s="54" t="s">
        <v>82</v>
      </c>
      <c r="C74" s="75">
        <v>0.9</v>
      </c>
      <c r="D74" s="54" t="s">
        <v>2</v>
      </c>
      <c r="E74" s="62" t="s">
        <v>294</v>
      </c>
      <c r="F74" s="62">
        <v>0</v>
      </c>
      <c r="G74" s="52" t="s">
        <v>12</v>
      </c>
      <c r="H74" s="54">
        <v>0</v>
      </c>
      <c r="I74" s="69">
        <v>0</v>
      </c>
      <c r="J74" s="54">
        <v>0</v>
      </c>
      <c r="K74" s="51">
        <v>0</v>
      </c>
      <c r="L74" s="62">
        <v>0</v>
      </c>
      <c r="M74" s="52" t="s">
        <v>82</v>
      </c>
      <c r="N74" s="54" t="s">
        <v>7</v>
      </c>
      <c r="O74" s="69">
        <v>9.0000000000000011E-2</v>
      </c>
      <c r="P74" s="54" t="s">
        <v>2</v>
      </c>
      <c r="Q74" s="51">
        <v>0</v>
      </c>
      <c r="R74" s="62">
        <v>0</v>
      </c>
      <c r="S74" s="62">
        <v>0</v>
      </c>
      <c r="T74" s="53" t="s">
        <v>302</v>
      </c>
      <c r="U74" s="127">
        <v>0</v>
      </c>
      <c r="V74" s="129">
        <v>0</v>
      </c>
      <c r="W74" s="129">
        <v>0</v>
      </c>
      <c r="X74" s="129">
        <v>0</v>
      </c>
      <c r="Y74" s="129">
        <v>52.575000000000003</v>
      </c>
      <c r="Z74" s="129">
        <v>125.31</v>
      </c>
      <c r="AA74" s="133" t="s">
        <v>539</v>
      </c>
      <c r="AB74" s="27">
        <f t="shared" si="43"/>
        <v>0</v>
      </c>
      <c r="AC74" s="29">
        <f t="shared" si="30"/>
        <v>1.2474E-4</v>
      </c>
      <c r="AD74" s="135">
        <f t="shared" si="31"/>
        <v>0</v>
      </c>
      <c r="AE74" s="135">
        <f t="shared" si="32"/>
        <v>0</v>
      </c>
      <c r="AF74" s="24">
        <f t="shared" si="33"/>
        <v>1.5631169400000002E-2</v>
      </c>
      <c r="AG74" s="24">
        <f t="shared" si="34"/>
        <v>0</v>
      </c>
      <c r="AH74" s="24">
        <f t="shared" si="35"/>
        <v>0</v>
      </c>
      <c r="AI74" s="24">
        <f t="shared" si="36"/>
        <v>0</v>
      </c>
      <c r="AJ74" s="24">
        <f t="shared" si="37"/>
        <v>0</v>
      </c>
      <c r="AK74" s="24">
        <f t="shared" si="38"/>
        <v>0</v>
      </c>
      <c r="AL74" s="24">
        <f t="shared" si="39"/>
        <v>1.5631169400000002E-2</v>
      </c>
      <c r="AM74" s="161">
        <f t="shared" si="40"/>
        <v>0</v>
      </c>
      <c r="AN74" s="157">
        <f t="shared" si="41"/>
        <v>0</v>
      </c>
      <c r="AO74" s="162">
        <f t="shared" si="42"/>
        <v>1.5631169400000002E-2</v>
      </c>
    </row>
    <row r="75" spans="1:41" s="8" customFormat="1" ht="15" customHeight="1" x14ac:dyDescent="0.2">
      <c r="A75" s="54" t="s">
        <v>51</v>
      </c>
      <c r="B75" s="54" t="s">
        <v>83</v>
      </c>
      <c r="C75" s="74">
        <v>0.08</v>
      </c>
      <c r="D75" s="51" t="s">
        <v>2</v>
      </c>
      <c r="E75" s="64" t="s">
        <v>294</v>
      </c>
      <c r="F75" s="64">
        <v>0</v>
      </c>
      <c r="G75" s="51" t="s">
        <v>12</v>
      </c>
      <c r="H75" s="51">
        <v>0</v>
      </c>
      <c r="I75" s="69">
        <v>0</v>
      </c>
      <c r="J75" s="51">
        <v>0</v>
      </c>
      <c r="K75" s="51">
        <v>0</v>
      </c>
      <c r="L75" s="64">
        <v>0</v>
      </c>
      <c r="M75" s="51" t="s">
        <v>83</v>
      </c>
      <c r="N75" s="51" t="s">
        <v>7</v>
      </c>
      <c r="O75" s="69">
        <v>8.0000000000000002E-3</v>
      </c>
      <c r="P75" s="51" t="s">
        <v>2</v>
      </c>
      <c r="Q75" s="51">
        <v>0</v>
      </c>
      <c r="R75" s="64">
        <v>0</v>
      </c>
      <c r="S75" s="64">
        <v>0</v>
      </c>
      <c r="T75" s="54" t="s">
        <v>300</v>
      </c>
      <c r="U75" s="127">
        <v>0</v>
      </c>
      <c r="V75" s="115">
        <v>0</v>
      </c>
      <c r="W75" s="115">
        <v>0</v>
      </c>
      <c r="X75" s="115">
        <v>0</v>
      </c>
      <c r="Y75" s="115">
        <v>6.0401999999999996</v>
      </c>
      <c r="Z75" s="115">
        <v>126.48</v>
      </c>
      <c r="AA75" s="132" t="s">
        <v>539</v>
      </c>
      <c r="AB75" s="27">
        <f>$C$29*I75</f>
        <v>0</v>
      </c>
      <c r="AC75" s="29">
        <f>$C$29*O75</f>
        <v>1.1088E-5</v>
      </c>
      <c r="AD75" s="135">
        <f t="shared" si="14"/>
        <v>0</v>
      </c>
      <c r="AE75" s="135">
        <f t="shared" si="15"/>
        <v>0</v>
      </c>
      <c r="AF75" s="24">
        <f t="shared" si="16"/>
        <v>1.4024102399999999E-3</v>
      </c>
      <c r="AG75" s="24">
        <f t="shared" si="17"/>
        <v>0</v>
      </c>
      <c r="AH75" s="24">
        <f t="shared" si="18"/>
        <v>0</v>
      </c>
      <c r="AI75" s="24">
        <f t="shared" si="19"/>
        <v>0</v>
      </c>
      <c r="AJ75" s="24">
        <f t="shared" si="20"/>
        <v>0</v>
      </c>
      <c r="AK75" s="24">
        <f t="shared" si="21"/>
        <v>0</v>
      </c>
      <c r="AL75" s="24">
        <f t="shared" si="22"/>
        <v>1.4024102399999999E-3</v>
      </c>
      <c r="AM75" s="161">
        <f t="shared" si="23"/>
        <v>0</v>
      </c>
      <c r="AN75" s="157">
        <f t="shared" si="24"/>
        <v>0</v>
      </c>
      <c r="AO75" s="162">
        <f t="shared" si="25"/>
        <v>1.4024102399999999E-3</v>
      </c>
    </row>
    <row r="76" spans="1:41" s="8" customFormat="1" ht="15" customHeight="1" x14ac:dyDescent="0.2">
      <c r="A76" s="70" t="s">
        <v>51</v>
      </c>
      <c r="B76" s="54" t="s">
        <v>79</v>
      </c>
      <c r="C76" s="74">
        <v>0.02</v>
      </c>
      <c r="D76" s="51" t="s">
        <v>2</v>
      </c>
      <c r="E76" s="62" t="s">
        <v>294</v>
      </c>
      <c r="F76" s="62">
        <v>0</v>
      </c>
      <c r="G76" s="51" t="s">
        <v>12</v>
      </c>
      <c r="H76" s="51">
        <v>0</v>
      </c>
      <c r="I76" s="69">
        <v>0</v>
      </c>
      <c r="J76" s="51">
        <v>0</v>
      </c>
      <c r="K76" s="51" t="s">
        <v>297</v>
      </c>
      <c r="L76" s="62">
        <v>0</v>
      </c>
      <c r="M76" s="51" t="s">
        <v>79</v>
      </c>
      <c r="N76" s="54" t="s">
        <v>7</v>
      </c>
      <c r="O76" s="69">
        <v>2E-3</v>
      </c>
      <c r="P76" s="54" t="s">
        <v>2</v>
      </c>
      <c r="Q76" s="54">
        <v>0</v>
      </c>
      <c r="R76" s="62">
        <v>0</v>
      </c>
      <c r="S76" s="62">
        <v>0</v>
      </c>
      <c r="T76" s="54" t="s">
        <v>80</v>
      </c>
      <c r="U76" s="127">
        <v>0</v>
      </c>
      <c r="V76" s="115">
        <v>0</v>
      </c>
      <c r="W76" s="115">
        <v>0</v>
      </c>
      <c r="X76" s="115">
        <v>0</v>
      </c>
      <c r="Y76" s="129">
        <v>31</v>
      </c>
      <c r="Z76" s="129">
        <v>73.7</v>
      </c>
      <c r="AA76" s="133" t="s">
        <v>539</v>
      </c>
      <c r="AB76" s="27">
        <f>$C$30*I76</f>
        <v>0</v>
      </c>
      <c r="AC76" s="29">
        <f>$C$30*O76</f>
        <v>2.7719999999999999E-6</v>
      </c>
      <c r="AD76" s="135">
        <f t="shared" si="14"/>
        <v>0</v>
      </c>
      <c r="AE76" s="135">
        <f t="shared" si="15"/>
        <v>0</v>
      </c>
      <c r="AF76" s="24">
        <f t="shared" si="16"/>
        <v>2.042964E-4</v>
      </c>
      <c r="AG76" s="24">
        <f t="shared" si="17"/>
        <v>0</v>
      </c>
      <c r="AH76" s="24">
        <f t="shared" si="18"/>
        <v>0</v>
      </c>
      <c r="AI76" s="24">
        <f t="shared" si="19"/>
        <v>0</v>
      </c>
      <c r="AJ76" s="24">
        <f t="shared" si="20"/>
        <v>0</v>
      </c>
      <c r="AK76" s="24">
        <f t="shared" si="21"/>
        <v>0</v>
      </c>
      <c r="AL76" s="24">
        <f t="shared" si="22"/>
        <v>2.042964E-4</v>
      </c>
      <c r="AM76" s="161">
        <f t="shared" si="23"/>
        <v>0</v>
      </c>
      <c r="AN76" s="157">
        <f t="shared" si="24"/>
        <v>0</v>
      </c>
      <c r="AO76" s="162">
        <f t="shared" si="25"/>
        <v>2.042964E-4</v>
      </c>
    </row>
    <row r="77" spans="1:41" s="8" customFormat="1" ht="15" customHeight="1" x14ac:dyDescent="0.2">
      <c r="A77" s="70" t="s">
        <v>51</v>
      </c>
      <c r="B77" s="130" t="s">
        <v>87</v>
      </c>
      <c r="C77" s="75">
        <v>0</v>
      </c>
      <c r="D77" s="54">
        <v>0</v>
      </c>
      <c r="E77" s="62" t="s">
        <v>294</v>
      </c>
      <c r="F77" s="62">
        <v>0</v>
      </c>
      <c r="G77" s="52" t="s">
        <v>12</v>
      </c>
      <c r="H77" s="54">
        <v>0</v>
      </c>
      <c r="I77" s="69">
        <v>0</v>
      </c>
      <c r="J77" s="54">
        <v>0</v>
      </c>
      <c r="K77" s="51" t="s">
        <v>297</v>
      </c>
      <c r="L77" s="62">
        <v>0</v>
      </c>
      <c r="M77" s="52" t="s">
        <v>42</v>
      </c>
      <c r="N77" s="54" t="s">
        <v>7</v>
      </c>
      <c r="O77" s="69">
        <v>9.0000000000000019E-5</v>
      </c>
      <c r="P77" s="54" t="s">
        <v>2</v>
      </c>
      <c r="Q77" s="54" t="s">
        <v>1366</v>
      </c>
      <c r="R77" s="62">
        <v>0</v>
      </c>
      <c r="S77" s="62">
        <v>0</v>
      </c>
      <c r="T77" s="50" t="s">
        <v>93</v>
      </c>
      <c r="U77" s="127">
        <v>0</v>
      </c>
      <c r="V77" s="115">
        <v>0</v>
      </c>
      <c r="W77" s="115">
        <v>0</v>
      </c>
      <c r="X77" s="115">
        <v>0</v>
      </c>
      <c r="Y77" s="115">
        <v>13</v>
      </c>
      <c r="Z77" s="115">
        <v>31.7</v>
      </c>
      <c r="AA77" s="132" t="s">
        <v>539</v>
      </c>
      <c r="AB77" s="27">
        <f t="shared" ref="AB77:AB79" si="44">$C$30*I77</f>
        <v>0</v>
      </c>
      <c r="AC77" s="29">
        <f t="shared" ref="AC77:AC79" si="45">$C$30*O77</f>
        <v>1.2474000000000002E-7</v>
      </c>
      <c r="AD77" s="135">
        <f t="shared" si="14"/>
        <v>0</v>
      </c>
      <c r="AE77" s="135">
        <f t="shared" si="15"/>
        <v>0</v>
      </c>
      <c r="AF77" s="24">
        <f t="shared" si="16"/>
        <v>3.9542580000000005E-6</v>
      </c>
      <c r="AG77" s="24">
        <f t="shared" si="17"/>
        <v>0</v>
      </c>
      <c r="AH77" s="24">
        <f t="shared" si="18"/>
        <v>0</v>
      </c>
      <c r="AI77" s="24">
        <f t="shared" si="19"/>
        <v>0</v>
      </c>
      <c r="AJ77" s="24">
        <f t="shared" si="20"/>
        <v>0</v>
      </c>
      <c r="AK77" s="24">
        <f t="shared" si="21"/>
        <v>0</v>
      </c>
      <c r="AL77" s="24">
        <f t="shared" si="22"/>
        <v>3.9542580000000005E-6</v>
      </c>
      <c r="AM77" s="161">
        <f t="shared" si="23"/>
        <v>0</v>
      </c>
      <c r="AN77" s="157">
        <f t="shared" si="24"/>
        <v>0</v>
      </c>
      <c r="AO77" s="162">
        <f t="shared" si="25"/>
        <v>3.9542580000000005E-6</v>
      </c>
    </row>
    <row r="78" spans="1:41" s="8" customFormat="1" ht="15" customHeight="1" x14ac:dyDescent="0.2">
      <c r="A78" s="70" t="s">
        <v>151</v>
      </c>
      <c r="B78" s="54" t="s">
        <v>402</v>
      </c>
      <c r="C78" s="51">
        <v>1</v>
      </c>
      <c r="D78" s="51" t="s">
        <v>2</v>
      </c>
      <c r="E78" s="62">
        <v>1</v>
      </c>
      <c r="F78" s="62">
        <v>0</v>
      </c>
      <c r="G78" s="54" t="s">
        <v>12</v>
      </c>
      <c r="H78" s="51">
        <v>0</v>
      </c>
      <c r="I78" s="69">
        <v>0</v>
      </c>
      <c r="J78" s="51">
        <v>0</v>
      </c>
      <c r="K78" s="51">
        <v>0</v>
      </c>
      <c r="L78" s="62">
        <v>0</v>
      </c>
      <c r="M78" s="51" t="s">
        <v>402</v>
      </c>
      <c r="N78" s="51" t="s">
        <v>7</v>
      </c>
      <c r="O78" s="69">
        <v>0.1</v>
      </c>
      <c r="P78" s="51" t="s">
        <v>2</v>
      </c>
      <c r="Q78" s="51">
        <v>0</v>
      </c>
      <c r="R78" s="62">
        <v>0</v>
      </c>
      <c r="S78" s="62">
        <v>0</v>
      </c>
      <c r="T78" s="54" t="s">
        <v>403</v>
      </c>
      <c r="U78" s="127">
        <v>0</v>
      </c>
      <c r="V78" s="115">
        <v>0</v>
      </c>
      <c r="W78" s="115">
        <v>0</v>
      </c>
      <c r="X78" s="115">
        <v>0</v>
      </c>
      <c r="Y78" s="115">
        <v>22</v>
      </c>
      <c r="Z78" s="115">
        <v>51.7</v>
      </c>
      <c r="AA78" s="132" t="s">
        <v>539</v>
      </c>
      <c r="AB78" s="27">
        <f t="shared" si="44"/>
        <v>0</v>
      </c>
      <c r="AC78" s="29">
        <f t="shared" si="45"/>
        <v>1.3859999999999998E-4</v>
      </c>
      <c r="AD78" s="135">
        <f t="shared" si="14"/>
        <v>0</v>
      </c>
      <c r="AE78" s="135">
        <f t="shared" si="15"/>
        <v>0</v>
      </c>
      <c r="AF78" s="24">
        <f t="shared" si="16"/>
        <v>7.1656199999999993E-3</v>
      </c>
      <c r="AG78" s="24">
        <f t="shared" si="17"/>
        <v>0</v>
      </c>
      <c r="AH78" s="24">
        <f t="shared" si="18"/>
        <v>0</v>
      </c>
      <c r="AI78" s="24">
        <f t="shared" si="19"/>
        <v>0</v>
      </c>
      <c r="AJ78" s="24">
        <f t="shared" si="20"/>
        <v>0</v>
      </c>
      <c r="AK78" s="24">
        <f t="shared" si="21"/>
        <v>0</v>
      </c>
      <c r="AL78" s="24">
        <f t="shared" si="22"/>
        <v>7.1656199999999993E-3</v>
      </c>
      <c r="AM78" s="161">
        <f t="shared" si="23"/>
        <v>0</v>
      </c>
      <c r="AN78" s="157">
        <f t="shared" si="24"/>
        <v>0</v>
      </c>
      <c r="AO78" s="162">
        <f t="shared" si="25"/>
        <v>7.1656199999999993E-3</v>
      </c>
    </row>
    <row r="79" spans="1:41" s="8" customFormat="1" ht="15" customHeight="1" x14ac:dyDescent="0.2">
      <c r="A79" s="70" t="s">
        <v>59</v>
      </c>
      <c r="B79" s="54" t="s">
        <v>30</v>
      </c>
      <c r="C79" s="51">
        <v>0.1</v>
      </c>
      <c r="D79" s="51" t="s">
        <v>2</v>
      </c>
      <c r="E79" s="62" t="s">
        <v>294</v>
      </c>
      <c r="F79" s="62">
        <v>0</v>
      </c>
      <c r="G79" s="51" t="s">
        <v>12</v>
      </c>
      <c r="H79" s="51">
        <v>0</v>
      </c>
      <c r="I79" s="69">
        <v>0</v>
      </c>
      <c r="J79" s="51">
        <v>0</v>
      </c>
      <c r="K79" s="51">
        <v>0</v>
      </c>
      <c r="L79" s="62">
        <v>0</v>
      </c>
      <c r="M79" s="51" t="s">
        <v>30</v>
      </c>
      <c r="N79" s="51" t="s">
        <v>7</v>
      </c>
      <c r="O79" s="69">
        <v>9.9000000000000008E-3</v>
      </c>
      <c r="P79" s="51" t="s">
        <v>2</v>
      </c>
      <c r="Q79" s="51" t="s">
        <v>1367</v>
      </c>
      <c r="R79" s="62">
        <v>0</v>
      </c>
      <c r="S79" s="62">
        <v>0</v>
      </c>
      <c r="T79" s="54" t="s">
        <v>34</v>
      </c>
      <c r="U79" s="127">
        <v>0</v>
      </c>
      <c r="V79" s="115">
        <v>0</v>
      </c>
      <c r="W79" s="115">
        <v>0</v>
      </c>
      <c r="X79" s="115">
        <v>0</v>
      </c>
      <c r="Y79" s="117">
        <v>7.06</v>
      </c>
      <c r="Z79" s="117">
        <v>78.599999999999994</v>
      </c>
      <c r="AA79" s="132" t="s">
        <v>539</v>
      </c>
      <c r="AB79" s="27">
        <f t="shared" si="44"/>
        <v>0</v>
      </c>
      <c r="AC79" s="29">
        <f t="shared" si="45"/>
        <v>1.37214E-5</v>
      </c>
      <c r="AD79" s="135">
        <f t="shared" si="14"/>
        <v>0</v>
      </c>
      <c r="AE79" s="135">
        <f t="shared" si="15"/>
        <v>0</v>
      </c>
      <c r="AF79" s="24">
        <f t="shared" si="16"/>
        <v>1.0785020399999999E-3</v>
      </c>
      <c r="AG79" s="24">
        <f t="shared" si="17"/>
        <v>0</v>
      </c>
      <c r="AH79" s="24">
        <f t="shared" si="18"/>
        <v>0</v>
      </c>
      <c r="AI79" s="24">
        <f t="shared" si="19"/>
        <v>0</v>
      </c>
      <c r="AJ79" s="24">
        <f t="shared" si="20"/>
        <v>0</v>
      </c>
      <c r="AK79" s="24">
        <f t="shared" si="21"/>
        <v>0</v>
      </c>
      <c r="AL79" s="24">
        <f t="shared" si="22"/>
        <v>1.0785020399999999E-3</v>
      </c>
      <c r="AM79" s="161">
        <f t="shared" si="23"/>
        <v>0</v>
      </c>
      <c r="AN79" s="157">
        <f t="shared" si="24"/>
        <v>0</v>
      </c>
      <c r="AO79" s="162">
        <f t="shared" si="25"/>
        <v>1.0785020399999999E-3</v>
      </c>
    </row>
    <row r="80" spans="1:41" s="8" customFormat="1" ht="15" customHeight="1" x14ac:dyDescent="0.2">
      <c r="A80" s="68" t="s">
        <v>59</v>
      </c>
      <c r="B80" s="54" t="s">
        <v>15</v>
      </c>
      <c r="C80" s="74">
        <v>0.25</v>
      </c>
      <c r="D80" s="51" t="s">
        <v>2</v>
      </c>
      <c r="E80" s="64" t="s">
        <v>294</v>
      </c>
      <c r="F80" s="64">
        <v>0</v>
      </c>
      <c r="G80" s="51" t="s">
        <v>12</v>
      </c>
      <c r="H80" s="54">
        <v>0</v>
      </c>
      <c r="I80" s="69">
        <v>0</v>
      </c>
      <c r="J80" s="51">
        <v>0</v>
      </c>
      <c r="K80" s="51">
        <v>0</v>
      </c>
      <c r="L80" s="64">
        <v>0</v>
      </c>
      <c r="M80" s="53" t="s">
        <v>15</v>
      </c>
      <c r="N80" s="51" t="s">
        <v>7</v>
      </c>
      <c r="O80" s="69">
        <v>2.5000000000000001E-2</v>
      </c>
      <c r="P80" s="51" t="s">
        <v>2</v>
      </c>
      <c r="Q80" s="51">
        <v>0</v>
      </c>
      <c r="R80" s="64">
        <v>0</v>
      </c>
      <c r="S80" s="64">
        <v>0</v>
      </c>
      <c r="T80" s="54" t="s">
        <v>13</v>
      </c>
      <c r="U80" s="127">
        <v>0</v>
      </c>
      <c r="V80" s="115">
        <v>1.2009414857886904E-7</v>
      </c>
      <c r="W80" s="115">
        <v>0</v>
      </c>
      <c r="X80" s="115">
        <v>3.2843909509658706E-7</v>
      </c>
      <c r="Y80" s="115">
        <v>14.526941022240393</v>
      </c>
      <c r="Z80" s="115">
        <v>111.251141519207</v>
      </c>
      <c r="AA80" s="132" t="s">
        <v>538</v>
      </c>
      <c r="AB80" s="27">
        <f>$C$31*I80</f>
        <v>0</v>
      </c>
      <c r="AC80" s="29">
        <f>$C$31*O80</f>
        <v>1.3859999999999998E-4</v>
      </c>
      <c r="AD80" s="135">
        <f t="shared" si="14"/>
        <v>0</v>
      </c>
      <c r="AE80" s="135">
        <f t="shared" si="15"/>
        <v>4.5521658580386962E-11</v>
      </c>
      <c r="AF80" s="24">
        <f t="shared" si="16"/>
        <v>1.5419408214562088E-2</v>
      </c>
      <c r="AG80" s="24">
        <f t="shared" si="17"/>
        <v>0</v>
      </c>
      <c r="AH80" s="24">
        <f t="shared" si="18"/>
        <v>0</v>
      </c>
      <c r="AI80" s="24">
        <f t="shared" si="19"/>
        <v>0</v>
      </c>
      <c r="AJ80" s="24">
        <f t="shared" si="20"/>
        <v>0</v>
      </c>
      <c r="AK80" s="24">
        <f t="shared" si="21"/>
        <v>4.5521658580386962E-11</v>
      </c>
      <c r="AL80" s="24">
        <f t="shared" si="22"/>
        <v>1.5419408214562088E-2</v>
      </c>
      <c r="AM80" s="161">
        <f t="shared" si="23"/>
        <v>0</v>
      </c>
      <c r="AN80" s="157">
        <f t="shared" si="24"/>
        <v>4.5521658580386962E-11</v>
      </c>
      <c r="AO80" s="162">
        <f t="shared" si="25"/>
        <v>1.5419408214562088E-2</v>
      </c>
    </row>
    <row r="81" spans="1:41" s="8" customFormat="1" ht="15" customHeight="1" x14ac:dyDescent="0.2">
      <c r="A81" s="68" t="s">
        <v>59</v>
      </c>
      <c r="B81" s="54" t="s">
        <v>16</v>
      </c>
      <c r="C81" s="51">
        <v>0.1</v>
      </c>
      <c r="D81" s="51" t="s">
        <v>2</v>
      </c>
      <c r="E81" s="62" t="s">
        <v>294</v>
      </c>
      <c r="F81" s="62">
        <v>0</v>
      </c>
      <c r="G81" s="51" t="s">
        <v>12</v>
      </c>
      <c r="H81" s="51">
        <v>0</v>
      </c>
      <c r="I81" s="51">
        <v>0</v>
      </c>
      <c r="J81" s="51">
        <v>0</v>
      </c>
      <c r="K81" s="51">
        <v>0</v>
      </c>
      <c r="L81" s="62">
        <v>0</v>
      </c>
      <c r="M81" s="51" t="s">
        <v>69</v>
      </c>
      <c r="N81" s="51" t="s">
        <v>7</v>
      </c>
      <c r="O81" s="69">
        <v>1.0000000000000002E-2</v>
      </c>
      <c r="P81" s="51" t="s">
        <v>2</v>
      </c>
      <c r="Q81" s="8">
        <v>0</v>
      </c>
      <c r="R81" s="62">
        <v>0</v>
      </c>
      <c r="S81" s="62">
        <v>0</v>
      </c>
      <c r="T81" s="80" t="s">
        <v>17</v>
      </c>
      <c r="U81" s="127">
        <v>0</v>
      </c>
      <c r="V81" s="115">
        <v>0</v>
      </c>
      <c r="W81" s="115">
        <v>0</v>
      </c>
      <c r="X81" s="115">
        <v>0</v>
      </c>
      <c r="Y81" s="129">
        <v>47</v>
      </c>
      <c r="Z81" s="129">
        <v>913</v>
      </c>
      <c r="AA81" s="132" t="s">
        <v>539</v>
      </c>
      <c r="AB81" s="27">
        <f>$C$32*I81</f>
        <v>0</v>
      </c>
      <c r="AC81" s="29">
        <f>$C$32*O81</f>
        <v>5.5440000000000005E-5</v>
      </c>
      <c r="AD81" s="135">
        <f t="shared" si="14"/>
        <v>0</v>
      </c>
      <c r="AE81" s="135">
        <f t="shared" si="15"/>
        <v>0</v>
      </c>
      <c r="AF81" s="24">
        <f t="shared" si="16"/>
        <v>5.0616720000000004E-2</v>
      </c>
      <c r="AG81" s="24">
        <f t="shared" si="17"/>
        <v>0</v>
      </c>
      <c r="AH81" s="24">
        <f t="shared" si="18"/>
        <v>0</v>
      </c>
      <c r="AI81" s="24">
        <f t="shared" si="19"/>
        <v>0</v>
      </c>
      <c r="AJ81" s="24">
        <f t="shared" si="20"/>
        <v>0</v>
      </c>
      <c r="AK81" s="24">
        <f t="shared" si="21"/>
        <v>0</v>
      </c>
      <c r="AL81" s="24">
        <f t="shared" si="22"/>
        <v>5.0616720000000004E-2</v>
      </c>
      <c r="AM81" s="161">
        <f t="shared" si="23"/>
        <v>0</v>
      </c>
      <c r="AN81" s="157">
        <f t="shared" si="24"/>
        <v>0</v>
      </c>
      <c r="AO81" s="162">
        <f t="shared" si="25"/>
        <v>5.0616720000000004E-2</v>
      </c>
    </row>
    <row r="82" spans="1:41" s="8" customFormat="1" ht="15" customHeight="1" x14ac:dyDescent="0.2">
      <c r="A82" s="68" t="s">
        <v>59</v>
      </c>
      <c r="B82" s="54" t="s">
        <v>18</v>
      </c>
      <c r="C82" s="51">
        <v>0.05</v>
      </c>
      <c r="D82" s="51" t="s">
        <v>2</v>
      </c>
      <c r="E82" s="62" t="s">
        <v>294</v>
      </c>
      <c r="F82" s="62">
        <v>0</v>
      </c>
      <c r="G82" s="51" t="s">
        <v>12</v>
      </c>
      <c r="H82" s="51">
        <v>0</v>
      </c>
      <c r="I82" s="69">
        <v>0</v>
      </c>
      <c r="J82" s="51">
        <v>0</v>
      </c>
      <c r="K82" s="51">
        <v>0</v>
      </c>
      <c r="L82" s="62">
        <v>0</v>
      </c>
      <c r="M82" s="51" t="s">
        <v>18</v>
      </c>
      <c r="N82" s="51" t="s">
        <v>7</v>
      </c>
      <c r="O82" s="69">
        <v>5.000000000000001E-3</v>
      </c>
      <c r="P82" s="51" t="s">
        <v>2</v>
      </c>
      <c r="Q82" s="51">
        <v>0</v>
      </c>
      <c r="R82" s="62">
        <v>0</v>
      </c>
      <c r="S82" s="62">
        <v>0</v>
      </c>
      <c r="T82" s="54" t="s">
        <v>14</v>
      </c>
      <c r="U82" s="127">
        <v>0</v>
      </c>
      <c r="V82" s="115">
        <v>0</v>
      </c>
      <c r="W82" s="115">
        <v>0</v>
      </c>
      <c r="X82" s="115">
        <v>0</v>
      </c>
      <c r="Y82" s="115">
        <v>109.72</v>
      </c>
      <c r="Z82" s="115">
        <v>110</v>
      </c>
      <c r="AA82" s="132" t="s">
        <v>539</v>
      </c>
      <c r="AB82" s="27">
        <f t="shared" ref="AB82:AB86" si="46">$C$32*I82</f>
        <v>0</v>
      </c>
      <c r="AC82" s="29">
        <f t="shared" ref="AC82:AC86" si="47">$C$32*O82</f>
        <v>2.7720000000000002E-5</v>
      </c>
      <c r="AD82" s="135">
        <f t="shared" si="14"/>
        <v>0</v>
      </c>
      <c r="AE82" s="135">
        <f t="shared" si="15"/>
        <v>0</v>
      </c>
      <c r="AF82" s="24">
        <f t="shared" si="16"/>
        <v>3.0492000000000002E-3</v>
      </c>
      <c r="AG82" s="24">
        <f t="shared" si="17"/>
        <v>0</v>
      </c>
      <c r="AH82" s="24">
        <f t="shared" si="18"/>
        <v>0</v>
      </c>
      <c r="AI82" s="24">
        <f t="shared" si="19"/>
        <v>0</v>
      </c>
      <c r="AJ82" s="24">
        <f t="shared" si="20"/>
        <v>0</v>
      </c>
      <c r="AK82" s="24">
        <f t="shared" si="21"/>
        <v>0</v>
      </c>
      <c r="AL82" s="24">
        <f t="shared" si="22"/>
        <v>3.0492000000000002E-3</v>
      </c>
      <c r="AM82" s="161">
        <f t="shared" si="23"/>
        <v>0</v>
      </c>
      <c r="AN82" s="157">
        <f t="shared" si="24"/>
        <v>0</v>
      </c>
      <c r="AO82" s="162">
        <f t="shared" si="25"/>
        <v>3.0492000000000002E-3</v>
      </c>
    </row>
    <row r="83" spans="1:41" s="8" customFormat="1" ht="15" customHeight="1" x14ac:dyDescent="0.2">
      <c r="A83" s="68" t="s">
        <v>59</v>
      </c>
      <c r="B83" s="54" t="s">
        <v>39</v>
      </c>
      <c r="C83" s="51">
        <v>0</v>
      </c>
      <c r="D83" s="51">
        <v>0</v>
      </c>
      <c r="E83" s="62" t="s">
        <v>1369</v>
      </c>
      <c r="F83" s="62">
        <v>0</v>
      </c>
      <c r="G83" s="51" t="s">
        <v>39</v>
      </c>
      <c r="H83" s="51" t="s">
        <v>6</v>
      </c>
      <c r="I83" s="69">
        <v>1.0000000000000001E-7</v>
      </c>
      <c r="J83" s="51" t="s">
        <v>2</v>
      </c>
      <c r="K83" s="51">
        <v>0</v>
      </c>
      <c r="L83" s="62">
        <v>0</v>
      </c>
      <c r="M83" s="51" t="s">
        <v>39</v>
      </c>
      <c r="N83" s="51" t="s">
        <v>7</v>
      </c>
      <c r="O83" s="69">
        <v>1.0000000000000001E-5</v>
      </c>
      <c r="P83" s="51" t="s">
        <v>2</v>
      </c>
      <c r="Q83" s="51" t="s">
        <v>295</v>
      </c>
      <c r="R83" s="62">
        <v>0</v>
      </c>
      <c r="S83" s="62">
        <v>0</v>
      </c>
      <c r="T83" s="54" t="s">
        <v>60</v>
      </c>
      <c r="U83" s="127">
        <v>1.0252176328593382E-6</v>
      </c>
      <c r="V83" s="115">
        <v>0</v>
      </c>
      <c r="W83" s="115">
        <v>8.6533271568247147E-7</v>
      </c>
      <c r="X83" s="115">
        <v>0</v>
      </c>
      <c r="Y83" s="115">
        <v>0.65406517859613422</v>
      </c>
      <c r="Z83" s="115">
        <v>11.248588270889815</v>
      </c>
      <c r="AA83" s="132" t="s">
        <v>537</v>
      </c>
      <c r="AB83" s="27">
        <f t="shared" si="46"/>
        <v>5.5439999999999997E-10</v>
      </c>
      <c r="AC83" s="29">
        <f t="shared" si="47"/>
        <v>5.5439999999999999E-8</v>
      </c>
      <c r="AD83" s="135">
        <f t="shared" si="14"/>
        <v>4.8542426413093431E-14</v>
      </c>
      <c r="AE83" s="135">
        <f t="shared" si="15"/>
        <v>0</v>
      </c>
      <c r="AF83" s="24">
        <f t="shared" si="16"/>
        <v>6.2398434747314503E-7</v>
      </c>
      <c r="AG83" s="24">
        <f t="shared" si="17"/>
        <v>5.6838065565721704E-16</v>
      </c>
      <c r="AH83" s="24">
        <f t="shared" si="18"/>
        <v>0</v>
      </c>
      <c r="AI83" s="24">
        <f t="shared" si="19"/>
        <v>3.6261373501369681E-10</v>
      </c>
      <c r="AJ83" s="24">
        <f t="shared" si="20"/>
        <v>4.7974045757436215E-14</v>
      </c>
      <c r="AK83" s="24">
        <f t="shared" si="21"/>
        <v>0</v>
      </c>
      <c r="AL83" s="24">
        <f t="shared" si="22"/>
        <v>6.2362173373813131E-7</v>
      </c>
      <c r="AM83" s="161">
        <f t="shared" si="23"/>
        <v>4.8542426413093431E-14</v>
      </c>
      <c r="AN83" s="157">
        <f t="shared" si="24"/>
        <v>0</v>
      </c>
      <c r="AO83" s="162">
        <f t="shared" si="25"/>
        <v>6.2398434747314503E-7</v>
      </c>
    </row>
    <row r="84" spans="1:41" s="8" customFormat="1" ht="15" customHeight="1" x14ac:dyDescent="0.2">
      <c r="A84" s="68" t="s">
        <v>59</v>
      </c>
      <c r="B84" s="54" t="s">
        <v>87</v>
      </c>
      <c r="C84" s="51">
        <v>0</v>
      </c>
      <c r="D84" s="51">
        <v>0</v>
      </c>
      <c r="E84" s="62" t="s">
        <v>1370</v>
      </c>
      <c r="F84" s="62">
        <v>0</v>
      </c>
      <c r="G84" s="51" t="s">
        <v>3</v>
      </c>
      <c r="H84" s="51" t="s">
        <v>6</v>
      </c>
      <c r="I84" s="69">
        <v>1.0000000000000001E-7</v>
      </c>
      <c r="J84" s="51" t="s">
        <v>2</v>
      </c>
      <c r="K84" s="51">
        <v>0</v>
      </c>
      <c r="L84" s="62">
        <v>0</v>
      </c>
      <c r="M84" s="51" t="s">
        <v>3</v>
      </c>
      <c r="N84" s="51" t="s">
        <v>7</v>
      </c>
      <c r="O84" s="69">
        <v>1.0000000000000002E-6</v>
      </c>
      <c r="P84" s="51" t="s">
        <v>2</v>
      </c>
      <c r="Q84" s="51" t="s">
        <v>1371</v>
      </c>
      <c r="R84" s="62">
        <v>0</v>
      </c>
      <c r="S84" s="62">
        <v>0</v>
      </c>
      <c r="T84" s="54" t="s">
        <v>28</v>
      </c>
      <c r="U84" s="127">
        <v>2.5208446330720887E-5</v>
      </c>
      <c r="V84" s="115">
        <v>2.6504960021309262E-7</v>
      </c>
      <c r="W84" s="115">
        <v>1.4222228897488039E-7</v>
      </c>
      <c r="X84" s="115">
        <v>3.170874313501273E-7</v>
      </c>
      <c r="Y84" s="115">
        <v>17.989178582912412</v>
      </c>
      <c r="Z84" s="115">
        <v>290.05086067463066</v>
      </c>
      <c r="AA84" s="132" t="s">
        <v>537</v>
      </c>
      <c r="AB84" s="27">
        <f t="shared" si="46"/>
        <v>5.5439999999999997E-10</v>
      </c>
      <c r="AC84" s="29">
        <f t="shared" si="47"/>
        <v>5.5440000000000007E-9</v>
      </c>
      <c r="AD84" s="135">
        <f t="shared" si="14"/>
        <v>1.4764043015828396E-14</v>
      </c>
      <c r="AE84" s="135">
        <f t="shared" si="15"/>
        <v>1.9048762177632447E-15</v>
      </c>
      <c r="AF84" s="24">
        <f t="shared" si="16"/>
        <v>1.6180151721865192E-6</v>
      </c>
      <c r="AG84" s="24">
        <f t="shared" si="17"/>
        <v>1.3975562645751659E-14</v>
      </c>
      <c r="AH84" s="24">
        <f t="shared" si="18"/>
        <v>1.4694349835813854E-16</v>
      </c>
      <c r="AI84" s="24">
        <f t="shared" si="19"/>
        <v>9.9732006063666409E-9</v>
      </c>
      <c r="AJ84" s="24">
        <f t="shared" si="20"/>
        <v>7.8848037007673701E-16</v>
      </c>
      <c r="AK84" s="24">
        <f t="shared" si="21"/>
        <v>1.757932719405106E-15</v>
      </c>
      <c r="AL84" s="24">
        <f t="shared" si="22"/>
        <v>1.6080419715801526E-6</v>
      </c>
      <c r="AM84" s="161">
        <f t="shared" si="23"/>
        <v>1.4764043015828396E-14</v>
      </c>
      <c r="AN84" s="157">
        <f t="shared" si="24"/>
        <v>1.9048762177632447E-15</v>
      </c>
      <c r="AO84" s="162">
        <f t="shared" si="25"/>
        <v>1.6180151721865192E-6</v>
      </c>
    </row>
    <row r="85" spans="1:41" s="8" customFormat="1" ht="15" customHeight="1" x14ac:dyDescent="0.2">
      <c r="A85" s="68" t="s">
        <v>299</v>
      </c>
      <c r="B85" s="50" t="s">
        <v>36</v>
      </c>
      <c r="C85" s="51">
        <v>0.2</v>
      </c>
      <c r="D85" s="51" t="s">
        <v>2</v>
      </c>
      <c r="E85" s="62" t="s">
        <v>294</v>
      </c>
      <c r="F85" s="62">
        <v>0</v>
      </c>
      <c r="G85" s="51" t="s">
        <v>12</v>
      </c>
      <c r="H85" s="51">
        <v>0</v>
      </c>
      <c r="I85" s="69">
        <v>0</v>
      </c>
      <c r="J85" s="51">
        <v>0</v>
      </c>
      <c r="K85" s="54">
        <v>0</v>
      </c>
      <c r="L85" s="62">
        <v>0</v>
      </c>
      <c r="M85" s="51" t="s">
        <v>36</v>
      </c>
      <c r="N85" s="51" t="s">
        <v>7</v>
      </c>
      <c r="O85" s="69">
        <v>1.0000000000000002E-3</v>
      </c>
      <c r="P85" s="51" t="s">
        <v>2</v>
      </c>
      <c r="Q85" s="54" t="s">
        <v>562</v>
      </c>
      <c r="R85" s="62">
        <v>0</v>
      </c>
      <c r="S85" s="62">
        <v>0</v>
      </c>
      <c r="T85" s="54" t="s">
        <v>37</v>
      </c>
      <c r="U85" s="127">
        <v>0</v>
      </c>
      <c r="V85" s="115">
        <v>0</v>
      </c>
      <c r="W85" s="115">
        <v>0</v>
      </c>
      <c r="X85" s="115">
        <v>0</v>
      </c>
      <c r="Y85" s="115">
        <v>9.2999999999999999E-2</v>
      </c>
      <c r="Z85" s="115">
        <v>33.799999999999997</v>
      </c>
      <c r="AA85" s="132" t="s">
        <v>539</v>
      </c>
      <c r="AB85" s="27">
        <f t="shared" si="46"/>
        <v>0</v>
      </c>
      <c r="AC85" s="29">
        <f t="shared" si="47"/>
        <v>5.5440000000000006E-6</v>
      </c>
      <c r="AD85" s="135">
        <f t="shared" si="14"/>
        <v>0</v>
      </c>
      <c r="AE85" s="135">
        <f t="shared" si="15"/>
        <v>0</v>
      </c>
      <c r="AF85" s="24">
        <f t="shared" si="16"/>
        <v>1.873872E-4</v>
      </c>
      <c r="AG85" s="24">
        <f t="shared" si="17"/>
        <v>0</v>
      </c>
      <c r="AH85" s="24">
        <f t="shared" si="18"/>
        <v>0</v>
      </c>
      <c r="AI85" s="24">
        <f t="shared" si="19"/>
        <v>0</v>
      </c>
      <c r="AJ85" s="24">
        <f t="shared" si="20"/>
        <v>0</v>
      </c>
      <c r="AK85" s="24">
        <f t="shared" si="21"/>
        <v>0</v>
      </c>
      <c r="AL85" s="24">
        <f t="shared" si="22"/>
        <v>1.873872E-4</v>
      </c>
      <c r="AM85" s="161">
        <f t="shared" si="23"/>
        <v>0</v>
      </c>
      <c r="AN85" s="157">
        <f t="shared" si="24"/>
        <v>0</v>
      </c>
      <c r="AO85" s="162">
        <f t="shared" si="25"/>
        <v>1.873872E-4</v>
      </c>
    </row>
    <row r="86" spans="1:41" s="49" customFormat="1" ht="15" customHeight="1" x14ac:dyDescent="0.2">
      <c r="A86" s="193" t="s">
        <v>299</v>
      </c>
      <c r="B86" s="141" t="s">
        <v>26</v>
      </c>
      <c r="C86" s="139">
        <v>0.03</v>
      </c>
      <c r="D86" s="139" t="s">
        <v>2</v>
      </c>
      <c r="E86" s="140" t="s">
        <v>294</v>
      </c>
      <c r="F86" s="140">
        <v>0</v>
      </c>
      <c r="G86" s="139" t="s">
        <v>12</v>
      </c>
      <c r="H86" s="139">
        <v>0</v>
      </c>
      <c r="I86" s="142">
        <v>0</v>
      </c>
      <c r="J86" s="139">
        <v>0</v>
      </c>
      <c r="K86" s="139">
        <v>0</v>
      </c>
      <c r="L86" s="140">
        <v>0</v>
      </c>
      <c r="M86" s="139" t="s">
        <v>26</v>
      </c>
      <c r="N86" s="139" t="s">
        <v>7</v>
      </c>
      <c r="O86" s="142">
        <v>1.5000000000000001E-4</v>
      </c>
      <c r="P86" s="139" t="s">
        <v>2</v>
      </c>
      <c r="Q86" s="139" t="s">
        <v>562</v>
      </c>
      <c r="R86" s="140">
        <v>0</v>
      </c>
      <c r="S86" s="140">
        <v>0</v>
      </c>
      <c r="T86" s="141" t="s">
        <v>27</v>
      </c>
      <c r="U86" s="143">
        <v>0</v>
      </c>
      <c r="V86" s="144">
        <v>0</v>
      </c>
      <c r="W86" s="144">
        <v>0</v>
      </c>
      <c r="X86" s="144">
        <v>0</v>
      </c>
      <c r="Y86" s="144">
        <v>0.92690099117499369</v>
      </c>
      <c r="Z86" s="144">
        <v>47.139947928233759</v>
      </c>
      <c r="AA86" s="145" t="s">
        <v>537</v>
      </c>
      <c r="AB86" s="28">
        <f t="shared" si="46"/>
        <v>0</v>
      </c>
      <c r="AC86" s="146">
        <f t="shared" si="47"/>
        <v>8.3160000000000001E-7</v>
      </c>
      <c r="AD86" s="147">
        <f t="shared" si="14"/>
        <v>0</v>
      </c>
      <c r="AE86" s="147">
        <f t="shared" si="15"/>
        <v>0</v>
      </c>
      <c r="AF86" s="25">
        <f t="shared" si="16"/>
        <v>3.9201580697119194E-5</v>
      </c>
      <c r="AG86" s="25">
        <f t="shared" si="17"/>
        <v>0</v>
      </c>
      <c r="AH86" s="25">
        <f t="shared" si="18"/>
        <v>0</v>
      </c>
      <c r="AI86" s="25">
        <f t="shared" si="19"/>
        <v>0</v>
      </c>
      <c r="AJ86" s="25">
        <f t="shared" si="20"/>
        <v>0</v>
      </c>
      <c r="AK86" s="25">
        <f t="shared" si="21"/>
        <v>0</v>
      </c>
      <c r="AL86" s="25">
        <f t="shared" si="22"/>
        <v>3.9201580697119194E-5</v>
      </c>
      <c r="AM86" s="163">
        <f t="shared" si="23"/>
        <v>0</v>
      </c>
      <c r="AN86" s="164">
        <f t="shared" si="24"/>
        <v>0</v>
      </c>
      <c r="AO86" s="165">
        <f t="shared" si="25"/>
        <v>3.9201580697119194E-5</v>
      </c>
    </row>
    <row r="87" spans="1:41" s="8" customFormat="1" ht="15" customHeight="1" x14ac:dyDescent="0.2">
      <c r="A87" s="68" t="s">
        <v>90</v>
      </c>
      <c r="B87" s="53" t="s">
        <v>35</v>
      </c>
      <c r="C87" s="74">
        <v>0.3</v>
      </c>
      <c r="D87" s="51" t="s">
        <v>2</v>
      </c>
      <c r="E87" s="62" t="s">
        <v>296</v>
      </c>
      <c r="F87" s="62">
        <v>0</v>
      </c>
      <c r="G87" s="53" t="s">
        <v>12</v>
      </c>
      <c r="H87" s="51">
        <v>0</v>
      </c>
      <c r="I87" s="69">
        <v>0</v>
      </c>
      <c r="J87" s="51">
        <v>0</v>
      </c>
      <c r="K87" s="51">
        <v>0</v>
      </c>
      <c r="L87" s="62">
        <v>0</v>
      </c>
      <c r="M87" s="53" t="s">
        <v>35</v>
      </c>
      <c r="N87" s="51" t="s">
        <v>7</v>
      </c>
      <c r="O87" s="69">
        <v>2.9700000000000001E-2</v>
      </c>
      <c r="P87" s="51" t="s">
        <v>2</v>
      </c>
      <c r="Q87" s="8" t="s">
        <v>1367</v>
      </c>
      <c r="R87" s="62">
        <v>0</v>
      </c>
      <c r="S87" s="62">
        <v>0</v>
      </c>
      <c r="T87" s="54" t="s">
        <v>524</v>
      </c>
      <c r="U87" s="127">
        <v>0</v>
      </c>
      <c r="V87" s="115">
        <v>1.318367210059499E-10</v>
      </c>
      <c r="W87" s="115">
        <v>0</v>
      </c>
      <c r="X87" s="115">
        <v>1.3016448977650344E-10</v>
      </c>
      <c r="Y87" s="115">
        <v>1.1181204517092254</v>
      </c>
      <c r="Z87" s="115">
        <v>78.957506928451508</v>
      </c>
      <c r="AA87" s="132" t="s">
        <v>538</v>
      </c>
      <c r="AB87" s="27">
        <f>$C$34*I87</f>
        <v>0</v>
      </c>
      <c r="AC87" s="29">
        <f>$C$34*O87</f>
        <v>4.2946199999999992E-5</v>
      </c>
      <c r="AD87" s="135">
        <f t="shared" si="14"/>
        <v>0</v>
      </c>
      <c r="AE87" s="135">
        <f t="shared" si="15"/>
        <v>5.5900702108396711E-15</v>
      </c>
      <c r="AF87" s="24">
        <f t="shared" si="16"/>
        <v>3.3909248840506634E-3</v>
      </c>
      <c r="AG87" s="24">
        <f t="shared" si="17"/>
        <v>0</v>
      </c>
      <c r="AH87" s="24">
        <f t="shared" si="18"/>
        <v>0</v>
      </c>
      <c r="AI87" s="24">
        <f t="shared" si="19"/>
        <v>0</v>
      </c>
      <c r="AJ87" s="24">
        <f t="shared" si="20"/>
        <v>0</v>
      </c>
      <c r="AK87" s="24">
        <f t="shared" si="21"/>
        <v>5.5900702108396711E-15</v>
      </c>
      <c r="AL87" s="24">
        <f t="shared" si="22"/>
        <v>3.3909248840506634E-3</v>
      </c>
      <c r="AM87" s="161">
        <f t="shared" si="23"/>
        <v>0</v>
      </c>
      <c r="AN87" s="157">
        <f t="shared" si="24"/>
        <v>5.5900702108396711E-15</v>
      </c>
      <c r="AO87" s="162">
        <f t="shared" si="25"/>
        <v>3.3909248840506634E-3</v>
      </c>
    </row>
    <row r="88" spans="1:41" s="8" customFormat="1" ht="15" customHeight="1" x14ac:dyDescent="0.2">
      <c r="A88" s="68" t="s">
        <v>90</v>
      </c>
      <c r="B88" s="2" t="s">
        <v>89</v>
      </c>
      <c r="C88" s="74">
        <v>0</v>
      </c>
      <c r="D88" s="51">
        <v>0</v>
      </c>
      <c r="E88" s="62" t="s">
        <v>1064</v>
      </c>
      <c r="F88" s="62">
        <v>0</v>
      </c>
      <c r="G88" s="51" t="s">
        <v>89</v>
      </c>
      <c r="H88" s="51" t="s">
        <v>6</v>
      </c>
      <c r="I88" s="69">
        <v>3.0000000000000001E-6</v>
      </c>
      <c r="J88" s="51" t="s">
        <v>2</v>
      </c>
      <c r="K88" s="51">
        <v>0</v>
      </c>
      <c r="L88" s="62">
        <v>0</v>
      </c>
      <c r="M88" s="51" t="s">
        <v>89</v>
      </c>
      <c r="N88" s="51" t="s">
        <v>7</v>
      </c>
      <c r="O88" s="69">
        <v>3.0000000000000004E-5</v>
      </c>
      <c r="P88" s="51" t="s">
        <v>2</v>
      </c>
      <c r="Q88" s="51" t="s">
        <v>1368</v>
      </c>
      <c r="R88" s="62">
        <v>0</v>
      </c>
      <c r="S88" s="62">
        <v>0</v>
      </c>
      <c r="T88" s="81" t="s">
        <v>98</v>
      </c>
      <c r="U88" s="127">
        <v>3.0023364753950555E-5</v>
      </c>
      <c r="V88" s="129">
        <v>1.2481126126868064E-4</v>
      </c>
      <c r="W88" s="129">
        <v>1.1959264101490567E-5</v>
      </c>
      <c r="X88" s="129">
        <v>4.9716307568620708E-5</v>
      </c>
      <c r="Y88" s="129">
        <v>10.037499181426883</v>
      </c>
      <c r="Z88" s="129">
        <v>119.14199796898779</v>
      </c>
      <c r="AA88" s="133" t="s">
        <v>537</v>
      </c>
      <c r="AB88" s="27">
        <f t="shared" ref="AB88:AB89" si="48">$C$34*I88</f>
        <v>4.3379999999999997E-9</v>
      </c>
      <c r="AC88" s="29">
        <f t="shared" ref="AC88:AC89" si="49">$C$34*O88</f>
        <v>4.3380000000000002E-8</v>
      </c>
      <c r="AD88" s="135">
        <f t="shared" si="14"/>
        <v>6.4903423302529825E-13</v>
      </c>
      <c r="AE88" s="135">
        <f t="shared" si="15"/>
        <v>2.6981246737103031E-12</v>
      </c>
      <c r="AF88" s="24">
        <f t="shared" si="16"/>
        <v>5.2119225433437211E-6</v>
      </c>
      <c r="AG88" s="24">
        <f t="shared" si="17"/>
        <v>1.302413563026375E-13</v>
      </c>
      <c r="AH88" s="24">
        <f t="shared" si="18"/>
        <v>5.4143125138353658E-13</v>
      </c>
      <c r="AI88" s="24">
        <f t="shared" si="19"/>
        <v>4.3542671449029813E-8</v>
      </c>
      <c r="AJ88" s="24">
        <f t="shared" si="20"/>
        <v>5.1879287672266077E-13</v>
      </c>
      <c r="AK88" s="24">
        <f t="shared" si="21"/>
        <v>2.1566934223267665E-12</v>
      </c>
      <c r="AL88" s="24">
        <f t="shared" si="22"/>
        <v>5.1683798718946911E-6</v>
      </c>
      <c r="AM88" s="161">
        <f t="shared" si="23"/>
        <v>6.4903423302529825E-13</v>
      </c>
      <c r="AN88" s="157">
        <f t="shared" si="24"/>
        <v>2.6981246737103031E-12</v>
      </c>
      <c r="AO88" s="162">
        <f t="shared" si="25"/>
        <v>5.2119225433437211E-6</v>
      </c>
    </row>
    <row r="89" spans="1:41" s="8" customFormat="1" ht="15" customHeight="1" x14ac:dyDescent="0.2">
      <c r="A89" s="68" t="s">
        <v>90</v>
      </c>
      <c r="B89" s="53">
        <v>0</v>
      </c>
      <c r="C89" s="74">
        <v>0</v>
      </c>
      <c r="D89" s="51">
        <v>0</v>
      </c>
      <c r="E89" s="62" t="s">
        <v>1370</v>
      </c>
      <c r="F89" s="62">
        <v>0</v>
      </c>
      <c r="G89" s="2" t="s">
        <v>3</v>
      </c>
      <c r="H89" s="51" t="s">
        <v>6</v>
      </c>
      <c r="I89" s="69">
        <v>2.9999999999999999E-7</v>
      </c>
      <c r="J89" s="51" t="s">
        <v>2</v>
      </c>
      <c r="K89" s="51">
        <v>0</v>
      </c>
      <c r="L89" s="62">
        <v>0</v>
      </c>
      <c r="M89" s="51" t="s">
        <v>3</v>
      </c>
      <c r="N89" s="51" t="s">
        <v>7</v>
      </c>
      <c r="O89" s="69">
        <v>3.0000000000000001E-6</v>
      </c>
      <c r="P89" s="51" t="s">
        <v>2</v>
      </c>
      <c r="Q89" s="51" t="s">
        <v>1371</v>
      </c>
      <c r="R89" s="62">
        <v>0</v>
      </c>
      <c r="S89" s="62">
        <v>0</v>
      </c>
      <c r="T89" s="54" t="s">
        <v>28</v>
      </c>
      <c r="U89" s="127">
        <v>2.5208446330720887E-5</v>
      </c>
      <c r="V89" s="115">
        <v>2.6504960021309262E-7</v>
      </c>
      <c r="W89" s="115">
        <v>1.4222228897488039E-7</v>
      </c>
      <c r="X89" s="115">
        <v>3.170874313501273E-7</v>
      </c>
      <c r="Y89" s="115">
        <v>17.989178582912412</v>
      </c>
      <c r="Z89" s="115">
        <v>290.05086067463066</v>
      </c>
      <c r="AA89" s="132" t="s">
        <v>537</v>
      </c>
      <c r="AB89" s="27">
        <f t="shared" si="48"/>
        <v>4.3379999999999994E-10</v>
      </c>
      <c r="AC89" s="29">
        <f t="shared" si="49"/>
        <v>4.3379999999999997E-9</v>
      </c>
      <c r="AD89" s="135">
        <f t="shared" si="14"/>
        <v>1.155238430783975E-14</v>
      </c>
      <c r="AE89" s="135">
        <f t="shared" si="15"/>
        <v>1.4905037937692918E-15</v>
      </c>
      <c r="AF89" s="24">
        <f t="shared" si="16"/>
        <v>1.2660443392758151E-6</v>
      </c>
      <c r="AG89" s="24">
        <f t="shared" si="17"/>
        <v>1.0935424018266719E-14</v>
      </c>
      <c r="AH89" s="24">
        <f t="shared" si="18"/>
        <v>1.1497851657243957E-16</v>
      </c>
      <c r="AI89" s="24">
        <f t="shared" si="19"/>
        <v>7.8037056692674034E-9</v>
      </c>
      <c r="AJ89" s="24">
        <f t="shared" si="20"/>
        <v>6.1696028957303112E-16</v>
      </c>
      <c r="AK89" s="24">
        <f t="shared" si="21"/>
        <v>1.3755252771968521E-15</v>
      </c>
      <c r="AL89" s="24">
        <f t="shared" si="22"/>
        <v>1.2582406336065478E-6</v>
      </c>
      <c r="AM89" s="161">
        <f t="shared" si="23"/>
        <v>1.155238430783975E-14</v>
      </c>
      <c r="AN89" s="157">
        <f t="shared" si="24"/>
        <v>1.4905037937692918E-15</v>
      </c>
      <c r="AO89" s="162">
        <f t="shared" si="25"/>
        <v>1.2660443392758151E-6</v>
      </c>
    </row>
    <row r="90" spans="1:41" s="8" customFormat="1" ht="15" customHeight="1" x14ac:dyDescent="0.2">
      <c r="A90" s="68" t="s">
        <v>59</v>
      </c>
      <c r="B90" s="54" t="s">
        <v>30</v>
      </c>
      <c r="C90" s="51">
        <v>0.1</v>
      </c>
      <c r="D90" s="51" t="s">
        <v>2</v>
      </c>
      <c r="E90" s="62" t="s">
        <v>294</v>
      </c>
      <c r="F90" s="62">
        <v>0</v>
      </c>
      <c r="G90" s="51" t="s">
        <v>12</v>
      </c>
      <c r="H90" s="51">
        <v>0</v>
      </c>
      <c r="I90" s="51">
        <v>0</v>
      </c>
      <c r="J90" s="51">
        <v>0</v>
      </c>
      <c r="K90" s="51">
        <v>0</v>
      </c>
      <c r="L90" s="62">
        <v>0</v>
      </c>
      <c r="M90" s="51" t="s">
        <v>30</v>
      </c>
      <c r="N90" s="51" t="s">
        <v>7</v>
      </c>
      <c r="O90" s="69">
        <v>9.9000000000000008E-3</v>
      </c>
      <c r="P90" s="51" t="s">
        <v>2</v>
      </c>
      <c r="Q90" s="8" t="s">
        <v>1367</v>
      </c>
      <c r="R90" s="62">
        <v>0</v>
      </c>
      <c r="S90" s="62">
        <v>0</v>
      </c>
      <c r="T90" s="80" t="s">
        <v>34</v>
      </c>
      <c r="U90" s="127">
        <v>0</v>
      </c>
      <c r="V90" s="115">
        <v>0</v>
      </c>
      <c r="W90" s="115">
        <v>0</v>
      </c>
      <c r="X90" s="115">
        <v>0</v>
      </c>
      <c r="Y90" s="129">
        <v>7.06</v>
      </c>
      <c r="Z90" s="129">
        <v>78.599999999999994</v>
      </c>
      <c r="AA90" s="132" t="s">
        <v>539</v>
      </c>
      <c r="AB90" s="27">
        <f>$C$35*I90</f>
        <v>0</v>
      </c>
      <c r="AC90" s="29">
        <f>$C$35*O90</f>
        <v>1.4315399999999998E-5</v>
      </c>
      <c r="AD90" s="135">
        <f t="shared" si="14"/>
        <v>0</v>
      </c>
      <c r="AE90" s="135">
        <f t="shared" si="15"/>
        <v>0</v>
      </c>
      <c r="AF90" s="24">
        <f t="shared" si="16"/>
        <v>1.1251904399999998E-3</v>
      </c>
      <c r="AG90" s="24">
        <f t="shared" si="17"/>
        <v>0</v>
      </c>
      <c r="AH90" s="24">
        <f t="shared" si="18"/>
        <v>0</v>
      </c>
      <c r="AI90" s="24">
        <f t="shared" si="19"/>
        <v>0</v>
      </c>
      <c r="AJ90" s="24">
        <f t="shared" si="20"/>
        <v>0</v>
      </c>
      <c r="AK90" s="24">
        <f t="shared" si="21"/>
        <v>0</v>
      </c>
      <c r="AL90" s="24">
        <f t="shared" si="22"/>
        <v>1.1251904399999998E-3</v>
      </c>
      <c r="AM90" s="161">
        <f t="shared" si="23"/>
        <v>0</v>
      </c>
      <c r="AN90" s="157">
        <f t="shared" si="24"/>
        <v>0</v>
      </c>
      <c r="AO90" s="162">
        <f t="shared" si="25"/>
        <v>1.1251904399999998E-3</v>
      </c>
    </row>
    <row r="91" spans="1:41" s="8" customFormat="1" ht="15" customHeight="1" x14ac:dyDescent="0.2">
      <c r="A91" s="68" t="s">
        <v>59</v>
      </c>
      <c r="B91" s="54" t="s">
        <v>15</v>
      </c>
      <c r="C91" s="51">
        <v>0.25</v>
      </c>
      <c r="D91" s="51" t="s">
        <v>2</v>
      </c>
      <c r="E91" s="62" t="s">
        <v>294</v>
      </c>
      <c r="F91" s="62">
        <v>0</v>
      </c>
      <c r="G91" s="51" t="s">
        <v>12</v>
      </c>
      <c r="H91" s="51">
        <v>0</v>
      </c>
      <c r="I91" s="69">
        <v>0</v>
      </c>
      <c r="J91" s="51">
        <v>0</v>
      </c>
      <c r="K91" s="51">
        <v>0</v>
      </c>
      <c r="L91" s="62">
        <v>0</v>
      </c>
      <c r="M91" s="51" t="s">
        <v>15</v>
      </c>
      <c r="N91" s="51" t="s">
        <v>7</v>
      </c>
      <c r="O91" s="69">
        <v>2.5000000000000001E-2</v>
      </c>
      <c r="P91" s="51" t="s">
        <v>2</v>
      </c>
      <c r="Q91" s="51">
        <v>0</v>
      </c>
      <c r="R91" s="62">
        <v>0</v>
      </c>
      <c r="S91" s="62">
        <v>0</v>
      </c>
      <c r="T91" s="54" t="s">
        <v>13</v>
      </c>
      <c r="U91" s="127">
        <v>0</v>
      </c>
      <c r="V91" s="115">
        <v>1.2009414857886904E-7</v>
      </c>
      <c r="W91" s="115">
        <v>0</v>
      </c>
      <c r="X91" s="115">
        <v>3.2843909509658706E-7</v>
      </c>
      <c r="Y91" s="115">
        <v>14.526941022240393</v>
      </c>
      <c r="Z91" s="115">
        <v>111.251141519207</v>
      </c>
      <c r="AA91" s="132" t="s">
        <v>538</v>
      </c>
      <c r="AB91" s="27">
        <f t="shared" ref="AB91:AB93" si="50">$C$35*I91</f>
        <v>0</v>
      </c>
      <c r="AC91" s="29">
        <f t="shared" ref="AC91:AC93" si="51">$C$35*O91</f>
        <v>3.6149999999999998E-5</v>
      </c>
      <c r="AD91" s="135">
        <f t="shared" si="14"/>
        <v>0</v>
      </c>
      <c r="AE91" s="135">
        <f t="shared" si="15"/>
        <v>1.1873073287741621E-11</v>
      </c>
      <c r="AF91" s="24">
        <f t="shared" si="16"/>
        <v>4.0217287659193328E-3</v>
      </c>
      <c r="AG91" s="24">
        <f t="shared" si="17"/>
        <v>0</v>
      </c>
      <c r="AH91" s="24">
        <f t="shared" si="18"/>
        <v>0</v>
      </c>
      <c r="AI91" s="24">
        <f t="shared" si="19"/>
        <v>0</v>
      </c>
      <c r="AJ91" s="24">
        <f t="shared" si="20"/>
        <v>0</v>
      </c>
      <c r="AK91" s="24">
        <f t="shared" si="21"/>
        <v>1.1873073287741621E-11</v>
      </c>
      <c r="AL91" s="24">
        <f t="shared" si="22"/>
        <v>4.0217287659193328E-3</v>
      </c>
      <c r="AM91" s="161">
        <f t="shared" si="23"/>
        <v>0</v>
      </c>
      <c r="AN91" s="157">
        <f t="shared" si="24"/>
        <v>1.1873073287741621E-11</v>
      </c>
      <c r="AO91" s="162">
        <f t="shared" si="25"/>
        <v>4.0217287659193328E-3</v>
      </c>
    </row>
    <row r="92" spans="1:41" s="8" customFormat="1" ht="15" customHeight="1" x14ac:dyDescent="0.2">
      <c r="A92" s="68" t="s">
        <v>59</v>
      </c>
      <c r="B92" s="54" t="s">
        <v>16</v>
      </c>
      <c r="C92" s="51">
        <v>0.1</v>
      </c>
      <c r="D92" s="51" t="s">
        <v>2</v>
      </c>
      <c r="E92" s="62" t="s">
        <v>294</v>
      </c>
      <c r="F92" s="62">
        <v>0</v>
      </c>
      <c r="G92" s="51" t="s">
        <v>12</v>
      </c>
      <c r="H92" s="51">
        <v>0</v>
      </c>
      <c r="I92" s="69">
        <v>0</v>
      </c>
      <c r="J92" s="51">
        <v>0</v>
      </c>
      <c r="K92" s="51">
        <v>0</v>
      </c>
      <c r="L92" s="62">
        <v>0</v>
      </c>
      <c r="M92" s="51" t="s">
        <v>69</v>
      </c>
      <c r="N92" s="51" t="s">
        <v>7</v>
      </c>
      <c r="O92" s="69">
        <v>1.0000000000000002E-2</v>
      </c>
      <c r="P92" s="51" t="s">
        <v>2</v>
      </c>
      <c r="Q92" s="51">
        <v>0</v>
      </c>
      <c r="R92" s="62">
        <v>0</v>
      </c>
      <c r="S92" s="62">
        <v>0</v>
      </c>
      <c r="T92" s="54" t="s">
        <v>17</v>
      </c>
      <c r="U92" s="127">
        <v>0</v>
      </c>
      <c r="V92" s="115">
        <v>0</v>
      </c>
      <c r="W92" s="115">
        <v>0</v>
      </c>
      <c r="X92" s="115">
        <v>0</v>
      </c>
      <c r="Y92" s="115">
        <v>47</v>
      </c>
      <c r="Z92" s="115">
        <v>913</v>
      </c>
      <c r="AA92" s="132" t="s">
        <v>539</v>
      </c>
      <c r="AB92" s="27">
        <f t="shared" si="50"/>
        <v>0</v>
      </c>
      <c r="AC92" s="29">
        <f t="shared" si="51"/>
        <v>1.446E-5</v>
      </c>
      <c r="AD92" s="135">
        <f t="shared" si="14"/>
        <v>0</v>
      </c>
      <c r="AE92" s="135">
        <f t="shared" si="15"/>
        <v>0</v>
      </c>
      <c r="AF92" s="24">
        <f t="shared" si="16"/>
        <v>1.320198E-2</v>
      </c>
      <c r="AG92" s="24">
        <f t="shared" si="17"/>
        <v>0</v>
      </c>
      <c r="AH92" s="24">
        <f t="shared" si="18"/>
        <v>0</v>
      </c>
      <c r="AI92" s="24">
        <f t="shared" si="19"/>
        <v>0</v>
      </c>
      <c r="AJ92" s="24">
        <f t="shared" si="20"/>
        <v>0</v>
      </c>
      <c r="AK92" s="24">
        <f t="shared" si="21"/>
        <v>0</v>
      </c>
      <c r="AL92" s="24">
        <f t="shared" si="22"/>
        <v>1.320198E-2</v>
      </c>
      <c r="AM92" s="161">
        <f t="shared" si="23"/>
        <v>0</v>
      </c>
      <c r="AN92" s="157">
        <f t="shared" si="24"/>
        <v>0</v>
      </c>
      <c r="AO92" s="162">
        <f t="shared" si="25"/>
        <v>1.320198E-2</v>
      </c>
    </row>
    <row r="93" spans="1:41" s="8" customFormat="1" ht="15" customHeight="1" x14ac:dyDescent="0.2">
      <c r="A93" s="68" t="s">
        <v>59</v>
      </c>
      <c r="B93" s="54" t="s">
        <v>18</v>
      </c>
      <c r="C93" s="51">
        <v>0.05</v>
      </c>
      <c r="D93" s="51" t="s">
        <v>2</v>
      </c>
      <c r="E93" s="62" t="s">
        <v>294</v>
      </c>
      <c r="F93" s="62">
        <v>0</v>
      </c>
      <c r="G93" s="51" t="s">
        <v>12</v>
      </c>
      <c r="H93" s="51">
        <v>0</v>
      </c>
      <c r="I93" s="69">
        <v>0</v>
      </c>
      <c r="J93" s="51">
        <v>0</v>
      </c>
      <c r="K93" s="51">
        <v>0</v>
      </c>
      <c r="L93" s="62">
        <v>0</v>
      </c>
      <c r="M93" s="51" t="s">
        <v>18</v>
      </c>
      <c r="N93" s="51" t="s">
        <v>7</v>
      </c>
      <c r="O93" s="69">
        <v>5.000000000000001E-3</v>
      </c>
      <c r="P93" s="51" t="s">
        <v>2</v>
      </c>
      <c r="Q93" s="51">
        <v>0</v>
      </c>
      <c r="R93" s="62">
        <v>0</v>
      </c>
      <c r="S93" s="62">
        <v>0</v>
      </c>
      <c r="T93" s="54" t="s">
        <v>14</v>
      </c>
      <c r="U93" s="127">
        <v>0</v>
      </c>
      <c r="V93" s="115">
        <v>0</v>
      </c>
      <c r="W93" s="115">
        <v>0</v>
      </c>
      <c r="X93" s="115">
        <v>0</v>
      </c>
      <c r="Y93" s="115">
        <v>109.72</v>
      </c>
      <c r="Z93" s="115">
        <v>110</v>
      </c>
      <c r="AA93" s="132" t="s">
        <v>539</v>
      </c>
      <c r="AB93" s="27">
        <f t="shared" si="50"/>
        <v>0</v>
      </c>
      <c r="AC93" s="29">
        <f t="shared" si="51"/>
        <v>7.2300000000000002E-6</v>
      </c>
      <c r="AD93" s="135">
        <f t="shared" si="14"/>
        <v>0</v>
      </c>
      <c r="AE93" s="135">
        <f t="shared" si="15"/>
        <v>0</v>
      </c>
      <c r="AF93" s="24">
        <f t="shared" si="16"/>
        <v>7.9529999999999998E-4</v>
      </c>
      <c r="AG93" s="24">
        <f t="shared" si="17"/>
        <v>0</v>
      </c>
      <c r="AH93" s="24">
        <f t="shared" si="18"/>
        <v>0</v>
      </c>
      <c r="AI93" s="24">
        <f t="shared" si="19"/>
        <v>0</v>
      </c>
      <c r="AJ93" s="24">
        <f t="shared" si="20"/>
        <v>0</v>
      </c>
      <c r="AK93" s="24">
        <f t="shared" si="21"/>
        <v>0</v>
      </c>
      <c r="AL93" s="24">
        <f t="shared" si="22"/>
        <v>7.9529999999999998E-4</v>
      </c>
      <c r="AM93" s="161">
        <f t="shared" si="23"/>
        <v>0</v>
      </c>
      <c r="AN93" s="157">
        <f t="shared" si="24"/>
        <v>0</v>
      </c>
      <c r="AO93" s="162">
        <f t="shared" si="25"/>
        <v>7.9529999999999998E-4</v>
      </c>
    </row>
    <row r="94" spans="1:41" s="8" customFormat="1" ht="15" customHeight="1" x14ac:dyDescent="0.2">
      <c r="A94" s="68" t="s">
        <v>59</v>
      </c>
      <c r="B94" s="50" t="s">
        <v>39</v>
      </c>
      <c r="C94" s="51">
        <v>0</v>
      </c>
      <c r="D94" s="51">
        <v>0</v>
      </c>
      <c r="E94" s="62" t="s">
        <v>1369</v>
      </c>
      <c r="F94" s="62">
        <v>0</v>
      </c>
      <c r="G94" s="51" t="s">
        <v>39</v>
      </c>
      <c r="H94" s="51" t="s">
        <v>6</v>
      </c>
      <c r="I94" s="69">
        <v>1.0000000000000001E-7</v>
      </c>
      <c r="J94" s="51" t="s">
        <v>2</v>
      </c>
      <c r="K94" s="54">
        <v>0</v>
      </c>
      <c r="L94" s="62">
        <v>0</v>
      </c>
      <c r="M94" s="51" t="s">
        <v>39</v>
      </c>
      <c r="N94" s="51" t="s">
        <v>7</v>
      </c>
      <c r="O94" s="69">
        <v>1.0000000000000001E-5</v>
      </c>
      <c r="P94" s="51" t="s">
        <v>2</v>
      </c>
      <c r="Q94" s="54" t="s">
        <v>295</v>
      </c>
      <c r="R94" s="62">
        <v>0</v>
      </c>
      <c r="S94" s="62">
        <v>0</v>
      </c>
      <c r="T94" s="54" t="s">
        <v>60</v>
      </c>
      <c r="U94" s="127">
        <v>1.0252176328593382E-6</v>
      </c>
      <c r="V94" s="115">
        <v>0</v>
      </c>
      <c r="W94" s="115">
        <v>8.6533271568247147E-7</v>
      </c>
      <c r="X94" s="115">
        <v>0</v>
      </c>
      <c r="Y94" s="115">
        <v>0.65406517859613422</v>
      </c>
      <c r="Z94" s="115">
        <v>11.248588270889815</v>
      </c>
      <c r="AA94" s="132" t="s">
        <v>537</v>
      </c>
      <c r="AB94" s="27">
        <f t="shared" ref="AB94:AB95" si="52">$C$35*I94</f>
        <v>1.446E-10</v>
      </c>
      <c r="AC94" s="29">
        <f t="shared" ref="AC94:AC95" si="53">$C$35*O94</f>
        <v>1.4459999999999998E-8</v>
      </c>
      <c r="AD94" s="135">
        <f t="shared" si="14"/>
        <v>1.2660957538479995E-14</v>
      </c>
      <c r="AE94" s="135">
        <f t="shared" si="15"/>
        <v>0</v>
      </c>
      <c r="AF94" s="24">
        <f t="shared" si="16"/>
        <v>1.627491642218917E-7</v>
      </c>
      <c r="AG94" s="24">
        <f t="shared" si="17"/>
        <v>1.4824646971146031E-16</v>
      </c>
      <c r="AH94" s="24">
        <f t="shared" si="18"/>
        <v>0</v>
      </c>
      <c r="AI94" s="24">
        <f t="shared" si="19"/>
        <v>9.4577824825001E-11</v>
      </c>
      <c r="AJ94" s="24">
        <f t="shared" si="20"/>
        <v>1.2512711068768536E-14</v>
      </c>
      <c r="AK94" s="24">
        <f t="shared" si="21"/>
        <v>0</v>
      </c>
      <c r="AL94" s="24">
        <f t="shared" si="22"/>
        <v>1.6265458639706671E-7</v>
      </c>
      <c r="AM94" s="161">
        <f t="shared" si="23"/>
        <v>1.2660957538479995E-14</v>
      </c>
      <c r="AN94" s="157">
        <f t="shared" si="24"/>
        <v>0</v>
      </c>
      <c r="AO94" s="162">
        <f t="shared" si="25"/>
        <v>1.627491642218917E-7</v>
      </c>
    </row>
    <row r="95" spans="1:41" s="8" customFormat="1" ht="15" customHeight="1" x14ac:dyDescent="0.2">
      <c r="A95" s="68" t="s">
        <v>59</v>
      </c>
      <c r="B95" s="54" t="s">
        <v>87</v>
      </c>
      <c r="C95" s="51">
        <v>0</v>
      </c>
      <c r="D95" s="51">
        <v>0</v>
      </c>
      <c r="E95" s="62" t="s">
        <v>1370</v>
      </c>
      <c r="F95" s="62">
        <v>0</v>
      </c>
      <c r="G95" s="51" t="s">
        <v>3</v>
      </c>
      <c r="H95" s="51" t="s">
        <v>6</v>
      </c>
      <c r="I95" s="69">
        <v>1.0000000000000001E-7</v>
      </c>
      <c r="J95" s="51" t="s">
        <v>2</v>
      </c>
      <c r="K95" s="51">
        <v>0</v>
      </c>
      <c r="L95" s="62">
        <v>0</v>
      </c>
      <c r="M95" s="51" t="s">
        <v>3</v>
      </c>
      <c r="N95" s="51" t="s">
        <v>7</v>
      </c>
      <c r="O95" s="69">
        <v>1.0000000000000002E-6</v>
      </c>
      <c r="P95" s="51" t="s">
        <v>2</v>
      </c>
      <c r="Q95" s="51" t="s">
        <v>1371</v>
      </c>
      <c r="R95" s="62">
        <v>0</v>
      </c>
      <c r="S95" s="62">
        <v>0</v>
      </c>
      <c r="T95" s="54" t="s">
        <v>28</v>
      </c>
      <c r="U95" s="127">
        <v>2.5208446330720887E-5</v>
      </c>
      <c r="V95" s="115">
        <v>2.6504960021309262E-7</v>
      </c>
      <c r="W95" s="115">
        <v>1.4222228897488039E-7</v>
      </c>
      <c r="X95" s="115">
        <v>3.170874313501273E-7</v>
      </c>
      <c r="Y95" s="115">
        <v>17.989178582912412</v>
      </c>
      <c r="Z95" s="115">
        <v>290.05086067463066</v>
      </c>
      <c r="AA95" s="132" t="s">
        <v>537</v>
      </c>
      <c r="AB95" s="27">
        <f t="shared" si="52"/>
        <v>1.446E-10</v>
      </c>
      <c r="AC95" s="29">
        <f t="shared" si="53"/>
        <v>1.446E-9</v>
      </c>
      <c r="AD95" s="135">
        <f t="shared" si="14"/>
        <v>3.850794769279917E-15</v>
      </c>
      <c r="AE95" s="135">
        <f t="shared" si="15"/>
        <v>4.9683459792309725E-16</v>
      </c>
      <c r="AF95" s="24">
        <f t="shared" si="16"/>
        <v>4.2201477975860501E-7</v>
      </c>
      <c r="AG95" s="24">
        <f t="shared" si="17"/>
        <v>3.6451413394222403E-15</v>
      </c>
      <c r="AH95" s="24">
        <f t="shared" si="18"/>
        <v>3.8326172190813189E-17</v>
      </c>
      <c r="AI95" s="24">
        <f t="shared" si="19"/>
        <v>2.6012352230891348E-9</v>
      </c>
      <c r="AJ95" s="24">
        <f t="shared" si="20"/>
        <v>2.0565342985767704E-16</v>
      </c>
      <c r="AK95" s="24">
        <f t="shared" si="21"/>
        <v>4.5850842573228411E-16</v>
      </c>
      <c r="AL95" s="24">
        <f t="shared" si="22"/>
        <v>4.1941354453551589E-7</v>
      </c>
      <c r="AM95" s="161">
        <f t="shared" si="23"/>
        <v>3.850794769279917E-15</v>
      </c>
      <c r="AN95" s="157">
        <f t="shared" si="24"/>
        <v>4.9683459792309725E-16</v>
      </c>
      <c r="AO95" s="162">
        <f t="shared" si="25"/>
        <v>4.2201477975860501E-7</v>
      </c>
    </row>
    <row r="96" spans="1:41" s="8" customFormat="1" ht="15" customHeight="1" x14ac:dyDescent="0.2">
      <c r="A96" s="70" t="s">
        <v>308</v>
      </c>
      <c r="B96" s="53" t="s">
        <v>19</v>
      </c>
      <c r="C96" s="74">
        <v>0.3</v>
      </c>
      <c r="D96" s="51" t="s">
        <v>2</v>
      </c>
      <c r="E96" s="62" t="s">
        <v>294</v>
      </c>
      <c r="F96" s="62">
        <v>0</v>
      </c>
      <c r="G96" s="51" t="s">
        <v>65</v>
      </c>
      <c r="H96" s="54" t="s">
        <v>6</v>
      </c>
      <c r="I96" s="69">
        <v>2.9999999999999997E-4</v>
      </c>
      <c r="J96" s="51">
        <v>0</v>
      </c>
      <c r="K96" s="51">
        <v>0</v>
      </c>
      <c r="L96" s="62">
        <v>0</v>
      </c>
      <c r="M96" s="51" t="s">
        <v>65</v>
      </c>
      <c r="N96" s="51" t="s">
        <v>7</v>
      </c>
      <c r="O96" s="69">
        <v>0.03</v>
      </c>
      <c r="P96" s="51" t="s">
        <v>2</v>
      </c>
      <c r="Q96" s="51">
        <v>0</v>
      </c>
      <c r="R96" s="62">
        <v>0</v>
      </c>
      <c r="S96" s="62">
        <v>0</v>
      </c>
      <c r="T96" s="54" t="s">
        <v>20</v>
      </c>
      <c r="U96" s="127">
        <v>0</v>
      </c>
      <c r="V96" s="115">
        <v>2.5624272316803493E-8</v>
      </c>
      <c r="W96" s="115">
        <v>0</v>
      </c>
      <c r="X96" s="115">
        <v>6.1179997974786175E-9</v>
      </c>
      <c r="Y96" s="115">
        <v>95.727827940780713</v>
      </c>
      <c r="Z96" s="115">
        <v>451.93033608164546</v>
      </c>
      <c r="AA96" s="132" t="s">
        <v>538</v>
      </c>
      <c r="AB96" s="27">
        <f>$C$36*I96</f>
        <v>4.3379999999999993E-7</v>
      </c>
      <c r="AC96" s="29">
        <f>$C$36*O96</f>
        <v>4.3379999999999995E-5</v>
      </c>
      <c r="AD96" s="135">
        <f t="shared" si="14"/>
        <v>0</v>
      </c>
      <c r="AE96" s="135">
        <f t="shared" si="15"/>
        <v>2.7651464054565175E-13</v>
      </c>
      <c r="AF96" s="24">
        <f t="shared" si="16"/>
        <v>1.9646264710982488E-2</v>
      </c>
      <c r="AG96" s="24">
        <f t="shared" si="17"/>
        <v>0</v>
      </c>
      <c r="AH96" s="24">
        <f t="shared" si="18"/>
        <v>1.1115809331029354E-14</v>
      </c>
      <c r="AI96" s="24">
        <f t="shared" si="19"/>
        <v>4.1526731760710669E-5</v>
      </c>
      <c r="AJ96" s="24">
        <f t="shared" si="20"/>
        <v>0</v>
      </c>
      <c r="AK96" s="24">
        <f t="shared" si="21"/>
        <v>2.6539883121462242E-13</v>
      </c>
      <c r="AL96" s="24">
        <f t="shared" si="22"/>
        <v>1.9604737979221777E-2</v>
      </c>
      <c r="AM96" s="161">
        <f t="shared" si="23"/>
        <v>0</v>
      </c>
      <c r="AN96" s="157">
        <f t="shared" si="24"/>
        <v>2.7651464054565175E-13</v>
      </c>
      <c r="AO96" s="162">
        <f t="shared" si="25"/>
        <v>1.9646264710982488E-2</v>
      </c>
    </row>
    <row r="97" spans="1:41" s="8" customFormat="1" ht="15" customHeight="1" x14ac:dyDescent="0.2">
      <c r="A97" s="70" t="s">
        <v>370</v>
      </c>
      <c r="B97" s="54" t="s">
        <v>376</v>
      </c>
      <c r="C97" s="71">
        <v>0.7</v>
      </c>
      <c r="D97" s="51" t="s">
        <v>2</v>
      </c>
      <c r="E97" s="62" t="s">
        <v>294</v>
      </c>
      <c r="F97" s="62">
        <v>0</v>
      </c>
      <c r="G97" s="51" t="s">
        <v>377</v>
      </c>
      <c r="H97" s="51" t="s">
        <v>6</v>
      </c>
      <c r="I97" s="51">
        <v>6.9999999999999999E-4</v>
      </c>
      <c r="J97" s="51" t="s">
        <v>2</v>
      </c>
      <c r="K97" s="51">
        <v>0</v>
      </c>
      <c r="L97" s="62">
        <v>0</v>
      </c>
      <c r="M97" s="51" t="s">
        <v>377</v>
      </c>
      <c r="N97" s="51" t="s">
        <v>7</v>
      </c>
      <c r="O97" s="69">
        <v>6.9999999999999993E-2</v>
      </c>
      <c r="P97" s="51" t="s">
        <v>2</v>
      </c>
      <c r="Q97" s="51">
        <v>0</v>
      </c>
      <c r="R97" s="62">
        <v>0</v>
      </c>
      <c r="S97" s="62">
        <v>0</v>
      </c>
      <c r="T97" s="54" t="s">
        <v>378</v>
      </c>
      <c r="U97" s="127">
        <v>0</v>
      </c>
      <c r="V97" s="115">
        <v>0</v>
      </c>
      <c r="W97" s="115">
        <v>0</v>
      </c>
      <c r="X97" s="115">
        <v>0</v>
      </c>
      <c r="Y97" s="115">
        <v>87</v>
      </c>
      <c r="Z97" s="115">
        <v>2740</v>
      </c>
      <c r="AA97" s="132" t="s">
        <v>539</v>
      </c>
      <c r="AB97" s="27">
        <f t="shared" ref="AB97:AB100" si="54">$C$37*I97</f>
        <v>1.0121999999999998E-6</v>
      </c>
      <c r="AC97" s="29">
        <f t="shared" ref="AC97:AC100" si="55">$C$37*O97</f>
        <v>1.0121999999999997E-4</v>
      </c>
      <c r="AD97" s="135">
        <f t="shared" ref="AD97:AD100" si="56">AB97*U97+AC97*W97</f>
        <v>0</v>
      </c>
      <c r="AE97" s="135">
        <f t="shared" ref="AE97:AE100" si="57">AB97*V97+AC97*X97</f>
        <v>0</v>
      </c>
      <c r="AF97" s="24">
        <f t="shared" ref="AF97:AF100" si="58">AB97*Y97+AC97*Z97</f>
        <v>0.2774308613999999</v>
      </c>
      <c r="AG97" s="24">
        <f t="shared" ref="AG97:AG100" si="59">AB97*U97</f>
        <v>0</v>
      </c>
      <c r="AH97" s="24">
        <f t="shared" ref="AH97:AH100" si="60">AB97*V97</f>
        <v>0</v>
      </c>
      <c r="AI97" s="24">
        <f t="shared" ref="AI97:AI100" si="61">AB97*Y97</f>
        <v>8.8061399999999983E-5</v>
      </c>
      <c r="AJ97" s="24">
        <f t="shared" ref="AJ97:AJ100" si="62">AC97*W97</f>
        <v>0</v>
      </c>
      <c r="AK97" s="24">
        <f t="shared" ref="AK97:AK100" si="63">AC97*X97</f>
        <v>0</v>
      </c>
      <c r="AL97" s="24">
        <f t="shared" ref="AL97:AL100" si="64">AC97*Z97</f>
        <v>0.27734279999999989</v>
      </c>
      <c r="AM97" s="161">
        <f t="shared" ref="AM97:AM100" si="65">AG97+AJ97</f>
        <v>0</v>
      </c>
      <c r="AN97" s="157">
        <f t="shared" ref="AN97:AN100" si="66">AH97+AK97</f>
        <v>0</v>
      </c>
      <c r="AO97" s="162">
        <f t="shared" ref="AO97:AO100" si="67">AI97+AL97</f>
        <v>0.2774308613999999</v>
      </c>
    </row>
    <row r="98" spans="1:41" s="8" customFormat="1" ht="15" customHeight="1" x14ac:dyDescent="0.2">
      <c r="A98" s="70" t="s">
        <v>370</v>
      </c>
      <c r="B98" s="50" t="s">
        <v>371</v>
      </c>
      <c r="C98" s="71">
        <v>0.15</v>
      </c>
      <c r="D98" s="51" t="s">
        <v>2</v>
      </c>
      <c r="E98" s="62" t="s">
        <v>294</v>
      </c>
      <c r="F98" s="62">
        <v>0</v>
      </c>
      <c r="G98" s="51" t="s">
        <v>371</v>
      </c>
      <c r="H98" s="51" t="s">
        <v>6</v>
      </c>
      <c r="I98" s="51">
        <v>1.4999999999999999E-4</v>
      </c>
      <c r="J98" s="51" t="s">
        <v>2</v>
      </c>
      <c r="K98" s="51">
        <v>0</v>
      </c>
      <c r="L98" s="62">
        <v>0</v>
      </c>
      <c r="M98" s="51" t="s">
        <v>371</v>
      </c>
      <c r="N98" s="51" t="s">
        <v>7</v>
      </c>
      <c r="O98" s="69">
        <v>1.4999999999999999E-2</v>
      </c>
      <c r="P98" s="51" t="s">
        <v>2</v>
      </c>
      <c r="Q98" s="51">
        <v>0</v>
      </c>
      <c r="R98" s="62">
        <v>0</v>
      </c>
      <c r="S98" s="62">
        <v>0</v>
      </c>
      <c r="T98" s="54" t="s">
        <v>372</v>
      </c>
      <c r="U98" s="127">
        <v>0</v>
      </c>
      <c r="V98" s="115">
        <v>0</v>
      </c>
      <c r="W98" s="115">
        <v>0</v>
      </c>
      <c r="X98" s="115">
        <v>0</v>
      </c>
      <c r="Y98" s="115">
        <v>1.5026837363888605</v>
      </c>
      <c r="Z98" s="115">
        <v>72.122957517746116</v>
      </c>
      <c r="AA98" s="132" t="s">
        <v>537</v>
      </c>
      <c r="AB98" s="27">
        <f t="shared" si="54"/>
        <v>2.1689999999999996E-7</v>
      </c>
      <c r="AC98" s="29">
        <f t="shared" si="55"/>
        <v>2.1689999999999997E-5</v>
      </c>
      <c r="AD98" s="135">
        <f t="shared" si="56"/>
        <v>0</v>
      </c>
      <c r="AE98" s="135">
        <f t="shared" si="57"/>
        <v>0</v>
      </c>
      <c r="AF98" s="24">
        <f t="shared" si="58"/>
        <v>1.5646728806623358E-3</v>
      </c>
      <c r="AG98" s="24">
        <f t="shared" si="59"/>
        <v>0</v>
      </c>
      <c r="AH98" s="24">
        <f t="shared" si="60"/>
        <v>0</v>
      </c>
      <c r="AI98" s="24">
        <f t="shared" si="61"/>
        <v>3.2593210242274378E-7</v>
      </c>
      <c r="AJ98" s="24">
        <f t="shared" si="62"/>
        <v>0</v>
      </c>
      <c r="AK98" s="24">
        <f t="shared" si="63"/>
        <v>0</v>
      </c>
      <c r="AL98" s="24">
        <f t="shared" si="64"/>
        <v>1.564346948559913E-3</v>
      </c>
      <c r="AM98" s="161">
        <f t="shared" si="65"/>
        <v>0</v>
      </c>
      <c r="AN98" s="157">
        <f t="shared" si="66"/>
        <v>0</v>
      </c>
      <c r="AO98" s="162">
        <f t="shared" si="67"/>
        <v>1.5646728806623358E-3</v>
      </c>
    </row>
    <row r="99" spans="1:41" s="8" customFormat="1" ht="15" customHeight="1" x14ac:dyDescent="0.2">
      <c r="A99" s="70" t="s">
        <v>370</v>
      </c>
      <c r="B99" s="54" t="s">
        <v>374</v>
      </c>
      <c r="C99" s="71">
        <v>0.1</v>
      </c>
      <c r="D99" s="51" t="s">
        <v>2</v>
      </c>
      <c r="E99" s="62" t="s">
        <v>294</v>
      </c>
      <c r="F99" s="62">
        <v>0</v>
      </c>
      <c r="G99" s="51" t="s">
        <v>374</v>
      </c>
      <c r="H99" s="51" t="s">
        <v>6</v>
      </c>
      <c r="I99" s="51">
        <v>1E-4</v>
      </c>
      <c r="J99" s="51" t="s">
        <v>2</v>
      </c>
      <c r="K99" s="51">
        <v>0</v>
      </c>
      <c r="L99" s="62">
        <v>0</v>
      </c>
      <c r="M99" s="51" t="s">
        <v>374</v>
      </c>
      <c r="N99" s="51" t="s">
        <v>7</v>
      </c>
      <c r="O99" s="69">
        <v>1.0000000000000002E-2</v>
      </c>
      <c r="P99" s="51" t="s">
        <v>2</v>
      </c>
      <c r="Q99" s="51">
        <v>0</v>
      </c>
      <c r="R99" s="62">
        <v>0</v>
      </c>
      <c r="S99" s="62">
        <v>0</v>
      </c>
      <c r="T99" s="54" t="s">
        <v>375</v>
      </c>
      <c r="U99" s="127">
        <v>1.0125738980457451E-5</v>
      </c>
      <c r="V99" s="115">
        <v>2.402763568235903E-7</v>
      </c>
      <c r="W99" s="115">
        <v>3.0394472430218979E-5</v>
      </c>
      <c r="X99" s="115">
        <v>7.2123853056087206E-7</v>
      </c>
      <c r="Y99" s="115">
        <v>299.02729835072751</v>
      </c>
      <c r="Z99" s="115">
        <v>4766.6238513685685</v>
      </c>
      <c r="AA99" s="132" t="s">
        <v>538</v>
      </c>
      <c r="AB99" s="27">
        <f t="shared" si="54"/>
        <v>1.4459999999999998E-7</v>
      </c>
      <c r="AC99" s="29">
        <f t="shared" si="55"/>
        <v>1.446E-5</v>
      </c>
      <c r="AD99" s="135">
        <f t="shared" si="56"/>
        <v>4.4096825319754058E-10</v>
      </c>
      <c r="AE99" s="135">
        <f t="shared" si="57"/>
        <v>1.0463853113106901E-11</v>
      </c>
      <c r="AF99" s="24">
        <f t="shared" si="58"/>
        <v>6.8968620238131023E-2</v>
      </c>
      <c r="AG99" s="24">
        <f t="shared" si="59"/>
        <v>1.4641818565741474E-12</v>
      </c>
      <c r="AH99" s="24">
        <f t="shared" si="60"/>
        <v>3.4743961196691156E-14</v>
      </c>
      <c r="AI99" s="24">
        <f t="shared" si="61"/>
        <v>4.3239347341515193E-5</v>
      </c>
      <c r="AJ99" s="24">
        <f t="shared" si="62"/>
        <v>4.3950407134096645E-10</v>
      </c>
      <c r="AK99" s="24">
        <f t="shared" si="63"/>
        <v>1.042910915191021E-11</v>
      </c>
      <c r="AL99" s="24">
        <f t="shared" si="64"/>
        <v>6.8925380890789506E-2</v>
      </c>
      <c r="AM99" s="161">
        <f t="shared" si="65"/>
        <v>4.4096825319754058E-10</v>
      </c>
      <c r="AN99" s="157">
        <f t="shared" si="66"/>
        <v>1.0463853113106901E-11</v>
      </c>
      <c r="AO99" s="162">
        <f t="shared" si="67"/>
        <v>6.8968620238131023E-2</v>
      </c>
    </row>
    <row r="100" spans="1:41" s="49" customFormat="1" ht="15" customHeight="1" x14ac:dyDescent="0.2">
      <c r="A100" s="136" t="s">
        <v>370</v>
      </c>
      <c r="B100" s="141" t="s">
        <v>373</v>
      </c>
      <c r="C100" s="138">
        <v>0.05</v>
      </c>
      <c r="D100" s="139" t="s">
        <v>2</v>
      </c>
      <c r="E100" s="140" t="s">
        <v>294</v>
      </c>
      <c r="F100" s="140">
        <v>0</v>
      </c>
      <c r="G100" s="139" t="s">
        <v>373</v>
      </c>
      <c r="H100" s="139" t="s">
        <v>6</v>
      </c>
      <c r="I100" s="139">
        <v>5.0000000000000002E-5</v>
      </c>
      <c r="J100" s="139" t="s">
        <v>2</v>
      </c>
      <c r="K100" s="139">
        <v>0</v>
      </c>
      <c r="L100" s="140">
        <v>0</v>
      </c>
      <c r="M100" s="139" t="s">
        <v>373</v>
      </c>
      <c r="N100" s="139" t="s">
        <v>7</v>
      </c>
      <c r="O100" s="142">
        <v>5.000000000000001E-3</v>
      </c>
      <c r="P100" s="139" t="s">
        <v>2</v>
      </c>
      <c r="Q100" s="139">
        <v>0</v>
      </c>
      <c r="R100" s="140">
        <v>0</v>
      </c>
      <c r="S100" s="140">
        <v>0</v>
      </c>
      <c r="T100" s="141" t="s">
        <v>521</v>
      </c>
      <c r="U100" s="143">
        <v>0</v>
      </c>
      <c r="V100" s="144">
        <v>2.0520474093865351E-7</v>
      </c>
      <c r="W100" s="144">
        <v>0</v>
      </c>
      <c r="X100" s="144">
        <v>1.1065026602356948E-5</v>
      </c>
      <c r="Y100" s="144">
        <v>1067.7302200139782</v>
      </c>
      <c r="Z100" s="144">
        <v>79444.76315026985</v>
      </c>
      <c r="AA100" s="145" t="s">
        <v>538</v>
      </c>
      <c r="AB100" s="28">
        <f t="shared" si="54"/>
        <v>7.2299999999999992E-8</v>
      </c>
      <c r="AC100" s="146">
        <f t="shared" si="55"/>
        <v>7.2300000000000002E-6</v>
      </c>
      <c r="AD100" s="147">
        <f t="shared" si="56"/>
        <v>0</v>
      </c>
      <c r="AE100" s="147">
        <f t="shared" si="57"/>
        <v>8.0014978637810595E-11</v>
      </c>
      <c r="AF100" s="25">
        <f t="shared" si="58"/>
        <v>0.57446283447135804</v>
      </c>
      <c r="AG100" s="25">
        <f t="shared" si="59"/>
        <v>0</v>
      </c>
      <c r="AH100" s="25">
        <f t="shared" si="60"/>
        <v>1.4836302769864648E-14</v>
      </c>
      <c r="AI100" s="25">
        <f t="shared" si="61"/>
        <v>7.7196894907010608E-5</v>
      </c>
      <c r="AJ100" s="25">
        <f t="shared" si="62"/>
        <v>0</v>
      </c>
      <c r="AK100" s="25">
        <f t="shared" si="63"/>
        <v>8.0000142335040731E-11</v>
      </c>
      <c r="AL100" s="25">
        <f t="shared" si="64"/>
        <v>0.574385637576451</v>
      </c>
      <c r="AM100" s="163">
        <f t="shared" si="65"/>
        <v>0</v>
      </c>
      <c r="AN100" s="164">
        <f t="shared" si="66"/>
        <v>8.0014978637810595E-11</v>
      </c>
      <c r="AO100" s="165">
        <f t="shared" si="67"/>
        <v>0.57446283447135804</v>
      </c>
    </row>
    <row r="101" spans="1:41" s="8" customFormat="1" ht="15" customHeight="1" x14ac:dyDescent="0.2">
      <c r="A101" s="70" t="s">
        <v>1380</v>
      </c>
      <c r="B101" s="51" t="s">
        <v>311</v>
      </c>
      <c r="C101" s="51">
        <v>0.35</v>
      </c>
      <c r="D101" s="51" t="s">
        <v>2</v>
      </c>
      <c r="E101" s="62" t="s">
        <v>294</v>
      </c>
      <c r="F101" s="62">
        <v>0</v>
      </c>
      <c r="G101" s="51" t="s">
        <v>311</v>
      </c>
      <c r="H101" s="51" t="s">
        <v>6</v>
      </c>
      <c r="I101" s="69">
        <v>3.5E-4</v>
      </c>
      <c r="J101" s="51" t="s">
        <v>2</v>
      </c>
      <c r="K101" s="51">
        <v>0</v>
      </c>
      <c r="L101" s="62">
        <v>0</v>
      </c>
      <c r="M101" s="51" t="s">
        <v>311</v>
      </c>
      <c r="N101" s="51" t="s">
        <v>7</v>
      </c>
      <c r="O101" s="69">
        <v>3.4999999999999996E-2</v>
      </c>
      <c r="P101" s="51" t="s">
        <v>2</v>
      </c>
      <c r="Q101" s="51">
        <v>0</v>
      </c>
      <c r="R101" s="62">
        <v>0</v>
      </c>
      <c r="S101" s="62">
        <v>0</v>
      </c>
      <c r="T101" s="54" t="s">
        <v>312</v>
      </c>
      <c r="U101" s="127">
        <v>0</v>
      </c>
      <c r="V101" s="115">
        <v>0</v>
      </c>
      <c r="W101" s="115">
        <v>0</v>
      </c>
      <c r="X101" s="115">
        <v>0</v>
      </c>
      <c r="Y101" s="115">
        <v>0.5</v>
      </c>
      <c r="Z101" s="115">
        <v>39.5</v>
      </c>
      <c r="AA101" s="132" t="s">
        <v>539</v>
      </c>
      <c r="AB101" s="27">
        <f>$C$38*I101</f>
        <v>1.0628099999999999E-5</v>
      </c>
      <c r="AC101" s="29">
        <f>$C$38*O101</f>
        <v>1.0628099999999998E-3</v>
      </c>
      <c r="AD101" s="135">
        <f t="shared" si="14"/>
        <v>0</v>
      </c>
      <c r="AE101" s="135">
        <f t="shared" si="15"/>
        <v>0</v>
      </c>
      <c r="AF101" s="24">
        <f t="shared" si="16"/>
        <v>4.1986309049999997E-2</v>
      </c>
      <c r="AG101" s="24">
        <f t="shared" si="17"/>
        <v>0</v>
      </c>
      <c r="AH101" s="24">
        <f t="shared" si="18"/>
        <v>0</v>
      </c>
      <c r="AI101" s="24">
        <f t="shared" si="19"/>
        <v>5.3140499999999995E-6</v>
      </c>
      <c r="AJ101" s="24">
        <f t="shared" si="20"/>
        <v>0</v>
      </c>
      <c r="AK101" s="24">
        <f t="shared" si="21"/>
        <v>0</v>
      </c>
      <c r="AL101" s="24">
        <f t="shared" si="22"/>
        <v>4.1980994999999993E-2</v>
      </c>
      <c r="AM101" s="161">
        <f t="shared" si="23"/>
        <v>0</v>
      </c>
      <c r="AN101" s="157">
        <f t="shared" si="24"/>
        <v>0</v>
      </c>
      <c r="AO101" s="162">
        <f t="shared" si="25"/>
        <v>4.1986309049999997E-2</v>
      </c>
    </row>
    <row r="102" spans="1:41" s="8" customFormat="1" ht="15" customHeight="1" x14ac:dyDescent="0.2">
      <c r="A102" s="70" t="s">
        <v>1380</v>
      </c>
      <c r="B102" s="53" t="s">
        <v>313</v>
      </c>
      <c r="C102" s="75">
        <v>0.05</v>
      </c>
      <c r="D102" s="54" t="s">
        <v>2</v>
      </c>
      <c r="E102" s="62" t="s">
        <v>294</v>
      </c>
      <c r="F102" s="62">
        <v>0</v>
      </c>
      <c r="G102" s="53" t="s">
        <v>313</v>
      </c>
      <c r="H102" s="54" t="s">
        <v>6</v>
      </c>
      <c r="I102" s="69">
        <v>5.0000000000000002E-5</v>
      </c>
      <c r="J102" s="54" t="s">
        <v>2</v>
      </c>
      <c r="K102" s="51">
        <v>0</v>
      </c>
      <c r="L102" s="62">
        <v>0</v>
      </c>
      <c r="M102" s="53" t="s">
        <v>313</v>
      </c>
      <c r="N102" s="54" t="s">
        <v>7</v>
      </c>
      <c r="O102" s="69">
        <v>5.000000000000001E-3</v>
      </c>
      <c r="P102" s="54" t="s">
        <v>2</v>
      </c>
      <c r="Q102" s="51">
        <v>0</v>
      </c>
      <c r="R102" s="62">
        <v>0</v>
      </c>
      <c r="S102" s="62">
        <v>0</v>
      </c>
      <c r="T102" s="81" t="s">
        <v>314</v>
      </c>
      <c r="U102" s="127">
        <v>0</v>
      </c>
      <c r="V102" s="115">
        <v>1.1135698593690228E-7</v>
      </c>
      <c r="W102" s="115">
        <v>0</v>
      </c>
      <c r="X102" s="115">
        <v>5.8568889081207134E-7</v>
      </c>
      <c r="Y102" s="115">
        <v>9807.1010123430624</v>
      </c>
      <c r="Z102" s="115">
        <v>478403.0544103132</v>
      </c>
      <c r="AA102" s="132" t="s">
        <v>538</v>
      </c>
      <c r="AB102" s="27">
        <f t="shared" ref="AB102:AB103" si="68">$C$38*I102</f>
        <v>1.5182999999999999E-6</v>
      </c>
      <c r="AC102" s="29">
        <f t="shared" ref="AC102:AC103" si="69">$C$38*O102</f>
        <v>1.5183000000000002E-4</v>
      </c>
      <c r="AD102" s="135">
        <f t="shared" si="14"/>
        <v>0</v>
      </c>
      <c r="AE102" s="135">
        <f t="shared" si="15"/>
        <v>8.9094217603744793E-11</v>
      </c>
      <c r="AF102" s="24">
        <f t="shared" si="16"/>
        <v>72.650825872584903</v>
      </c>
      <c r="AG102" s="24">
        <f t="shared" si="17"/>
        <v>0</v>
      </c>
      <c r="AH102" s="24">
        <f t="shared" si="18"/>
        <v>1.6907331174799871E-13</v>
      </c>
      <c r="AI102" s="24">
        <f t="shared" si="19"/>
        <v>1.4890121467040471E-2</v>
      </c>
      <c r="AJ102" s="24">
        <f t="shared" si="20"/>
        <v>0</v>
      </c>
      <c r="AK102" s="24">
        <f t="shared" si="21"/>
        <v>8.8925144291996797E-11</v>
      </c>
      <c r="AL102" s="24">
        <f t="shared" si="22"/>
        <v>72.635935751117856</v>
      </c>
      <c r="AM102" s="161">
        <f t="shared" si="23"/>
        <v>0</v>
      </c>
      <c r="AN102" s="157">
        <f t="shared" si="24"/>
        <v>8.9094217603744793E-11</v>
      </c>
      <c r="AO102" s="162">
        <f t="shared" si="25"/>
        <v>72.650825872584903</v>
      </c>
    </row>
    <row r="103" spans="1:41" s="8" customFormat="1" ht="15" customHeight="1" x14ac:dyDescent="0.2">
      <c r="A103" s="70" t="s">
        <v>1380</v>
      </c>
      <c r="B103" s="53" t="s">
        <v>309</v>
      </c>
      <c r="C103" s="76">
        <v>0.1</v>
      </c>
      <c r="D103" s="54" t="s">
        <v>2</v>
      </c>
      <c r="E103" s="62" t="s">
        <v>294</v>
      </c>
      <c r="F103" s="62">
        <v>0</v>
      </c>
      <c r="G103" s="53" t="s">
        <v>309</v>
      </c>
      <c r="H103" s="54" t="s">
        <v>6</v>
      </c>
      <c r="I103" s="69">
        <v>1E-4</v>
      </c>
      <c r="J103" s="54" t="s">
        <v>2</v>
      </c>
      <c r="K103" s="51">
        <v>0</v>
      </c>
      <c r="L103" s="62">
        <v>0</v>
      </c>
      <c r="M103" s="53" t="s">
        <v>309</v>
      </c>
      <c r="N103" s="54" t="s">
        <v>7</v>
      </c>
      <c r="O103" s="69">
        <v>1.0000000000000002E-2</v>
      </c>
      <c r="P103" s="54" t="s">
        <v>2</v>
      </c>
      <c r="Q103" s="51">
        <v>0</v>
      </c>
      <c r="R103" s="62">
        <v>0</v>
      </c>
      <c r="S103" s="62">
        <v>0</v>
      </c>
      <c r="T103" s="54" t="s">
        <v>310</v>
      </c>
      <c r="U103" s="127">
        <v>0</v>
      </c>
      <c r="V103" s="115">
        <v>0</v>
      </c>
      <c r="W103" s="115">
        <v>0</v>
      </c>
      <c r="X103" s="115">
        <v>0</v>
      </c>
      <c r="Y103" s="115">
        <v>1.1999999999999999E-3</v>
      </c>
      <c r="Z103" s="115">
        <v>165</v>
      </c>
      <c r="AA103" s="132" t="s">
        <v>539</v>
      </c>
      <c r="AB103" s="27">
        <f t="shared" si="68"/>
        <v>3.0365999999999999E-6</v>
      </c>
      <c r="AC103" s="29">
        <f t="shared" si="69"/>
        <v>3.0366000000000003E-4</v>
      </c>
      <c r="AD103" s="135">
        <f t="shared" si="14"/>
        <v>0</v>
      </c>
      <c r="AE103" s="135">
        <f t="shared" si="15"/>
        <v>0</v>
      </c>
      <c r="AF103" s="24">
        <f t="shared" si="16"/>
        <v>5.0103903643920006E-2</v>
      </c>
      <c r="AG103" s="24">
        <f t="shared" si="17"/>
        <v>0</v>
      </c>
      <c r="AH103" s="24">
        <f t="shared" si="18"/>
        <v>0</v>
      </c>
      <c r="AI103" s="24">
        <f t="shared" si="19"/>
        <v>3.6439199999999996E-9</v>
      </c>
      <c r="AJ103" s="24">
        <f t="shared" si="20"/>
        <v>0</v>
      </c>
      <c r="AK103" s="24">
        <f t="shared" si="21"/>
        <v>0</v>
      </c>
      <c r="AL103" s="24">
        <f t="shared" si="22"/>
        <v>5.0103900000000007E-2</v>
      </c>
      <c r="AM103" s="161">
        <f t="shared" si="23"/>
        <v>0</v>
      </c>
      <c r="AN103" s="157">
        <f t="shared" si="24"/>
        <v>0</v>
      </c>
      <c r="AO103" s="162">
        <f t="shared" si="25"/>
        <v>5.0103903643920006E-2</v>
      </c>
    </row>
    <row r="104" spans="1:41" s="8" customFormat="1" ht="15" customHeight="1" x14ac:dyDescent="0.2">
      <c r="A104" s="68" t="s">
        <v>170</v>
      </c>
      <c r="B104" s="51" t="s">
        <v>320</v>
      </c>
      <c r="C104" s="51">
        <v>0.5</v>
      </c>
      <c r="D104" s="51" t="s">
        <v>2</v>
      </c>
      <c r="E104" s="62" t="s">
        <v>294</v>
      </c>
      <c r="F104" s="62">
        <v>0</v>
      </c>
      <c r="G104" s="51" t="s">
        <v>320</v>
      </c>
      <c r="H104" s="51" t="s">
        <v>6</v>
      </c>
      <c r="I104" s="69">
        <v>5.0000000000000001E-4</v>
      </c>
      <c r="J104" s="51" t="s">
        <v>2</v>
      </c>
      <c r="K104" s="51">
        <v>0</v>
      </c>
      <c r="L104" s="62">
        <v>0</v>
      </c>
      <c r="M104" s="51" t="s">
        <v>320</v>
      </c>
      <c r="N104" s="51" t="s">
        <v>7</v>
      </c>
      <c r="O104" s="69">
        <v>0.05</v>
      </c>
      <c r="P104" s="51" t="s">
        <v>2</v>
      </c>
      <c r="Q104" s="51">
        <v>0</v>
      </c>
      <c r="R104" s="62">
        <v>0</v>
      </c>
      <c r="S104" s="62">
        <v>0</v>
      </c>
      <c r="T104" s="54" t="s">
        <v>321</v>
      </c>
      <c r="U104" s="127">
        <v>0</v>
      </c>
      <c r="V104" s="115">
        <v>0</v>
      </c>
      <c r="W104" s="115">
        <v>0</v>
      </c>
      <c r="X104" s="115">
        <v>0</v>
      </c>
      <c r="Y104" s="115">
        <v>2.8999999999999998E-3</v>
      </c>
      <c r="Z104" s="115">
        <v>194</v>
      </c>
      <c r="AA104" s="132" t="s">
        <v>539</v>
      </c>
      <c r="AB104" s="27">
        <f>$C$39*I104</f>
        <v>4.3379999999999998E-6</v>
      </c>
      <c r="AC104" s="29">
        <f>$C$39*O104</f>
        <v>4.3380000000000003E-4</v>
      </c>
      <c r="AD104" s="135">
        <f t="shared" si="14"/>
        <v>0</v>
      </c>
      <c r="AE104" s="135">
        <f t="shared" si="15"/>
        <v>0</v>
      </c>
      <c r="AF104" s="24">
        <f t="shared" si="16"/>
        <v>8.4157212580200008E-2</v>
      </c>
      <c r="AG104" s="24">
        <f t="shared" si="17"/>
        <v>0</v>
      </c>
      <c r="AH104" s="24">
        <f t="shared" si="18"/>
        <v>0</v>
      </c>
      <c r="AI104" s="24">
        <f t="shared" si="19"/>
        <v>1.2580199999999998E-8</v>
      </c>
      <c r="AJ104" s="24">
        <f t="shared" si="20"/>
        <v>0</v>
      </c>
      <c r="AK104" s="24">
        <f t="shared" si="21"/>
        <v>0</v>
      </c>
      <c r="AL104" s="24">
        <f t="shared" si="22"/>
        <v>8.4157200000000001E-2</v>
      </c>
      <c r="AM104" s="161">
        <f t="shared" si="23"/>
        <v>0</v>
      </c>
      <c r="AN104" s="157">
        <f t="shared" si="24"/>
        <v>0</v>
      </c>
      <c r="AO104" s="162">
        <f t="shared" si="25"/>
        <v>8.4157212580200008E-2</v>
      </c>
    </row>
    <row r="105" spans="1:41" s="8" customFormat="1" ht="15" customHeight="1" x14ac:dyDescent="0.2">
      <c r="A105" s="68" t="s">
        <v>170</v>
      </c>
      <c r="B105" s="53" t="s">
        <v>318</v>
      </c>
      <c r="C105" s="76">
        <v>0.1</v>
      </c>
      <c r="D105" s="54" t="s">
        <v>2</v>
      </c>
      <c r="E105" s="62" t="s">
        <v>294</v>
      </c>
      <c r="F105" s="62">
        <v>0</v>
      </c>
      <c r="G105" s="53" t="s">
        <v>318</v>
      </c>
      <c r="H105" s="54" t="s">
        <v>6</v>
      </c>
      <c r="I105" s="69">
        <v>1E-4</v>
      </c>
      <c r="J105" s="54" t="s">
        <v>2</v>
      </c>
      <c r="K105" s="51">
        <v>0</v>
      </c>
      <c r="L105" s="62">
        <v>0</v>
      </c>
      <c r="M105" s="53" t="s">
        <v>318</v>
      </c>
      <c r="N105" s="54" t="s">
        <v>7</v>
      </c>
      <c r="O105" s="69">
        <v>1.0000000000000002E-2</v>
      </c>
      <c r="P105" s="54" t="s">
        <v>2</v>
      </c>
      <c r="Q105" s="51">
        <v>0</v>
      </c>
      <c r="R105" s="62">
        <v>0</v>
      </c>
      <c r="S105" s="62">
        <v>0</v>
      </c>
      <c r="T105" s="54" t="s">
        <v>319</v>
      </c>
      <c r="U105" s="127">
        <v>0</v>
      </c>
      <c r="V105" s="115">
        <v>0</v>
      </c>
      <c r="W105" s="115">
        <v>0</v>
      </c>
      <c r="X105" s="115">
        <v>0</v>
      </c>
      <c r="Y105" s="115">
        <v>0.16</v>
      </c>
      <c r="Z105" s="115">
        <v>16.600000000000001</v>
      </c>
      <c r="AA105" s="132" t="s">
        <v>539</v>
      </c>
      <c r="AB105" s="27">
        <f t="shared" ref="AB105:AB106" si="70">$C$39*I105</f>
        <v>8.6759999999999996E-7</v>
      </c>
      <c r="AC105" s="29">
        <f t="shared" ref="AC105:AC106" si="71">$C$39*O105</f>
        <v>8.6760000000000016E-5</v>
      </c>
      <c r="AD105" s="135">
        <f t="shared" si="14"/>
        <v>0</v>
      </c>
      <c r="AE105" s="135">
        <f t="shared" si="15"/>
        <v>0</v>
      </c>
      <c r="AF105" s="24">
        <f t="shared" si="16"/>
        <v>1.4403548160000005E-3</v>
      </c>
      <c r="AG105" s="24">
        <f t="shared" si="17"/>
        <v>0</v>
      </c>
      <c r="AH105" s="24">
        <f t="shared" si="18"/>
        <v>0</v>
      </c>
      <c r="AI105" s="24">
        <f t="shared" si="19"/>
        <v>1.3881599999999999E-7</v>
      </c>
      <c r="AJ105" s="24">
        <f t="shared" si="20"/>
        <v>0</v>
      </c>
      <c r="AK105" s="24">
        <f t="shared" si="21"/>
        <v>0</v>
      </c>
      <c r="AL105" s="24">
        <f t="shared" si="22"/>
        <v>1.4402160000000005E-3</v>
      </c>
      <c r="AM105" s="161">
        <f t="shared" si="23"/>
        <v>0</v>
      </c>
      <c r="AN105" s="157">
        <f t="shared" si="24"/>
        <v>0</v>
      </c>
      <c r="AO105" s="162">
        <f t="shared" si="25"/>
        <v>1.4403548160000005E-3</v>
      </c>
    </row>
    <row r="106" spans="1:41" s="8" customFormat="1" ht="15" customHeight="1" x14ac:dyDescent="0.2">
      <c r="A106" s="68" t="s">
        <v>170</v>
      </c>
      <c r="B106" s="51" t="s">
        <v>315</v>
      </c>
      <c r="C106" s="51">
        <v>0.4</v>
      </c>
      <c r="D106" s="54" t="s">
        <v>2</v>
      </c>
      <c r="E106" s="62" t="s">
        <v>316</v>
      </c>
      <c r="F106" s="62">
        <v>0</v>
      </c>
      <c r="G106" s="54" t="s">
        <v>315</v>
      </c>
      <c r="H106" s="54" t="s">
        <v>6</v>
      </c>
      <c r="I106" s="69">
        <v>4.0000000000000002E-4</v>
      </c>
      <c r="J106" s="54" t="s">
        <v>2</v>
      </c>
      <c r="K106" s="51">
        <v>0</v>
      </c>
      <c r="L106" s="62">
        <v>0</v>
      </c>
      <c r="M106" s="54" t="s">
        <v>315</v>
      </c>
      <c r="N106" s="54" t="s">
        <v>7</v>
      </c>
      <c r="O106" s="69">
        <v>4.0000000000000008E-2</v>
      </c>
      <c r="P106" s="54" t="s">
        <v>2</v>
      </c>
      <c r="Q106" s="51">
        <v>0</v>
      </c>
      <c r="R106" s="62">
        <v>0</v>
      </c>
      <c r="S106" s="62">
        <v>0</v>
      </c>
      <c r="T106" s="54" t="s">
        <v>317</v>
      </c>
      <c r="U106" s="127">
        <v>0</v>
      </c>
      <c r="V106" s="115">
        <v>0</v>
      </c>
      <c r="W106" s="115">
        <v>0</v>
      </c>
      <c r="X106" s="115">
        <v>0</v>
      </c>
      <c r="Y106" s="115">
        <v>11.002755396890556</v>
      </c>
      <c r="Z106" s="115">
        <v>992.92073813061654</v>
      </c>
      <c r="AA106" s="132" t="s">
        <v>537</v>
      </c>
      <c r="AB106" s="27">
        <f t="shared" si="70"/>
        <v>3.4703999999999998E-6</v>
      </c>
      <c r="AC106" s="29">
        <f t="shared" si="71"/>
        <v>3.4704000000000007E-4</v>
      </c>
      <c r="AD106" s="135">
        <f t="shared" si="14"/>
        <v>0</v>
      </c>
      <c r="AE106" s="135">
        <f t="shared" si="15"/>
        <v>0</v>
      </c>
      <c r="AF106" s="24">
        <f t="shared" si="16"/>
        <v>0.34462139692317856</v>
      </c>
      <c r="AG106" s="24">
        <f t="shared" si="17"/>
        <v>0</v>
      </c>
      <c r="AH106" s="24">
        <f t="shared" si="18"/>
        <v>0</v>
      </c>
      <c r="AI106" s="24">
        <f t="shared" si="19"/>
        <v>3.8183962329368987E-5</v>
      </c>
      <c r="AJ106" s="24">
        <f t="shared" si="20"/>
        <v>0</v>
      </c>
      <c r="AK106" s="24">
        <f t="shared" si="21"/>
        <v>0</v>
      </c>
      <c r="AL106" s="24">
        <f t="shared" si="22"/>
        <v>0.34458321296084921</v>
      </c>
      <c r="AM106" s="161">
        <f t="shared" si="23"/>
        <v>0</v>
      </c>
      <c r="AN106" s="157">
        <f t="shared" si="24"/>
        <v>0</v>
      </c>
      <c r="AO106" s="162">
        <f t="shared" si="25"/>
        <v>0.34462139692317856</v>
      </c>
    </row>
    <row r="107" spans="1:41" s="8" customFormat="1" ht="15" customHeight="1" x14ac:dyDescent="0.2">
      <c r="A107" s="70" t="s">
        <v>399</v>
      </c>
      <c r="B107" s="53" t="s">
        <v>400</v>
      </c>
      <c r="C107" s="74">
        <v>1</v>
      </c>
      <c r="D107" s="51" t="s">
        <v>2</v>
      </c>
      <c r="E107" s="62" t="s">
        <v>397</v>
      </c>
      <c r="F107" s="62">
        <v>0</v>
      </c>
      <c r="G107" s="51" t="s">
        <v>400</v>
      </c>
      <c r="H107" s="51" t="s">
        <v>6</v>
      </c>
      <c r="I107" s="69">
        <v>1E-3</v>
      </c>
      <c r="J107" s="51" t="s">
        <v>2</v>
      </c>
      <c r="K107" s="51">
        <v>0</v>
      </c>
      <c r="L107" s="62">
        <v>0</v>
      </c>
      <c r="M107" s="51" t="s">
        <v>400</v>
      </c>
      <c r="N107" s="51" t="s">
        <v>7</v>
      </c>
      <c r="O107" s="69">
        <v>5.000000000000001E-3</v>
      </c>
      <c r="P107" s="51" t="s">
        <v>2</v>
      </c>
      <c r="Q107" s="51" t="s">
        <v>562</v>
      </c>
      <c r="R107" s="62">
        <v>0</v>
      </c>
      <c r="S107" s="62">
        <v>0</v>
      </c>
      <c r="T107" s="81" t="s">
        <v>401</v>
      </c>
      <c r="U107" s="127">
        <v>0</v>
      </c>
      <c r="V107" s="115">
        <v>4.7523947982961088E-7</v>
      </c>
      <c r="W107" s="115">
        <v>0</v>
      </c>
      <c r="X107" s="115">
        <v>5.9553870155211211E-7</v>
      </c>
      <c r="Y107" s="115">
        <v>174.02319075927511</v>
      </c>
      <c r="Z107" s="115">
        <v>462.56767404636184</v>
      </c>
      <c r="AA107" s="132" t="s">
        <v>538</v>
      </c>
      <c r="AB107" s="27">
        <f>$C$40*I107</f>
        <v>4.7718000000000006E-5</v>
      </c>
      <c r="AC107" s="29">
        <f>$C$40*O107</f>
        <v>2.3859000000000006E-4</v>
      </c>
      <c r="AD107" s="135">
        <f t="shared" ref="AD107:AD109" si="72">AB107*U107+AC107*W107</f>
        <v>0</v>
      </c>
      <c r="AE107" s="135">
        <f t="shared" ref="AE107:AE109" si="73">AB107*V107+AC107*X107</f>
        <v>1.6476705630182784E-10</v>
      </c>
      <c r="AF107" s="24">
        <f t="shared" ref="AF107:AF109" si="74">AB107*Y107+AC107*Z107</f>
        <v>0.11866805996737259</v>
      </c>
      <c r="AG107" s="24">
        <f t="shared" ref="AG107:AG109" si="75">AB107*U107</f>
        <v>0</v>
      </c>
      <c r="AH107" s="24">
        <f t="shared" ref="AH107:AH109" si="76">AB107*V107</f>
        <v>2.2677477498509376E-11</v>
      </c>
      <c r="AI107" s="24">
        <f t="shared" ref="AI107:AI109" si="77">AB107*Y107</f>
        <v>8.304038616651091E-3</v>
      </c>
      <c r="AJ107" s="24">
        <f t="shared" ref="AJ107:AJ109" si="78">AC107*W107</f>
        <v>0</v>
      </c>
      <c r="AK107" s="24">
        <f t="shared" ref="AK107:AK109" si="79">AC107*X107</f>
        <v>1.4208957880331847E-10</v>
      </c>
      <c r="AL107" s="24">
        <f t="shared" ref="AL107:AL109" si="80">AC107*Z107</f>
        <v>0.1103640213507215</v>
      </c>
      <c r="AM107" s="161">
        <f t="shared" ref="AM107:AM109" si="81">AG107+AJ107</f>
        <v>0</v>
      </c>
      <c r="AN107" s="157">
        <f t="shared" ref="AN107:AN109" si="82">AH107+AK107</f>
        <v>1.6476705630182784E-10</v>
      </c>
      <c r="AO107" s="162">
        <f t="shared" ref="AO107:AO109" si="83">AI107+AL107</f>
        <v>0.11866805996737259</v>
      </c>
    </row>
    <row r="108" spans="1:41" s="8" customFormat="1" ht="15" customHeight="1" x14ac:dyDescent="0.2">
      <c r="A108" s="68" t="s">
        <v>1381</v>
      </c>
      <c r="B108" s="51" t="s">
        <v>325</v>
      </c>
      <c r="C108" s="51">
        <v>0.2</v>
      </c>
      <c r="D108" s="51" t="s">
        <v>2</v>
      </c>
      <c r="E108" s="62" t="s">
        <v>294</v>
      </c>
      <c r="F108" s="62">
        <v>0</v>
      </c>
      <c r="G108" s="51" t="s">
        <v>325</v>
      </c>
      <c r="H108" s="51" t="s">
        <v>6</v>
      </c>
      <c r="I108" s="69">
        <v>2.0000000000000001E-4</v>
      </c>
      <c r="J108" s="51" t="s">
        <v>2</v>
      </c>
      <c r="K108" s="51">
        <v>0</v>
      </c>
      <c r="L108" s="62">
        <v>0</v>
      </c>
      <c r="M108" s="51" t="s">
        <v>325</v>
      </c>
      <c r="N108" s="51" t="s">
        <v>7</v>
      </c>
      <c r="O108" s="69">
        <v>2.0000000000000004E-2</v>
      </c>
      <c r="P108" s="51" t="s">
        <v>2</v>
      </c>
      <c r="Q108" s="51">
        <v>0</v>
      </c>
      <c r="R108" s="62">
        <v>0</v>
      </c>
      <c r="S108" s="62">
        <v>0</v>
      </c>
      <c r="T108" s="54" t="s">
        <v>326</v>
      </c>
      <c r="U108" s="127">
        <v>0</v>
      </c>
      <c r="V108" s="115">
        <v>0</v>
      </c>
      <c r="W108" s="115">
        <v>0</v>
      </c>
      <c r="X108" s="115">
        <v>0</v>
      </c>
      <c r="Y108" s="115">
        <v>1.1682046242533708</v>
      </c>
      <c r="Z108" s="115">
        <v>20.47656722055984</v>
      </c>
      <c r="AA108" s="132" t="s">
        <v>537</v>
      </c>
      <c r="AB108" s="27">
        <f>$C$41*I108</f>
        <v>5.7839999999999994E-7</v>
      </c>
      <c r="AC108" s="29">
        <f>$C$41*O108</f>
        <v>5.7840000000000002E-5</v>
      </c>
      <c r="AD108" s="135">
        <f t="shared" si="72"/>
        <v>0</v>
      </c>
      <c r="AE108" s="135">
        <f t="shared" si="73"/>
        <v>0</v>
      </c>
      <c r="AF108" s="24">
        <f t="shared" si="74"/>
        <v>1.1850403375918495E-3</v>
      </c>
      <c r="AG108" s="24">
        <f t="shared" si="75"/>
        <v>0</v>
      </c>
      <c r="AH108" s="24">
        <f t="shared" si="76"/>
        <v>0</v>
      </c>
      <c r="AI108" s="24">
        <f t="shared" si="77"/>
        <v>6.756895546681496E-7</v>
      </c>
      <c r="AJ108" s="24">
        <f t="shared" si="78"/>
        <v>0</v>
      </c>
      <c r="AK108" s="24">
        <f t="shared" si="79"/>
        <v>0</v>
      </c>
      <c r="AL108" s="24">
        <f t="shared" si="80"/>
        <v>1.1843646480371812E-3</v>
      </c>
      <c r="AM108" s="161">
        <f t="shared" si="81"/>
        <v>0</v>
      </c>
      <c r="AN108" s="157">
        <f t="shared" si="82"/>
        <v>0</v>
      </c>
      <c r="AO108" s="162">
        <f t="shared" si="83"/>
        <v>1.1850403375918495E-3</v>
      </c>
    </row>
    <row r="109" spans="1:41" s="8" customFormat="1" ht="15" customHeight="1" x14ac:dyDescent="0.2">
      <c r="A109" s="68" t="s">
        <v>1381</v>
      </c>
      <c r="B109" s="51" t="s">
        <v>318</v>
      </c>
      <c r="C109" s="76">
        <v>0.1</v>
      </c>
      <c r="D109" s="54" t="s">
        <v>2</v>
      </c>
      <c r="E109" s="62" t="s">
        <v>294</v>
      </c>
      <c r="F109" s="62">
        <v>0</v>
      </c>
      <c r="G109" s="53" t="s">
        <v>318</v>
      </c>
      <c r="H109" s="54" t="s">
        <v>6</v>
      </c>
      <c r="I109" s="69">
        <v>1E-4</v>
      </c>
      <c r="J109" s="54" t="s">
        <v>2</v>
      </c>
      <c r="K109" s="51">
        <v>0</v>
      </c>
      <c r="L109" s="62">
        <v>0</v>
      </c>
      <c r="M109" s="53" t="s">
        <v>318</v>
      </c>
      <c r="N109" s="54" t="s">
        <v>7</v>
      </c>
      <c r="O109" s="69">
        <v>1.0000000000000002E-2</v>
      </c>
      <c r="P109" s="54" t="s">
        <v>2</v>
      </c>
      <c r="Q109" s="51">
        <v>0</v>
      </c>
      <c r="R109" s="62">
        <v>0</v>
      </c>
      <c r="S109" s="62">
        <v>0</v>
      </c>
      <c r="T109" s="54" t="s">
        <v>319</v>
      </c>
      <c r="U109" s="127">
        <v>0</v>
      </c>
      <c r="V109" s="115">
        <v>0</v>
      </c>
      <c r="W109" s="115">
        <v>0</v>
      </c>
      <c r="X109" s="115">
        <v>0</v>
      </c>
      <c r="Y109" s="115">
        <v>0.16</v>
      </c>
      <c r="Z109" s="115">
        <v>16.600000000000001</v>
      </c>
      <c r="AA109" s="132" t="s">
        <v>539</v>
      </c>
      <c r="AB109" s="27">
        <f>$C$41*I109</f>
        <v>2.8919999999999997E-7</v>
      </c>
      <c r="AC109" s="29">
        <f>$C$41*O109</f>
        <v>2.8920000000000001E-5</v>
      </c>
      <c r="AD109" s="135">
        <f t="shared" si="72"/>
        <v>0</v>
      </c>
      <c r="AE109" s="135">
        <f t="shared" si="73"/>
        <v>0</v>
      </c>
      <c r="AF109" s="24">
        <f t="shared" si="74"/>
        <v>4.8011827200000008E-4</v>
      </c>
      <c r="AG109" s="24">
        <f t="shared" si="75"/>
        <v>0</v>
      </c>
      <c r="AH109" s="24">
        <f t="shared" si="76"/>
        <v>0</v>
      </c>
      <c r="AI109" s="24">
        <f t="shared" si="77"/>
        <v>4.6271999999999999E-8</v>
      </c>
      <c r="AJ109" s="24">
        <f t="shared" si="78"/>
        <v>0</v>
      </c>
      <c r="AK109" s="24">
        <f t="shared" si="79"/>
        <v>0</v>
      </c>
      <c r="AL109" s="24">
        <f t="shared" si="80"/>
        <v>4.8007200000000006E-4</v>
      </c>
      <c r="AM109" s="161">
        <f t="shared" si="81"/>
        <v>0</v>
      </c>
      <c r="AN109" s="157">
        <f t="shared" si="82"/>
        <v>0</v>
      </c>
      <c r="AO109" s="162">
        <f t="shared" si="83"/>
        <v>4.8011827200000008E-4</v>
      </c>
    </row>
    <row r="110" spans="1:41" s="8" customFormat="1" ht="15" customHeight="1" x14ac:dyDescent="0.2">
      <c r="A110" s="70" t="s">
        <v>51</v>
      </c>
      <c r="B110" s="54" t="s">
        <v>82</v>
      </c>
      <c r="C110" s="74">
        <v>0.9</v>
      </c>
      <c r="D110" s="51" t="s">
        <v>2</v>
      </c>
      <c r="E110" s="62" t="s">
        <v>294</v>
      </c>
      <c r="F110" s="62">
        <v>0</v>
      </c>
      <c r="G110" s="51" t="s">
        <v>12</v>
      </c>
      <c r="H110" s="51">
        <v>0</v>
      </c>
      <c r="I110" s="69">
        <v>0</v>
      </c>
      <c r="J110" s="51">
        <v>0</v>
      </c>
      <c r="K110" s="51">
        <v>0</v>
      </c>
      <c r="L110" s="62">
        <v>0</v>
      </c>
      <c r="M110" s="51" t="s">
        <v>82</v>
      </c>
      <c r="N110" s="54" t="s">
        <v>7</v>
      </c>
      <c r="O110" s="69">
        <v>9.0000000000000011E-2</v>
      </c>
      <c r="P110" s="54" t="s">
        <v>2</v>
      </c>
      <c r="Q110" s="54">
        <v>0</v>
      </c>
      <c r="R110" s="62">
        <v>0</v>
      </c>
      <c r="S110" s="62">
        <v>0</v>
      </c>
      <c r="T110" s="54" t="s">
        <v>302</v>
      </c>
      <c r="U110" s="127">
        <v>0</v>
      </c>
      <c r="V110" s="115">
        <v>0</v>
      </c>
      <c r="W110" s="115">
        <v>0</v>
      </c>
      <c r="X110" s="115">
        <v>0</v>
      </c>
      <c r="Y110" s="129">
        <v>52.575000000000003</v>
      </c>
      <c r="Z110" s="129">
        <v>125.31</v>
      </c>
      <c r="AA110" s="133" t="s">
        <v>539</v>
      </c>
      <c r="AB110" s="27">
        <f>$C$42*I110</f>
        <v>0</v>
      </c>
      <c r="AC110" s="29">
        <f>$C$42*O110</f>
        <v>2.6027999999999999E-4</v>
      </c>
      <c r="AD110" s="135">
        <f t="shared" ref="AD110:AD113" si="84">AB110*U110+AC110*W110</f>
        <v>0</v>
      </c>
      <c r="AE110" s="135">
        <f t="shared" ref="AE110:AE113" si="85">AB110*V110+AC110*X110</f>
        <v>0</v>
      </c>
      <c r="AF110" s="24">
        <f t="shared" ref="AF110:AF113" si="86">AB110*Y110+AC110*Z110</f>
        <v>3.2615686800000002E-2</v>
      </c>
      <c r="AG110" s="24">
        <f t="shared" ref="AG110:AG113" si="87">AB110*U110</f>
        <v>0</v>
      </c>
      <c r="AH110" s="24">
        <f t="shared" ref="AH110:AH113" si="88">AB110*V110</f>
        <v>0</v>
      </c>
      <c r="AI110" s="24">
        <f t="shared" ref="AI110:AI113" si="89">AB110*Y110</f>
        <v>0</v>
      </c>
      <c r="AJ110" s="24">
        <f t="shared" ref="AJ110:AJ113" si="90">AC110*W110</f>
        <v>0</v>
      </c>
      <c r="AK110" s="24">
        <f t="shared" ref="AK110:AK113" si="91">AC110*X110</f>
        <v>0</v>
      </c>
      <c r="AL110" s="24">
        <f t="shared" ref="AL110:AL113" si="92">AC110*Z110</f>
        <v>3.2615686800000002E-2</v>
      </c>
      <c r="AM110" s="161">
        <f t="shared" ref="AM110:AM113" si="93">AG110+AJ110</f>
        <v>0</v>
      </c>
      <c r="AN110" s="157">
        <f t="shared" ref="AN110:AN113" si="94">AH110+AK110</f>
        <v>0</v>
      </c>
      <c r="AO110" s="162">
        <f t="shared" ref="AO110:AO113" si="95">AI110+AL110</f>
        <v>3.2615686800000002E-2</v>
      </c>
    </row>
    <row r="111" spans="1:41" s="8" customFormat="1" ht="15" customHeight="1" x14ac:dyDescent="0.2">
      <c r="A111" s="70" t="s">
        <v>51</v>
      </c>
      <c r="B111" s="130" t="s">
        <v>83</v>
      </c>
      <c r="C111" s="75">
        <v>0.08</v>
      </c>
      <c r="D111" s="54" t="s">
        <v>2</v>
      </c>
      <c r="E111" s="62" t="s">
        <v>294</v>
      </c>
      <c r="F111" s="62">
        <v>0</v>
      </c>
      <c r="G111" s="52" t="s">
        <v>12</v>
      </c>
      <c r="H111" s="54">
        <v>0</v>
      </c>
      <c r="I111" s="69">
        <v>0</v>
      </c>
      <c r="J111" s="54">
        <v>0</v>
      </c>
      <c r="K111" s="51">
        <v>0</v>
      </c>
      <c r="L111" s="62">
        <v>0</v>
      </c>
      <c r="M111" s="52" t="s">
        <v>83</v>
      </c>
      <c r="N111" s="54" t="s">
        <v>7</v>
      </c>
      <c r="O111" s="69">
        <v>8.0000000000000002E-3</v>
      </c>
      <c r="P111" s="54" t="s">
        <v>2</v>
      </c>
      <c r="Q111" s="54">
        <v>0</v>
      </c>
      <c r="R111" s="62">
        <v>0</v>
      </c>
      <c r="S111" s="62">
        <v>0</v>
      </c>
      <c r="T111" s="50" t="s">
        <v>300</v>
      </c>
      <c r="U111" s="127">
        <v>0</v>
      </c>
      <c r="V111" s="115">
        <v>0</v>
      </c>
      <c r="W111" s="115">
        <v>0</v>
      </c>
      <c r="X111" s="115">
        <v>0</v>
      </c>
      <c r="Y111" s="115">
        <v>6.0401999999999996</v>
      </c>
      <c r="Z111" s="115">
        <v>126.48</v>
      </c>
      <c r="AA111" s="132" t="s">
        <v>539</v>
      </c>
      <c r="AB111" s="27">
        <f t="shared" ref="AB111:AB113" si="96">$C$42*I111</f>
        <v>0</v>
      </c>
      <c r="AC111" s="29">
        <f t="shared" ref="AC111:AC113" si="97">$C$42*O111</f>
        <v>2.3135999999999997E-5</v>
      </c>
      <c r="AD111" s="135">
        <f t="shared" si="84"/>
        <v>0</v>
      </c>
      <c r="AE111" s="135">
        <f t="shared" si="85"/>
        <v>0</v>
      </c>
      <c r="AF111" s="24">
        <f t="shared" si="86"/>
        <v>2.9262412799999997E-3</v>
      </c>
      <c r="AG111" s="24">
        <f t="shared" si="87"/>
        <v>0</v>
      </c>
      <c r="AH111" s="24">
        <f t="shared" si="88"/>
        <v>0</v>
      </c>
      <c r="AI111" s="24">
        <f t="shared" si="89"/>
        <v>0</v>
      </c>
      <c r="AJ111" s="24">
        <f t="shared" si="90"/>
        <v>0</v>
      </c>
      <c r="AK111" s="24">
        <f t="shared" si="91"/>
        <v>0</v>
      </c>
      <c r="AL111" s="24">
        <f t="shared" si="92"/>
        <v>2.9262412799999997E-3</v>
      </c>
      <c r="AM111" s="161">
        <f t="shared" si="93"/>
        <v>0</v>
      </c>
      <c r="AN111" s="157">
        <f t="shared" si="94"/>
        <v>0</v>
      </c>
      <c r="AO111" s="162">
        <f t="shared" si="95"/>
        <v>2.9262412799999997E-3</v>
      </c>
    </row>
    <row r="112" spans="1:41" s="8" customFormat="1" ht="15" customHeight="1" x14ac:dyDescent="0.2">
      <c r="A112" s="70" t="s">
        <v>51</v>
      </c>
      <c r="B112" s="54" t="s">
        <v>79</v>
      </c>
      <c r="C112" s="51">
        <v>0.02</v>
      </c>
      <c r="D112" s="51" t="s">
        <v>2</v>
      </c>
      <c r="E112" s="62" t="s">
        <v>294</v>
      </c>
      <c r="F112" s="62">
        <v>0</v>
      </c>
      <c r="G112" s="54" t="s">
        <v>12</v>
      </c>
      <c r="H112" s="51">
        <v>0</v>
      </c>
      <c r="I112" s="69">
        <v>0</v>
      </c>
      <c r="J112" s="51">
        <v>0</v>
      </c>
      <c r="K112" s="51" t="s">
        <v>297</v>
      </c>
      <c r="L112" s="62">
        <v>0</v>
      </c>
      <c r="M112" s="51" t="s">
        <v>79</v>
      </c>
      <c r="N112" s="51" t="s">
        <v>7</v>
      </c>
      <c r="O112" s="69">
        <v>2E-3</v>
      </c>
      <c r="P112" s="51" t="s">
        <v>2</v>
      </c>
      <c r="Q112" s="51">
        <v>0</v>
      </c>
      <c r="R112" s="62">
        <v>0</v>
      </c>
      <c r="S112" s="62">
        <v>0</v>
      </c>
      <c r="T112" s="54" t="s">
        <v>80</v>
      </c>
      <c r="U112" s="127">
        <v>0</v>
      </c>
      <c r="V112" s="115">
        <v>0</v>
      </c>
      <c r="W112" s="115">
        <v>0</v>
      </c>
      <c r="X112" s="115">
        <v>0</v>
      </c>
      <c r="Y112" s="115">
        <v>31</v>
      </c>
      <c r="Z112" s="115">
        <v>73.7</v>
      </c>
      <c r="AA112" s="132" t="s">
        <v>539</v>
      </c>
      <c r="AB112" s="27">
        <f t="shared" si="96"/>
        <v>0</v>
      </c>
      <c r="AC112" s="29">
        <f t="shared" si="97"/>
        <v>5.7839999999999992E-6</v>
      </c>
      <c r="AD112" s="135">
        <f t="shared" si="84"/>
        <v>0</v>
      </c>
      <c r="AE112" s="135">
        <f t="shared" si="85"/>
        <v>0</v>
      </c>
      <c r="AF112" s="24">
        <f t="shared" si="86"/>
        <v>4.2628079999999997E-4</v>
      </c>
      <c r="AG112" s="24">
        <f t="shared" si="87"/>
        <v>0</v>
      </c>
      <c r="AH112" s="24">
        <f t="shared" si="88"/>
        <v>0</v>
      </c>
      <c r="AI112" s="24">
        <f t="shared" si="89"/>
        <v>0</v>
      </c>
      <c r="AJ112" s="24">
        <f t="shared" si="90"/>
        <v>0</v>
      </c>
      <c r="AK112" s="24">
        <f t="shared" si="91"/>
        <v>0</v>
      </c>
      <c r="AL112" s="24">
        <f t="shared" si="92"/>
        <v>4.2628079999999997E-4</v>
      </c>
      <c r="AM112" s="161">
        <f t="shared" si="93"/>
        <v>0</v>
      </c>
      <c r="AN112" s="157">
        <f t="shared" si="94"/>
        <v>0</v>
      </c>
      <c r="AO112" s="162">
        <f t="shared" si="95"/>
        <v>4.2628079999999997E-4</v>
      </c>
    </row>
    <row r="113" spans="1:41" s="8" customFormat="1" ht="15" customHeight="1" x14ac:dyDescent="0.2">
      <c r="A113" s="70" t="s">
        <v>51</v>
      </c>
      <c r="B113" s="54" t="s">
        <v>87</v>
      </c>
      <c r="C113" s="51">
        <v>0</v>
      </c>
      <c r="D113" s="51">
        <v>0</v>
      </c>
      <c r="E113" s="62" t="s">
        <v>294</v>
      </c>
      <c r="F113" s="62">
        <v>0</v>
      </c>
      <c r="G113" s="51" t="s">
        <v>12</v>
      </c>
      <c r="H113" s="51">
        <v>0</v>
      </c>
      <c r="I113" s="69">
        <v>0</v>
      </c>
      <c r="J113" s="51">
        <v>0</v>
      </c>
      <c r="K113" s="51" t="s">
        <v>297</v>
      </c>
      <c r="L113" s="62">
        <v>0</v>
      </c>
      <c r="M113" s="51" t="s">
        <v>42</v>
      </c>
      <c r="N113" s="51" t="s">
        <v>7</v>
      </c>
      <c r="O113" s="69">
        <v>9.0000000000000019E-5</v>
      </c>
      <c r="P113" s="51" t="s">
        <v>2</v>
      </c>
      <c r="Q113" s="51" t="s">
        <v>1366</v>
      </c>
      <c r="R113" s="62">
        <v>0</v>
      </c>
      <c r="S113" s="62">
        <v>0</v>
      </c>
      <c r="T113" s="54" t="s">
        <v>93</v>
      </c>
      <c r="U113" s="127">
        <v>0</v>
      </c>
      <c r="V113" s="115">
        <v>0</v>
      </c>
      <c r="W113" s="115">
        <v>0</v>
      </c>
      <c r="X113" s="115">
        <v>0</v>
      </c>
      <c r="Y113" s="117">
        <v>13</v>
      </c>
      <c r="Z113" s="117">
        <v>31.7</v>
      </c>
      <c r="AA113" s="132" t="s">
        <v>539</v>
      </c>
      <c r="AB113" s="27">
        <f t="shared" si="96"/>
        <v>0</v>
      </c>
      <c r="AC113" s="29">
        <f t="shared" si="97"/>
        <v>2.6028E-7</v>
      </c>
      <c r="AD113" s="135">
        <f t="shared" si="84"/>
        <v>0</v>
      </c>
      <c r="AE113" s="135">
        <f t="shared" si="85"/>
        <v>0</v>
      </c>
      <c r="AF113" s="24">
        <f t="shared" si="86"/>
        <v>8.2508760000000002E-6</v>
      </c>
      <c r="AG113" s="24">
        <f t="shared" si="87"/>
        <v>0</v>
      </c>
      <c r="AH113" s="24">
        <f t="shared" si="88"/>
        <v>0</v>
      </c>
      <c r="AI113" s="24">
        <f t="shared" si="89"/>
        <v>0</v>
      </c>
      <c r="AJ113" s="24">
        <f t="shared" si="90"/>
        <v>0</v>
      </c>
      <c r="AK113" s="24">
        <f t="shared" si="91"/>
        <v>0</v>
      </c>
      <c r="AL113" s="24">
        <f t="shared" si="92"/>
        <v>8.2508760000000002E-6</v>
      </c>
      <c r="AM113" s="161">
        <f t="shared" si="93"/>
        <v>0</v>
      </c>
      <c r="AN113" s="157">
        <f t="shared" si="94"/>
        <v>0</v>
      </c>
      <c r="AO113" s="162">
        <f t="shared" si="95"/>
        <v>8.2508760000000002E-6</v>
      </c>
    </row>
    <row r="114" spans="1:41" s="8" customFormat="1" ht="15" customHeight="1" x14ac:dyDescent="0.2">
      <c r="A114" s="68" t="s">
        <v>55</v>
      </c>
      <c r="B114" s="54" t="s">
        <v>79</v>
      </c>
      <c r="C114" s="74">
        <v>1</v>
      </c>
      <c r="D114" s="51" t="s">
        <v>2</v>
      </c>
      <c r="E114" s="64">
        <v>1</v>
      </c>
      <c r="F114" s="64">
        <v>0</v>
      </c>
      <c r="G114" s="51" t="s">
        <v>12</v>
      </c>
      <c r="H114" s="51">
        <v>0</v>
      </c>
      <c r="I114" s="69">
        <v>0</v>
      </c>
      <c r="J114" s="51">
        <v>0</v>
      </c>
      <c r="K114" s="51" t="s">
        <v>297</v>
      </c>
      <c r="L114" s="64">
        <v>0</v>
      </c>
      <c r="M114" s="51" t="s">
        <v>79</v>
      </c>
      <c r="N114" s="51" t="s">
        <v>7</v>
      </c>
      <c r="O114" s="69">
        <v>0.1</v>
      </c>
      <c r="P114" s="51" t="s">
        <v>2</v>
      </c>
      <c r="Q114" s="51">
        <v>0</v>
      </c>
      <c r="R114" s="64">
        <v>0</v>
      </c>
      <c r="S114" s="64">
        <v>0</v>
      </c>
      <c r="T114" s="54" t="s">
        <v>80</v>
      </c>
      <c r="U114" s="127">
        <v>0</v>
      </c>
      <c r="V114" s="115">
        <v>0</v>
      </c>
      <c r="W114" s="115">
        <v>0</v>
      </c>
      <c r="X114" s="115">
        <v>0</v>
      </c>
      <c r="Y114" s="115">
        <v>31</v>
      </c>
      <c r="Z114" s="115">
        <v>73.7</v>
      </c>
      <c r="AA114" s="132" t="s">
        <v>539</v>
      </c>
      <c r="AB114" s="27">
        <f>$C$43*I114</f>
        <v>0</v>
      </c>
      <c r="AC114" s="29">
        <f>$C$43*O114</f>
        <v>2.8919999999999998E-4</v>
      </c>
      <c r="AD114" s="135">
        <f t="shared" si="14"/>
        <v>0</v>
      </c>
      <c r="AE114" s="135">
        <f t="shared" si="15"/>
        <v>0</v>
      </c>
      <c r="AF114" s="24">
        <f t="shared" si="16"/>
        <v>2.1314039999999999E-2</v>
      </c>
      <c r="AG114" s="24">
        <f t="shared" si="17"/>
        <v>0</v>
      </c>
      <c r="AH114" s="24">
        <f t="shared" si="18"/>
        <v>0</v>
      </c>
      <c r="AI114" s="24">
        <f t="shared" si="19"/>
        <v>0</v>
      </c>
      <c r="AJ114" s="24">
        <f t="shared" si="20"/>
        <v>0</v>
      </c>
      <c r="AK114" s="24">
        <f t="shared" si="21"/>
        <v>0</v>
      </c>
      <c r="AL114" s="24">
        <f t="shared" si="22"/>
        <v>2.1314039999999999E-2</v>
      </c>
      <c r="AM114" s="161">
        <f t="shared" si="23"/>
        <v>0</v>
      </c>
      <c r="AN114" s="157">
        <f t="shared" si="24"/>
        <v>0</v>
      </c>
      <c r="AO114" s="162">
        <f t="shared" si="25"/>
        <v>2.1314039999999999E-2</v>
      </c>
    </row>
    <row r="115" spans="1:41" s="8" customFormat="1" ht="15" customHeight="1" x14ac:dyDescent="0.2">
      <c r="A115" s="50" t="s">
        <v>429</v>
      </c>
      <c r="B115" s="54" t="s">
        <v>0</v>
      </c>
      <c r="C115" s="74">
        <v>1</v>
      </c>
      <c r="D115" s="51" t="s">
        <v>2</v>
      </c>
      <c r="E115" s="64">
        <v>1</v>
      </c>
      <c r="F115" s="64">
        <v>0</v>
      </c>
      <c r="G115" s="54" t="s">
        <v>0</v>
      </c>
      <c r="H115" s="51" t="s">
        <v>6</v>
      </c>
      <c r="I115" s="69">
        <v>1E-3</v>
      </c>
      <c r="J115" s="51" t="s">
        <v>2</v>
      </c>
      <c r="K115" s="51">
        <v>0</v>
      </c>
      <c r="L115" s="64">
        <v>0</v>
      </c>
      <c r="M115" s="51" t="s">
        <v>0</v>
      </c>
      <c r="N115" s="51" t="s">
        <v>7</v>
      </c>
      <c r="O115" s="69">
        <v>0.1</v>
      </c>
      <c r="P115" s="51" t="s">
        <v>2</v>
      </c>
      <c r="Q115" s="51">
        <v>0</v>
      </c>
      <c r="R115" s="64">
        <v>0</v>
      </c>
      <c r="S115" s="64">
        <v>0</v>
      </c>
      <c r="T115" s="54" t="s">
        <v>21</v>
      </c>
      <c r="U115" s="127">
        <v>0</v>
      </c>
      <c r="V115" s="115">
        <v>0</v>
      </c>
      <c r="W115" s="115">
        <v>0</v>
      </c>
      <c r="X115" s="115">
        <v>0</v>
      </c>
      <c r="Y115" s="115">
        <v>2.8072892978694037</v>
      </c>
      <c r="Z115" s="115">
        <v>44.680467206809801</v>
      </c>
      <c r="AA115" s="132" t="s">
        <v>537</v>
      </c>
      <c r="AB115" s="27">
        <f>$C$44*I115</f>
        <v>1.4459999999999998E-6</v>
      </c>
      <c r="AC115" s="29">
        <f>$C$44*O115</f>
        <v>1.4459999999999999E-4</v>
      </c>
      <c r="AD115" s="135">
        <f t="shared" si="14"/>
        <v>0</v>
      </c>
      <c r="AE115" s="135">
        <f t="shared" si="15"/>
        <v>0</v>
      </c>
      <c r="AF115" s="24">
        <f t="shared" si="16"/>
        <v>6.4648548984294158E-3</v>
      </c>
      <c r="AG115" s="24">
        <f t="shared" si="17"/>
        <v>0</v>
      </c>
      <c r="AH115" s="24">
        <f t="shared" si="18"/>
        <v>0</v>
      </c>
      <c r="AI115" s="24">
        <f t="shared" si="19"/>
        <v>4.0593403247191568E-6</v>
      </c>
      <c r="AJ115" s="24">
        <f t="shared" si="20"/>
        <v>0</v>
      </c>
      <c r="AK115" s="24">
        <f t="shared" si="21"/>
        <v>0</v>
      </c>
      <c r="AL115" s="24">
        <f t="shared" si="22"/>
        <v>6.4607955581046971E-3</v>
      </c>
      <c r="AM115" s="161">
        <f t="shared" si="23"/>
        <v>0</v>
      </c>
      <c r="AN115" s="157">
        <f t="shared" si="24"/>
        <v>0</v>
      </c>
      <c r="AO115" s="162">
        <f t="shared" si="25"/>
        <v>6.4648548984294158E-3</v>
      </c>
    </row>
    <row r="116" spans="1:41" s="8" customFormat="1" ht="15" customHeight="1" x14ac:dyDescent="0.2">
      <c r="A116" s="70" t="s">
        <v>299</v>
      </c>
      <c r="B116" s="53" t="s">
        <v>36</v>
      </c>
      <c r="C116" s="74">
        <v>0.2</v>
      </c>
      <c r="D116" s="51" t="s">
        <v>2</v>
      </c>
      <c r="E116" s="62" t="s">
        <v>294</v>
      </c>
      <c r="F116" s="62">
        <v>0</v>
      </c>
      <c r="G116" s="51" t="s">
        <v>12</v>
      </c>
      <c r="H116" s="51">
        <v>0</v>
      </c>
      <c r="I116" s="69">
        <v>0</v>
      </c>
      <c r="J116" s="51">
        <v>0</v>
      </c>
      <c r="K116" s="51">
        <v>0</v>
      </c>
      <c r="L116" s="62">
        <v>0</v>
      </c>
      <c r="M116" s="51" t="s">
        <v>36</v>
      </c>
      <c r="N116" s="51" t="s">
        <v>7</v>
      </c>
      <c r="O116" s="69">
        <v>1.0000000000000002E-3</v>
      </c>
      <c r="P116" s="51" t="s">
        <v>2</v>
      </c>
      <c r="Q116" s="51" t="s">
        <v>562</v>
      </c>
      <c r="R116" s="62">
        <v>0</v>
      </c>
      <c r="S116" s="62">
        <v>0</v>
      </c>
      <c r="T116" s="81" t="s">
        <v>37</v>
      </c>
      <c r="U116" s="127">
        <v>0</v>
      </c>
      <c r="V116" s="115">
        <v>0</v>
      </c>
      <c r="W116" s="115">
        <v>0</v>
      </c>
      <c r="X116" s="115">
        <v>0</v>
      </c>
      <c r="Y116" s="115">
        <v>9.2999999999999999E-2</v>
      </c>
      <c r="Z116" s="115">
        <v>33.799999999999997</v>
      </c>
      <c r="AA116" s="132" t="s">
        <v>539</v>
      </c>
      <c r="AB116" s="27">
        <f>$C$45*I116</f>
        <v>0</v>
      </c>
      <c r="AC116" s="29">
        <f>$C$45*O116</f>
        <v>4.3380000000000008E-5</v>
      </c>
      <c r="AD116" s="135">
        <f t="shared" si="14"/>
        <v>0</v>
      </c>
      <c r="AE116" s="135">
        <f t="shared" si="15"/>
        <v>0</v>
      </c>
      <c r="AF116" s="24">
        <f t="shared" si="16"/>
        <v>1.4662440000000002E-3</v>
      </c>
      <c r="AG116" s="24">
        <f t="shared" si="17"/>
        <v>0</v>
      </c>
      <c r="AH116" s="24">
        <f t="shared" si="18"/>
        <v>0</v>
      </c>
      <c r="AI116" s="24">
        <f t="shared" si="19"/>
        <v>0</v>
      </c>
      <c r="AJ116" s="24">
        <f t="shared" si="20"/>
        <v>0</v>
      </c>
      <c r="AK116" s="24">
        <f t="shared" si="21"/>
        <v>0</v>
      </c>
      <c r="AL116" s="24">
        <f t="shared" si="22"/>
        <v>1.4662440000000002E-3</v>
      </c>
      <c r="AM116" s="161">
        <f t="shared" si="23"/>
        <v>0</v>
      </c>
      <c r="AN116" s="157">
        <f t="shared" si="24"/>
        <v>0</v>
      </c>
      <c r="AO116" s="162">
        <f t="shared" si="25"/>
        <v>1.4662440000000002E-3</v>
      </c>
    </row>
    <row r="117" spans="1:41" s="49" customFormat="1" ht="15" customHeight="1" x14ac:dyDescent="0.2">
      <c r="A117" s="136" t="s">
        <v>299</v>
      </c>
      <c r="B117" s="137" t="s">
        <v>26</v>
      </c>
      <c r="C117" s="169">
        <v>0.03</v>
      </c>
      <c r="D117" s="139" t="s">
        <v>2</v>
      </c>
      <c r="E117" s="140" t="s">
        <v>294</v>
      </c>
      <c r="F117" s="140">
        <v>0</v>
      </c>
      <c r="G117" s="139" t="s">
        <v>12</v>
      </c>
      <c r="H117" s="139">
        <v>0</v>
      </c>
      <c r="I117" s="142">
        <v>0</v>
      </c>
      <c r="J117" s="139">
        <v>0</v>
      </c>
      <c r="K117" s="139">
        <v>0</v>
      </c>
      <c r="L117" s="140">
        <v>0</v>
      </c>
      <c r="M117" s="139" t="s">
        <v>26</v>
      </c>
      <c r="N117" s="139" t="s">
        <v>7</v>
      </c>
      <c r="O117" s="142">
        <v>1.5000000000000001E-4</v>
      </c>
      <c r="P117" s="139" t="s">
        <v>2</v>
      </c>
      <c r="Q117" s="139" t="s">
        <v>562</v>
      </c>
      <c r="R117" s="140">
        <v>0</v>
      </c>
      <c r="S117" s="140">
        <v>0</v>
      </c>
      <c r="T117" s="178" t="s">
        <v>27</v>
      </c>
      <c r="U117" s="143">
        <v>0</v>
      </c>
      <c r="V117" s="144">
        <v>0</v>
      </c>
      <c r="W117" s="144">
        <v>0</v>
      </c>
      <c r="X117" s="144">
        <v>0</v>
      </c>
      <c r="Y117" s="144">
        <v>0.92690099117499369</v>
      </c>
      <c r="Z117" s="144">
        <v>47.139947928233759</v>
      </c>
      <c r="AA117" s="145" t="s">
        <v>537</v>
      </c>
      <c r="AB117" s="28">
        <f>$C$45*I117</f>
        <v>0</v>
      </c>
      <c r="AC117" s="146">
        <f>$C$45*O117</f>
        <v>6.5069999999999997E-6</v>
      </c>
      <c r="AD117" s="147">
        <f t="shared" si="14"/>
        <v>0</v>
      </c>
      <c r="AE117" s="147">
        <f t="shared" si="15"/>
        <v>0</v>
      </c>
      <c r="AF117" s="25">
        <f t="shared" si="16"/>
        <v>3.0673964116901707E-4</v>
      </c>
      <c r="AG117" s="25">
        <f t="shared" si="17"/>
        <v>0</v>
      </c>
      <c r="AH117" s="25">
        <f t="shared" si="18"/>
        <v>0</v>
      </c>
      <c r="AI117" s="25">
        <f t="shared" si="19"/>
        <v>0</v>
      </c>
      <c r="AJ117" s="25">
        <f t="shared" si="20"/>
        <v>0</v>
      </c>
      <c r="AK117" s="25">
        <f t="shared" si="21"/>
        <v>0</v>
      </c>
      <c r="AL117" s="25">
        <f t="shared" si="22"/>
        <v>3.0673964116901707E-4</v>
      </c>
      <c r="AM117" s="163">
        <f t="shared" si="23"/>
        <v>0</v>
      </c>
      <c r="AN117" s="164">
        <f t="shared" si="24"/>
        <v>0</v>
      </c>
      <c r="AO117" s="165">
        <f t="shared" si="25"/>
        <v>3.0673964116901707E-4</v>
      </c>
    </row>
    <row r="118" spans="1:41" s="8" customFormat="1" ht="15" customHeight="1" x14ac:dyDescent="0.2">
      <c r="A118"/>
      <c r="B118" s="53"/>
      <c r="C118" s="71"/>
      <c r="D118" s="51"/>
      <c r="E118" s="62"/>
      <c r="F118" s="62"/>
      <c r="G118" s="54"/>
      <c r="H118" s="51"/>
      <c r="I118" s="69"/>
      <c r="J118" s="51"/>
      <c r="K118" s="51"/>
      <c r="L118" s="62"/>
      <c r="M118" s="51"/>
      <c r="N118" s="51"/>
      <c r="O118" s="69"/>
      <c r="P118" s="51"/>
      <c r="Q118" s="51"/>
      <c r="R118" s="62"/>
      <c r="S118" s="62"/>
      <c r="T118" s="54"/>
      <c r="U118" s="115"/>
      <c r="V118" s="115"/>
      <c r="W118" s="115"/>
      <c r="X118" s="115"/>
      <c r="Y118" s="115"/>
      <c r="Z118" s="115"/>
      <c r="AA118" s="125"/>
      <c r="AB118" s="70"/>
      <c r="AC118" s="70"/>
      <c r="AD118" s="177">
        <f>SUM(AD49:AD117)</f>
        <v>4.4291717502181248E-10</v>
      </c>
      <c r="AE118" s="177">
        <f t="shared" ref="AE118:AF118" si="98">SUM(AE49:AE117)</f>
        <v>2.2263364178137345E-9</v>
      </c>
      <c r="AF118" s="177">
        <f t="shared" si="98"/>
        <v>204.8287619214895</v>
      </c>
    </row>
    <row r="120" spans="1:41" s="378" customFormat="1" x14ac:dyDescent="0.2">
      <c r="B120" s="53" t="s">
        <v>103</v>
      </c>
      <c r="C120" s="378" t="s">
        <v>669</v>
      </c>
      <c r="D120" s="378" t="s">
        <v>154</v>
      </c>
      <c r="E120" s="378" t="s">
        <v>638</v>
      </c>
      <c r="G120" s="378" t="s">
        <v>155</v>
      </c>
      <c r="H120" s="380" t="s">
        <v>639</v>
      </c>
      <c r="I120" s="380" t="s">
        <v>640</v>
      </c>
      <c r="J120" s="378" t="s">
        <v>156</v>
      </c>
      <c r="K120" s="378" t="s">
        <v>157</v>
      </c>
      <c r="M120" s="378" t="s">
        <v>158</v>
      </c>
      <c r="N120" s="378" t="s">
        <v>159</v>
      </c>
      <c r="O120" s="378" t="s">
        <v>641</v>
      </c>
      <c r="P120" s="378" t="s">
        <v>642</v>
      </c>
      <c r="Q120" s="378" t="s">
        <v>643</v>
      </c>
      <c r="T120" s="378" t="s">
        <v>644</v>
      </c>
      <c r="U120" s="378" t="s">
        <v>645</v>
      </c>
      <c r="V120" s="378" t="s">
        <v>646</v>
      </c>
      <c r="W120" s="378" t="s">
        <v>647</v>
      </c>
      <c r="X120" s="378" t="s">
        <v>160</v>
      </c>
      <c r="Y120" s="378" t="s">
        <v>648</v>
      </c>
      <c r="Z120" s="378" t="s">
        <v>649</v>
      </c>
      <c r="AA120" s="378" t="s">
        <v>650</v>
      </c>
      <c r="AB120" s="378" t="s">
        <v>651</v>
      </c>
      <c r="AC120" s="378" t="s">
        <v>652</v>
      </c>
    </row>
    <row r="121" spans="1:41" s="378" customFormat="1" x14ac:dyDescent="0.2">
      <c r="A121" s="378" t="s">
        <v>636</v>
      </c>
      <c r="B121" s="378">
        <f>SUM(D121:AC121)</f>
        <v>13.633095144737183</v>
      </c>
      <c r="C121" s="378">
        <f>SUM(G121:Q121)+W121</f>
        <v>10.518409779895041</v>
      </c>
      <c r="D121" s="378">
        <v>0.34505900456761901</v>
      </c>
      <c r="E121" s="378">
        <v>6.7787963865112199E-3</v>
      </c>
      <c r="G121" s="378">
        <v>0.6797568951508054</v>
      </c>
      <c r="H121" s="380">
        <v>0.37207568209226333</v>
      </c>
      <c r="I121" s="380">
        <v>0.38675999999999999</v>
      </c>
      <c r="J121" s="378">
        <v>0.32314999999999999</v>
      </c>
      <c r="K121" s="378">
        <v>0.84317292308786396</v>
      </c>
      <c r="M121" s="378">
        <v>8.3319024733646982E-2</v>
      </c>
      <c r="N121" s="378" t="s">
        <v>653</v>
      </c>
      <c r="O121" s="378">
        <v>5.0075409415437102</v>
      </c>
      <c r="P121" s="378">
        <v>1.4415239478742601</v>
      </c>
      <c r="Q121" s="378">
        <v>1.30021677550979</v>
      </c>
      <c r="T121" s="378">
        <v>1.6433226029949299E-2</v>
      </c>
      <c r="U121" s="378">
        <v>0.42598306199521002</v>
      </c>
      <c r="V121" s="378">
        <v>0.91362599612359596</v>
      </c>
      <c r="W121" s="378">
        <v>8.0893589902701304E-2</v>
      </c>
      <c r="X121" s="378">
        <v>0</v>
      </c>
      <c r="Y121" s="378">
        <v>8.3357175613188506E-2</v>
      </c>
      <c r="Z121" s="378">
        <v>9.9094325819750004E-3</v>
      </c>
      <c r="AA121" s="378">
        <v>3.8969621389022598E-3</v>
      </c>
      <c r="AB121" s="378">
        <v>1.1565895323327999</v>
      </c>
      <c r="AC121" s="378">
        <v>0.15305217707238999</v>
      </c>
    </row>
    <row r="122" spans="1:41" s="378" customFormat="1" x14ac:dyDescent="0.2">
      <c r="A122" s="378" t="s">
        <v>654</v>
      </c>
      <c r="B122" s="378">
        <f t="shared" ref="B122:B130" si="99">SUM(D122:AC122)</f>
        <v>2.3180961131050544E-3</v>
      </c>
      <c r="C122" s="378">
        <f t="shared" ref="C122:C130" si="100">SUM(G122:Q122)+W122</f>
        <v>2.0422107330536204E-3</v>
      </c>
      <c r="D122" s="378">
        <v>-6.2677927855266005E-5</v>
      </c>
      <c r="E122" s="378">
        <v>7.5705108011334002E-7</v>
      </c>
      <c r="G122" s="378">
        <v>2.1997380119019461E-4</v>
      </c>
      <c r="H122" s="380">
        <v>1.0396611894659296E-4</v>
      </c>
      <c r="I122" s="380">
        <v>4.6252141079887522E-5</v>
      </c>
      <c r="J122" s="378">
        <v>1.0396611894659296E-4</v>
      </c>
      <c r="K122" s="378">
        <v>1.0590284224202E-4</v>
      </c>
      <c r="M122" s="378">
        <v>4.5570516850290681E-5</v>
      </c>
      <c r="N122" s="378">
        <v>1.80841366183952E-4</v>
      </c>
      <c r="O122" s="378">
        <v>8.8503739128845897E-4</v>
      </c>
      <c r="P122" s="378">
        <v>1.9127573539024799E-4</v>
      </c>
      <c r="Q122" s="378">
        <v>1.52716497318885E-4</v>
      </c>
      <c r="T122" s="378">
        <v>2.28468714005496E-6</v>
      </c>
      <c r="U122" s="378">
        <v>4.6099215286024698E-5</v>
      </c>
      <c r="V122" s="378">
        <v>1.06629839236493E-4</v>
      </c>
      <c r="W122" s="378">
        <v>6.7082036164980003E-6</v>
      </c>
      <c r="X122" s="378">
        <v>0</v>
      </c>
      <c r="Y122" s="378">
        <v>4.42722430108928E-5</v>
      </c>
      <c r="Z122" s="378">
        <v>8.3783389619822805E-6</v>
      </c>
      <c r="AA122" s="378">
        <v>3.29484755576462E-6</v>
      </c>
      <c r="AB122" s="378">
        <v>1.26837749585666E-4</v>
      </c>
      <c r="AC122" s="378">
        <v>9.3360497082714795E-9</v>
      </c>
    </row>
    <row r="123" spans="1:41" s="378" customFormat="1" x14ac:dyDescent="0.2">
      <c r="A123" s="378" t="s">
        <v>661</v>
      </c>
      <c r="B123" s="378">
        <f t="shared" si="99"/>
        <v>0.1338682449140344</v>
      </c>
      <c r="C123" s="378">
        <f t="shared" si="100"/>
        <v>0.11369481305972057</v>
      </c>
      <c r="D123" s="378">
        <v>-6.1294747485530403E-4</v>
      </c>
      <c r="E123" s="378">
        <v>2.5667958422212199E-5</v>
      </c>
      <c r="G123" s="378">
        <v>8.9015221764529619E-3</v>
      </c>
      <c r="H123" s="380">
        <v>3.4427642568319317E-3</v>
      </c>
      <c r="I123" s="380">
        <v>3.5897862179777788E-3</v>
      </c>
      <c r="J123" s="378">
        <v>1.3081962089018994E-3</v>
      </c>
      <c r="K123" s="378">
        <v>7.96520687648819E-3</v>
      </c>
      <c r="M123" s="378">
        <v>2.8552419024498811E-4</v>
      </c>
      <c r="N123" s="378">
        <v>1.41461664782989E-2</v>
      </c>
      <c r="O123" s="378">
        <v>4.61369890101226E-2</v>
      </c>
      <c r="P123" s="378">
        <v>1.6431901826117701E-2</v>
      </c>
      <c r="Q123" s="378">
        <v>1.09469032544339E-2</v>
      </c>
      <c r="T123" s="378">
        <v>7.0707088913063597E-5</v>
      </c>
      <c r="U123" s="378">
        <v>4.5810071917155503E-3</v>
      </c>
      <c r="V123" s="378">
        <v>8.6536158513122307E-3</v>
      </c>
      <c r="W123" s="378">
        <v>5.3985256384972598E-4</v>
      </c>
      <c r="X123" s="378">
        <v>0</v>
      </c>
      <c r="Y123" s="378">
        <v>4.8199661112804801E-4</v>
      </c>
      <c r="Z123" s="378">
        <v>7.0824732639525705E-5</v>
      </c>
      <c r="AA123" s="378">
        <v>2.7852381991694099E-5</v>
      </c>
      <c r="AB123" s="378">
        <v>6.74098429998539E-3</v>
      </c>
      <c r="AC123" s="378">
        <v>1.33723213061442E-4</v>
      </c>
    </row>
    <row r="124" spans="1:41" s="378" customFormat="1" x14ac:dyDescent="0.2">
      <c r="A124" s="378" t="s">
        <v>656</v>
      </c>
      <c r="B124" s="378">
        <f t="shared" si="99"/>
        <v>5.9309787720596717E-2</v>
      </c>
      <c r="C124" s="378">
        <f t="shared" si="100"/>
        <v>4.3462958266524854E-2</v>
      </c>
      <c r="D124" s="378">
        <v>-2.6780223374095003E-4</v>
      </c>
      <c r="E124" s="378">
        <v>2.8312721115569699E-5</v>
      </c>
      <c r="G124" s="378">
        <v>2.2150153310351189E-3</v>
      </c>
      <c r="H124" s="380">
        <v>1.2308364907848248E-3</v>
      </c>
      <c r="I124" s="380">
        <v>1.283398903202682E-3</v>
      </c>
      <c r="J124" s="378">
        <v>1.3081962089018994E-3</v>
      </c>
      <c r="K124" s="378">
        <v>3.3192479638077602E-3</v>
      </c>
      <c r="M124" s="378">
        <v>2.8552419024498811E-4</v>
      </c>
      <c r="N124" s="378">
        <v>5.34202029450983E-3</v>
      </c>
      <c r="O124" s="378">
        <v>1.77206547011611E-2</v>
      </c>
      <c r="P124" s="378">
        <v>5.7128101410629899E-3</v>
      </c>
      <c r="Q124" s="378">
        <v>4.3659416052657298E-3</v>
      </c>
      <c r="T124" s="378">
        <v>7.7340373112214195E-5</v>
      </c>
      <c r="U124" s="378">
        <v>3.9703836808235599E-3</v>
      </c>
      <c r="V124" s="378">
        <v>3.24392084528189E-3</v>
      </c>
      <c r="W124" s="378">
        <v>6.7931243654793404E-4</v>
      </c>
      <c r="X124" s="378">
        <v>0</v>
      </c>
      <c r="Y124" s="378">
        <v>3.2565583447502201E-4</v>
      </c>
      <c r="Z124" s="378">
        <v>4.7117809330946001E-5</v>
      </c>
      <c r="AA124" s="378">
        <v>1.8529448332360201E-5</v>
      </c>
      <c r="AB124" s="378">
        <v>8.2517124396397704E-3</v>
      </c>
      <c r="AC124" s="378">
        <v>1.51658535701473E-4</v>
      </c>
    </row>
    <row r="125" spans="1:41" s="378" customFormat="1" x14ac:dyDescent="0.2">
      <c r="A125" s="378" t="s">
        <v>667</v>
      </c>
      <c r="B125" s="378">
        <f t="shared" si="99"/>
        <v>8.0673984219261961</v>
      </c>
      <c r="C125" s="378">
        <f t="shared" si="100"/>
        <v>6.323404098198532</v>
      </c>
      <c r="D125" s="378">
        <v>-0.158935771708032</v>
      </c>
      <c r="E125" s="378">
        <v>1.18310360292E-3</v>
      </c>
      <c r="G125" s="378">
        <v>5.1370515227426557E-3</v>
      </c>
      <c r="H125" s="380">
        <v>1.6298107601288114E-3</v>
      </c>
      <c r="I125" s="380">
        <v>1.6994112196360915E-3</v>
      </c>
      <c r="J125" s="378">
        <v>3.5524313148521336</v>
      </c>
      <c r="K125" s="378">
        <v>0.159512846435033</v>
      </c>
      <c r="M125" s="378">
        <v>3.1413024656982784E-3</v>
      </c>
      <c r="N125" s="378">
        <v>0.27751304530250198</v>
      </c>
      <c r="O125" s="378">
        <v>1.21540756705806</v>
      </c>
      <c r="P125" s="378">
        <v>0.33071030222681602</v>
      </c>
      <c r="Q125" s="378">
        <v>0.76725542184298201</v>
      </c>
      <c r="T125" s="378">
        <v>3.0958485467999998E-3</v>
      </c>
      <c r="U125" s="378">
        <v>5.56124485094317E-2</v>
      </c>
      <c r="V125" s="378">
        <v>0.167607644042643</v>
      </c>
      <c r="W125" s="378">
        <v>8.9660245127999999E-3</v>
      </c>
      <c r="X125" s="378">
        <v>0</v>
      </c>
      <c r="Y125" s="378">
        <v>1.3392703397468799</v>
      </c>
      <c r="Z125" s="378">
        <v>8.2344356347148803E-2</v>
      </c>
      <c r="AA125" s="378">
        <v>3.2382564428644497E-2</v>
      </c>
      <c r="AB125" s="378">
        <v>0.195988776256</v>
      </c>
      <c r="AC125" s="378">
        <v>2.5445013955227601E-2</v>
      </c>
    </row>
    <row r="126" spans="1:41" s="378" customFormat="1" x14ac:dyDescent="0.2">
      <c r="A126" s="378" t="s">
        <v>658</v>
      </c>
      <c r="B126" s="378">
        <f t="shared" si="99"/>
        <v>0.7046194867248059</v>
      </c>
      <c r="C126" s="378">
        <f t="shared" si="100"/>
        <v>0.54867836513123325</v>
      </c>
      <c r="D126" s="378">
        <v>-5.9403666956284101E-2</v>
      </c>
      <c r="E126" s="378">
        <v>3.41899299E-5</v>
      </c>
      <c r="G126" s="378">
        <v>8.9220501223087889E-3</v>
      </c>
      <c r="H126" s="380">
        <v>8.707499146932314E-3</v>
      </c>
      <c r="I126" s="380">
        <v>9.0793496443102046E-3</v>
      </c>
      <c r="J126" s="378">
        <v>6.8298590818462743E-4</v>
      </c>
      <c r="K126" s="378">
        <v>1.94708579938376E-2</v>
      </c>
      <c r="M126" s="378">
        <v>1.5418029813361016E-4</v>
      </c>
      <c r="N126" s="378">
        <v>4.3432489242136198E-2</v>
      </c>
      <c r="O126" s="378">
        <v>0.12534157834136</v>
      </c>
      <c r="P126" s="378">
        <v>4.2412939475741901E-2</v>
      </c>
      <c r="Q126" s="378">
        <v>0.29018939069028798</v>
      </c>
      <c r="T126" s="378">
        <v>7.1780840316000005E-5</v>
      </c>
      <c r="U126" s="378">
        <v>1.52755275806424E-3</v>
      </c>
      <c r="V126" s="378">
        <v>2.0336572345511301E-2</v>
      </c>
      <c r="W126" s="378">
        <v>2.8504426799999999E-4</v>
      </c>
      <c r="X126" s="378">
        <v>0</v>
      </c>
      <c r="Y126" s="378">
        <v>0.18498083978971899</v>
      </c>
      <c r="Z126" s="378">
        <v>3.1857257669332499E-3</v>
      </c>
      <c r="AA126" s="378">
        <v>1.2528116616128101E-3</v>
      </c>
      <c r="AB126" s="378">
        <v>3.9553154578000002E-3</v>
      </c>
      <c r="AC126" s="378">
        <v>0</v>
      </c>
    </row>
    <row r="127" spans="1:41" s="378" customFormat="1" x14ac:dyDescent="0.2">
      <c r="A127" s="378" t="s">
        <v>659</v>
      </c>
      <c r="B127" s="378">
        <f t="shared" si="99"/>
        <v>2.311040369713185E-6</v>
      </c>
      <c r="C127" s="378">
        <f t="shared" si="100"/>
        <v>1.9462108788353849E-6</v>
      </c>
      <c r="D127" s="378">
        <v>-2.7724141447116298E-7</v>
      </c>
      <c r="E127" s="378">
        <v>2.92097517879194E-9</v>
      </c>
      <c r="G127" s="378">
        <v>2.1318369380891912E-7</v>
      </c>
      <c r="H127" s="380">
        <v>4.5706849454676323E-8</v>
      </c>
      <c r="I127" s="380">
        <v>4.7658743381566404E-8</v>
      </c>
      <c r="J127" s="378">
        <v>8.3200143013604573E-8</v>
      </c>
      <c r="K127" s="378">
        <v>1.07920948879391E-7</v>
      </c>
      <c r="M127" s="378">
        <v>1.7274828724681863E-8</v>
      </c>
      <c r="N127" s="378">
        <v>1.9484381469911199E-7</v>
      </c>
      <c r="O127" s="378">
        <v>8.3109999398425901E-7</v>
      </c>
      <c r="P127" s="378">
        <v>2.18286702947132E-7</v>
      </c>
      <c r="Q127" s="378">
        <v>1.5742372280133699E-7</v>
      </c>
      <c r="T127" s="378">
        <v>4.5750775436077603E-9</v>
      </c>
      <c r="U127" s="378">
        <v>1.3281585218229299E-7</v>
      </c>
      <c r="V127" s="378">
        <v>1.0650937464527099E-7</v>
      </c>
      <c r="W127" s="378">
        <v>2.96114371407055E-8</v>
      </c>
      <c r="X127" s="378">
        <v>0</v>
      </c>
      <c r="Y127" s="378">
        <v>6.3152720102509806E-8</v>
      </c>
      <c r="Z127" s="378">
        <v>2.0072452179920198E-8</v>
      </c>
      <c r="AA127" s="378">
        <v>7.8936493621600605E-9</v>
      </c>
      <c r="AB127" s="378">
        <v>3.0142675220404202E-7</v>
      </c>
      <c r="AC127" s="378">
        <v>2.7040519503670099E-9</v>
      </c>
    </row>
    <row r="128" spans="1:41" s="378" customFormat="1" x14ac:dyDescent="0.2">
      <c r="A128" s="378" t="s">
        <v>663</v>
      </c>
      <c r="B128" s="378">
        <f t="shared" si="99"/>
        <v>4.6745887212267045E-7</v>
      </c>
      <c r="C128" s="378">
        <f t="shared" si="100"/>
        <v>3.9258295202252605E-7</v>
      </c>
      <c r="D128" s="378">
        <v>-4.8334051734695197E-8</v>
      </c>
      <c r="E128" s="378">
        <v>4.2986118004859602E-10</v>
      </c>
      <c r="G128" s="378">
        <v>3.2625309238224607E-8</v>
      </c>
      <c r="H128" s="380">
        <v>9.3050082581265993E-9</v>
      </c>
      <c r="I128" s="380">
        <v>9.7023751588295139E-9</v>
      </c>
      <c r="J128" s="378">
        <v>1.4526974079236561E-8</v>
      </c>
      <c r="K128" s="378">
        <v>2.17899145257463E-8</v>
      </c>
      <c r="M128" s="378">
        <v>3.5852900628304437E-9</v>
      </c>
      <c r="N128" s="378">
        <v>3.77406186385867E-8</v>
      </c>
      <c r="O128" s="378">
        <v>1.8536645845727999E-7</v>
      </c>
      <c r="P128" s="378">
        <v>4.1994032751145299E-8</v>
      </c>
      <c r="Q128" s="378">
        <v>3.18439416522518E-8</v>
      </c>
      <c r="T128" s="378">
        <v>1.05187005457835E-9</v>
      </c>
      <c r="U128" s="378">
        <v>2.0787326011192999E-8</v>
      </c>
      <c r="V128" s="378">
        <v>2.1568772578510999E-8</v>
      </c>
      <c r="W128" s="378">
        <v>4.1030292002682801E-9</v>
      </c>
      <c r="X128" s="378">
        <v>0</v>
      </c>
      <c r="Y128" s="378">
        <v>1.5485196926251299E-8</v>
      </c>
      <c r="Z128" s="378">
        <v>2.9376446577236298E-9</v>
      </c>
      <c r="AA128" s="378">
        <v>1.155251818305E-9</v>
      </c>
      <c r="AB128" s="378">
        <v>5.9771869071783397E-8</v>
      </c>
      <c r="AC128" s="378">
        <v>2.21795364451999E-11</v>
      </c>
    </row>
    <row r="129" spans="1:29" s="378" customFormat="1" x14ac:dyDescent="0.2">
      <c r="A129" s="378" t="s">
        <v>664</v>
      </c>
      <c r="B129" s="378">
        <f t="shared" si="99"/>
        <v>10.236591740410013</v>
      </c>
      <c r="C129" s="378">
        <f t="shared" si="100"/>
        <v>32.554386895921823</v>
      </c>
      <c r="D129" s="378">
        <v>-30.061567409260601</v>
      </c>
      <c r="E129" s="378">
        <v>2.8477106114754101E-2</v>
      </c>
      <c r="G129" s="378">
        <v>9.2666119764329959</v>
      </c>
      <c r="H129" s="380">
        <v>0.7274608436760015</v>
      </c>
      <c r="I129" s="380">
        <v>0.75852678717817945</v>
      </c>
      <c r="J129" s="378">
        <v>2.4129043698643993</v>
      </c>
      <c r="K129" s="378">
        <v>1.1576957731082</v>
      </c>
      <c r="M129" s="378">
        <v>0.51027758015330005</v>
      </c>
      <c r="N129" s="378">
        <v>1.97000784530642</v>
      </c>
      <c r="O129" s="378">
        <v>11.6537993480233</v>
      </c>
      <c r="P129" s="378">
        <v>2.1259909607296099</v>
      </c>
      <c r="Q129" s="378">
        <v>1.71732157658311</v>
      </c>
      <c r="T129" s="378">
        <v>8.6200643394103799E-2</v>
      </c>
      <c r="U129" s="378">
        <v>1.2437946062691001</v>
      </c>
      <c r="V129" s="378">
        <v>0.44509551574566097</v>
      </c>
      <c r="W129" s="378">
        <v>0.25378983486630702</v>
      </c>
      <c r="X129" s="378">
        <v>0</v>
      </c>
      <c r="Y129" s="378">
        <v>1.09541862785997</v>
      </c>
      <c r="Z129" s="378">
        <v>0.32249167392751199</v>
      </c>
      <c r="AA129" s="378">
        <v>0.12682238190839501</v>
      </c>
      <c r="AB129" s="378">
        <v>4.3954231280565903</v>
      </c>
      <c r="AC129" s="378">
        <v>4.8570472702403198E-5</v>
      </c>
    </row>
    <row r="130" spans="1:29" x14ac:dyDescent="0.2">
      <c r="A130" t="s">
        <v>666</v>
      </c>
      <c r="B130">
        <f t="shared" si="99"/>
        <v>186.89641079500848</v>
      </c>
      <c r="C130">
        <f t="shared" si="100"/>
        <v>151.95950060564334</v>
      </c>
      <c r="D130">
        <v>-5.2962101965918897</v>
      </c>
      <c r="E130">
        <v>0.107263048685238</v>
      </c>
      <c r="G130">
        <v>11.93577189212</v>
      </c>
      <c r="H130" s="3">
        <v>3.9075503607700002</v>
      </c>
      <c r="I130" s="3">
        <v>4.0744208388100001</v>
      </c>
      <c r="J130">
        <v>3.7744458761300002</v>
      </c>
      <c r="K130">
        <v>10.489032314783801</v>
      </c>
      <c r="M130">
        <v>1.0044272269889998</v>
      </c>
      <c r="N130">
        <v>15.765309430590101</v>
      </c>
      <c r="O130">
        <v>71.426286230876102</v>
      </c>
      <c r="P130">
        <v>13.611521032114601</v>
      </c>
      <c r="Q130">
        <v>14.7285556716736</v>
      </c>
      <c r="T130">
        <v>0.25966484074393298</v>
      </c>
      <c r="U130">
        <v>6.5154144294155696</v>
      </c>
      <c r="V130">
        <v>9.3119080602827395</v>
      </c>
      <c r="W130">
        <v>1.24217973078611</v>
      </c>
      <c r="X130">
        <v>0</v>
      </c>
      <c r="Y130">
        <v>3.9401933613778102</v>
      </c>
      <c r="Z130">
        <v>1.50133687448141</v>
      </c>
      <c r="AA130">
        <v>0.59041250941391998</v>
      </c>
      <c r="AB130">
        <v>17.935326939497799</v>
      </c>
      <c r="AC130">
        <v>7.1600322058639199E-2</v>
      </c>
    </row>
    <row r="135" spans="1:29" ht="15" x14ac:dyDescent="0.25">
      <c r="G135" s="189" t="s">
        <v>140</v>
      </c>
      <c r="H135" s="189" t="s">
        <v>681</v>
      </c>
      <c r="I135" s="189" t="s">
        <v>682</v>
      </c>
      <c r="J135" s="189" t="s">
        <v>596</v>
      </c>
      <c r="K135" s="189" t="s">
        <v>683</v>
      </c>
      <c r="M135" s="189" t="s">
        <v>684</v>
      </c>
      <c r="N135" s="189" t="s">
        <v>113</v>
      </c>
      <c r="O135" s="190" t="s">
        <v>103</v>
      </c>
    </row>
    <row r="136" spans="1:29" x14ac:dyDescent="0.2">
      <c r="G136">
        <f>O129+P129</f>
        <v>13.77979030875291</v>
      </c>
      <c r="H136">
        <f>SUM(G129:N129)+W129</f>
        <v>17.057275010585805</v>
      </c>
      <c r="I136">
        <f>Q129+AC129</f>
        <v>1.7173701470558125</v>
      </c>
      <c r="J136">
        <f>SUM(T129:V129)</f>
        <v>1.7750907654088648</v>
      </c>
      <c r="K136">
        <f>AB129</f>
        <v>4.3954231280565903</v>
      </c>
      <c r="M136">
        <f>SUM(Y129:AA129)</f>
        <v>1.544732683695877</v>
      </c>
      <c r="N136">
        <f>SUM(D129:E129)</f>
        <v>-30.033090303145848</v>
      </c>
      <c r="O136">
        <f>SUM(G136:N136)</f>
        <v>10.236591740410006</v>
      </c>
    </row>
    <row r="137" spans="1:29" x14ac:dyDescent="0.2">
      <c r="H137" s="187">
        <f>I37</f>
        <v>204.8287619214895</v>
      </c>
    </row>
    <row r="138" spans="1:29" x14ac:dyDescent="0.2">
      <c r="G138">
        <f>G136</f>
        <v>13.77979030875291</v>
      </c>
      <c r="H138">
        <f>SUM(H136:H137)</f>
        <v>221.88603693207531</v>
      </c>
      <c r="I138">
        <f t="shared" ref="I138:N138" si="101">I136</f>
        <v>1.7173701470558125</v>
      </c>
      <c r="J138">
        <f t="shared" si="101"/>
        <v>1.7750907654088648</v>
      </c>
      <c r="K138">
        <f t="shared" si="101"/>
        <v>4.3954231280565903</v>
      </c>
      <c r="M138">
        <f t="shared" si="101"/>
        <v>1.544732683695877</v>
      </c>
      <c r="N138">
        <f t="shared" si="101"/>
        <v>-30.033090303145848</v>
      </c>
      <c r="O138">
        <f>SUM(G138:N138)</f>
        <v>215.06535366189954</v>
      </c>
    </row>
    <row r="140" spans="1:29" x14ac:dyDescent="0.2">
      <c r="N140" t="s">
        <v>685</v>
      </c>
    </row>
    <row r="141" spans="1:29" x14ac:dyDescent="0.2">
      <c r="N141" s="5">
        <f>H137</f>
        <v>204.8287619214895</v>
      </c>
    </row>
  </sheetData>
  <pageMargins left="0.7" right="0.7" top="0.75" bottom="0.75" header="0.3" footer="0.3"/>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I195"/>
  <sheetViews>
    <sheetView zoomScale="60" zoomScaleNormal="60" workbookViewId="0"/>
  </sheetViews>
  <sheetFormatPr defaultRowHeight="12.75" x14ac:dyDescent="0.2"/>
  <cols>
    <col min="1" max="1" width="43.28515625" customWidth="1"/>
    <col min="2" max="2" width="27.7109375" customWidth="1"/>
    <col min="3" max="4" width="14.7109375" customWidth="1"/>
    <col min="6" max="6" width="1.42578125" customWidth="1"/>
    <col min="8" max="11" width="9.140625" customWidth="1"/>
    <col min="12" max="12" width="1.42578125" customWidth="1"/>
    <col min="13" max="17" width="9.140625" customWidth="1"/>
    <col min="18" max="19" width="1.42578125" customWidth="1"/>
    <col min="20" max="27" width="9.140625" customWidth="1"/>
    <col min="28" max="28" width="13.140625" bestFit="1" customWidth="1"/>
    <col min="30" max="30" width="15.7109375" bestFit="1" customWidth="1"/>
    <col min="31" max="32" width="12" customWidth="1"/>
  </cols>
  <sheetData>
    <row r="1" spans="1:15" x14ac:dyDescent="0.2">
      <c r="A1" s="20" t="s">
        <v>181</v>
      </c>
      <c r="B1" s="19" t="s">
        <v>253</v>
      </c>
      <c r="C1" s="21" t="s">
        <v>11</v>
      </c>
      <c r="H1" s="58" t="s">
        <v>674</v>
      </c>
      <c r="I1" s="58"/>
      <c r="J1" s="58"/>
      <c r="K1" s="58" t="s">
        <v>676</v>
      </c>
      <c r="M1" s="58" t="s">
        <v>677</v>
      </c>
      <c r="N1" s="58" t="s">
        <v>678</v>
      </c>
      <c r="O1" s="58" t="s">
        <v>679</v>
      </c>
    </row>
    <row r="2" spans="1:15" x14ac:dyDescent="0.2">
      <c r="A2" s="9" t="s">
        <v>574</v>
      </c>
      <c r="B2" s="3">
        <v>1</v>
      </c>
      <c r="C2" s="10" t="s">
        <v>2</v>
      </c>
      <c r="H2" s="34" t="s">
        <v>260</v>
      </c>
      <c r="K2" s="60"/>
      <c r="M2" s="60">
        <v>17.103150501261975</v>
      </c>
      <c r="O2" s="60">
        <v>14.413176872633462</v>
      </c>
    </row>
    <row r="3" spans="1:15" x14ac:dyDescent="0.2">
      <c r="A3" s="36" t="s">
        <v>187</v>
      </c>
      <c r="B3" s="3"/>
      <c r="C3" s="10"/>
      <c r="H3" s="34" t="s">
        <v>261</v>
      </c>
      <c r="K3" s="60"/>
      <c r="M3" s="60">
        <v>2.421910125197668E-3</v>
      </c>
      <c r="O3" s="60">
        <v>2.0240192470465769E-3</v>
      </c>
    </row>
    <row r="4" spans="1:15" x14ac:dyDescent="0.2">
      <c r="A4" s="9" t="s">
        <v>247</v>
      </c>
      <c r="B4" s="3">
        <v>0.14000000000000001</v>
      </c>
      <c r="C4" s="10" t="s">
        <v>2</v>
      </c>
      <c r="H4" s="34" t="s">
        <v>262</v>
      </c>
      <c r="K4" s="60"/>
      <c r="M4" s="60">
        <v>9.5455633511081342E-2</v>
      </c>
      <c r="O4" s="60">
        <v>8.2626149656277181E-2</v>
      </c>
    </row>
    <row r="5" spans="1:15" x14ac:dyDescent="0.2">
      <c r="A5" s="9" t="s">
        <v>575</v>
      </c>
      <c r="B5" s="3">
        <v>0.32</v>
      </c>
      <c r="C5" s="10" t="s">
        <v>2</v>
      </c>
      <c r="H5" s="34" t="s">
        <v>263</v>
      </c>
      <c r="K5" s="60"/>
      <c r="M5" s="60">
        <v>4.4847069430822839E-2</v>
      </c>
      <c r="O5" s="60">
        <v>3.3784081688317216E-2</v>
      </c>
    </row>
    <row r="6" spans="1:15" x14ac:dyDescent="0.2">
      <c r="A6" s="9" t="s">
        <v>576</v>
      </c>
      <c r="B6" s="3">
        <v>0.42</v>
      </c>
      <c r="C6" s="10" t="s">
        <v>2</v>
      </c>
      <c r="H6" s="34" t="s">
        <v>264</v>
      </c>
      <c r="K6" s="60"/>
      <c r="M6" s="60">
        <v>626.96114661442425</v>
      </c>
      <c r="O6" s="60">
        <v>626.95854904602209</v>
      </c>
    </row>
    <row r="7" spans="1:15" ht="15" x14ac:dyDescent="0.2">
      <c r="A7" s="9" t="s">
        <v>555</v>
      </c>
      <c r="B7" s="3">
        <v>0.01</v>
      </c>
      <c r="C7" s="10" t="s">
        <v>2</v>
      </c>
      <c r="H7" s="34" t="s">
        <v>675</v>
      </c>
      <c r="K7" s="60"/>
      <c r="M7" s="60">
        <v>0.91591229824078413</v>
      </c>
      <c r="O7" s="60">
        <v>0.99670770686251231</v>
      </c>
    </row>
    <row r="8" spans="1:15" x14ac:dyDescent="0.2">
      <c r="A8" s="9" t="s">
        <v>433</v>
      </c>
      <c r="B8" s="3">
        <v>0.32</v>
      </c>
      <c r="C8" s="10" t="s">
        <v>2</v>
      </c>
      <c r="H8" s="34" t="s">
        <v>266</v>
      </c>
      <c r="K8" s="60"/>
      <c r="M8" s="60">
        <v>2.4511923833090166E-6</v>
      </c>
      <c r="O8" s="60">
        <v>2.0224610134349447E-6</v>
      </c>
    </row>
    <row r="9" spans="1:15" x14ac:dyDescent="0.2">
      <c r="A9" s="9" t="s">
        <v>577</v>
      </c>
      <c r="B9" s="3">
        <v>0.42</v>
      </c>
      <c r="C9" s="10" t="s">
        <v>2</v>
      </c>
      <c r="H9" s="34" t="s">
        <v>267</v>
      </c>
      <c r="K9" s="60"/>
      <c r="M9" s="60">
        <v>5.5597232026845282E-7</v>
      </c>
      <c r="O9" s="60">
        <v>4.4552214342387665E-7</v>
      </c>
    </row>
    <row r="10" spans="1:15" x14ac:dyDescent="0.2">
      <c r="A10" s="9" t="s">
        <v>578</v>
      </c>
      <c r="B10" s="3">
        <v>0.01</v>
      </c>
      <c r="C10" s="10" t="s">
        <v>2</v>
      </c>
      <c r="H10" s="34" t="s">
        <v>268</v>
      </c>
      <c r="K10" s="4">
        <v>61.483766729446096</v>
      </c>
      <c r="M10" s="4">
        <f>K10+I39</f>
        <v>455.15741791495873</v>
      </c>
      <c r="N10" s="4">
        <v>42.162177539788146</v>
      </c>
      <c r="O10" s="4">
        <f>N10+I39</f>
        <v>435.83582872530081</v>
      </c>
    </row>
    <row r="11" spans="1:15" x14ac:dyDescent="0.2">
      <c r="A11" s="9" t="s">
        <v>510</v>
      </c>
      <c r="B11" s="3">
        <v>0.3</v>
      </c>
      <c r="C11" s="10" t="s">
        <v>2</v>
      </c>
      <c r="H11" s="59" t="s">
        <v>269</v>
      </c>
      <c r="I11" s="59"/>
      <c r="J11" s="59"/>
      <c r="K11" s="61"/>
      <c r="M11" s="61">
        <v>158.16398625528041</v>
      </c>
      <c r="N11" s="61"/>
      <c r="O11" s="61">
        <v>124.69003918652524</v>
      </c>
    </row>
    <row r="12" spans="1:15" x14ac:dyDescent="0.2">
      <c r="A12" s="9" t="s">
        <v>564</v>
      </c>
      <c r="B12" s="3">
        <v>0.49</v>
      </c>
      <c r="C12" s="10" t="s">
        <v>2</v>
      </c>
    </row>
    <row r="13" spans="1:15" x14ac:dyDescent="0.2">
      <c r="A13" s="9" t="s">
        <v>249</v>
      </c>
      <c r="B13" s="3">
        <v>0.12</v>
      </c>
      <c r="C13" s="10" t="s">
        <v>2</v>
      </c>
    </row>
    <row r="14" spans="1:15" x14ac:dyDescent="0.2">
      <c r="A14" s="9" t="s">
        <v>565</v>
      </c>
      <c r="B14" s="3">
        <v>0.64</v>
      </c>
      <c r="C14" s="10" t="s">
        <v>2</v>
      </c>
    </row>
    <row r="15" spans="1:15" x14ac:dyDescent="0.2">
      <c r="A15" s="9" t="s">
        <v>579</v>
      </c>
      <c r="B15" s="3">
        <v>0.15</v>
      </c>
      <c r="C15" s="10" t="s">
        <v>2</v>
      </c>
    </row>
    <row r="16" spans="1:15" x14ac:dyDescent="0.2">
      <c r="A16" s="9" t="s">
        <v>581</v>
      </c>
      <c r="B16" s="3">
        <v>0.12</v>
      </c>
      <c r="C16" s="10" t="s">
        <v>2</v>
      </c>
      <c r="D16" t="s">
        <v>559</v>
      </c>
      <c r="H16" s="166" t="s">
        <v>587</v>
      </c>
    </row>
    <row r="17" spans="1:19" x14ac:dyDescent="0.2">
      <c r="A17" s="9" t="s">
        <v>582</v>
      </c>
      <c r="B17" s="3">
        <v>0.35</v>
      </c>
      <c r="C17" s="10" t="s">
        <v>2</v>
      </c>
      <c r="D17" t="s">
        <v>559</v>
      </c>
      <c r="H17" s="13" t="s">
        <v>103</v>
      </c>
      <c r="I17" s="13" t="s">
        <v>31</v>
      </c>
      <c r="J17" s="13" t="s">
        <v>32</v>
      </c>
      <c r="K17" s="14" t="s">
        <v>33</v>
      </c>
    </row>
    <row r="18" spans="1:19" x14ac:dyDescent="0.2">
      <c r="A18" s="9" t="s">
        <v>583</v>
      </c>
      <c r="B18" s="3">
        <v>0.15</v>
      </c>
      <c r="C18" s="10" t="s">
        <v>2</v>
      </c>
      <c r="D18" t="s">
        <v>559</v>
      </c>
      <c r="I18" s="4">
        <f>AD172</f>
        <v>2.038219618608706E-8</v>
      </c>
      <c r="J18" s="4">
        <f>AE172</f>
        <v>3.0188570690881803E-8</v>
      </c>
      <c r="K18" s="4">
        <f>AF172</f>
        <v>393.67365118551265</v>
      </c>
    </row>
    <row r="19" spans="1:19" x14ac:dyDescent="0.2">
      <c r="A19" s="9" t="s">
        <v>568</v>
      </c>
      <c r="B19" s="3">
        <v>0.75</v>
      </c>
      <c r="C19" s="10" t="s">
        <v>2</v>
      </c>
      <c r="H19" s="3"/>
      <c r="I19" s="3"/>
    </row>
    <row r="20" spans="1:19" x14ac:dyDescent="0.2">
      <c r="A20" s="9" t="s">
        <v>580</v>
      </c>
      <c r="B20" s="3">
        <v>1.01</v>
      </c>
      <c r="C20" s="10" t="s">
        <v>2</v>
      </c>
      <c r="H20" s="3"/>
      <c r="I20" s="3"/>
    </row>
    <row r="21" spans="1:19" x14ac:dyDescent="0.2">
      <c r="A21" s="11" t="s">
        <v>251</v>
      </c>
      <c r="B21" s="7">
        <v>0.75</v>
      </c>
      <c r="C21" s="12" t="s">
        <v>252</v>
      </c>
      <c r="H21" s="1" t="s">
        <v>594</v>
      </c>
      <c r="I21" s="3"/>
    </row>
    <row r="22" spans="1:19" x14ac:dyDescent="0.2">
      <c r="H22" s="18" t="s">
        <v>542</v>
      </c>
      <c r="I22" s="3"/>
    </row>
    <row r="23" spans="1:19" x14ac:dyDescent="0.2">
      <c r="H23" s="18" t="s">
        <v>543</v>
      </c>
      <c r="I23" s="3"/>
    </row>
    <row r="25" spans="1:19" x14ac:dyDescent="0.2">
      <c r="A25" s="20" t="s">
        <v>540</v>
      </c>
      <c r="B25" s="19" t="s">
        <v>99</v>
      </c>
      <c r="C25" s="19" t="s">
        <v>593</v>
      </c>
      <c r="D25" s="19" t="s">
        <v>104</v>
      </c>
      <c r="E25" s="21" t="s">
        <v>11</v>
      </c>
      <c r="F25" s="18"/>
      <c r="H25" s="3"/>
      <c r="I25" s="3"/>
      <c r="L25" s="18"/>
      <c r="R25" s="18"/>
      <c r="S25" s="18"/>
    </row>
    <row r="26" spans="1:19" x14ac:dyDescent="0.2">
      <c r="A26" s="9" t="s">
        <v>45</v>
      </c>
      <c r="B26" s="3" t="s">
        <v>581</v>
      </c>
      <c r="C26" s="3">
        <f>D26*0.12*1.2</f>
        <v>1.44E-2</v>
      </c>
      <c r="D26" s="3">
        <f>0.01*10</f>
        <v>0.1</v>
      </c>
      <c r="E26" s="10" t="s">
        <v>2</v>
      </c>
      <c r="F26" s="3"/>
      <c r="H26" s="3"/>
      <c r="I26" s="3"/>
      <c r="L26" s="3"/>
      <c r="R26" s="3"/>
      <c r="S26" s="3"/>
    </row>
    <row r="27" spans="1:19" x14ac:dyDescent="0.2">
      <c r="A27" s="9" t="s">
        <v>88</v>
      </c>
      <c r="B27" s="3" t="s">
        <v>581</v>
      </c>
      <c r="C27" s="3">
        <f t="shared" ref="C27:C37" si="0">D27*0.12*1.2</f>
        <v>5.7599999999999995E-3</v>
      </c>
      <c r="D27" s="3">
        <f>0.004*10</f>
        <v>0.04</v>
      </c>
      <c r="E27" s="10" t="s">
        <v>2</v>
      </c>
      <c r="F27" s="3"/>
      <c r="H27" s="3"/>
      <c r="I27" s="3"/>
      <c r="L27" s="3"/>
      <c r="R27" s="3"/>
      <c r="S27" s="3"/>
    </row>
    <row r="28" spans="1:19" x14ac:dyDescent="0.2">
      <c r="A28" s="9" t="s">
        <v>49</v>
      </c>
      <c r="B28" s="3" t="s">
        <v>581</v>
      </c>
      <c r="C28" s="3">
        <f t="shared" si="0"/>
        <v>4.3199999999999993E-4</v>
      </c>
      <c r="D28" s="3">
        <f>0.0003*10</f>
        <v>2.9999999999999996E-3</v>
      </c>
      <c r="E28" s="10" t="s">
        <v>2</v>
      </c>
      <c r="F28" s="3"/>
      <c r="H28" s="3"/>
      <c r="I28" s="3"/>
      <c r="L28" s="3"/>
      <c r="R28" s="3"/>
      <c r="S28" s="3"/>
    </row>
    <row r="29" spans="1:19" x14ac:dyDescent="0.2">
      <c r="A29" s="9" t="s">
        <v>47</v>
      </c>
      <c r="B29" s="3" t="s">
        <v>581</v>
      </c>
      <c r="C29" s="3">
        <f t="shared" si="0"/>
        <v>1.4399999999999999E-3</v>
      </c>
      <c r="D29" s="3">
        <f>0.001*10</f>
        <v>0.01</v>
      </c>
      <c r="E29" s="10" t="s">
        <v>2</v>
      </c>
      <c r="F29" s="3"/>
      <c r="H29" s="3"/>
      <c r="I29" s="3"/>
      <c r="L29" s="3"/>
      <c r="R29" s="3"/>
      <c r="S29" s="3"/>
    </row>
    <row r="30" spans="1:19" x14ac:dyDescent="0.2">
      <c r="A30" s="9" t="s">
        <v>142</v>
      </c>
      <c r="B30" s="3" t="s">
        <v>581</v>
      </c>
      <c r="C30" s="3">
        <f t="shared" si="0"/>
        <v>7.1999999999999998E-3</v>
      </c>
      <c r="D30" s="3">
        <f>0.001*10*2+0.03</f>
        <v>0.05</v>
      </c>
      <c r="E30" s="10" t="s">
        <v>2</v>
      </c>
      <c r="F30" s="3"/>
      <c r="H30" s="3"/>
      <c r="I30" s="3"/>
      <c r="L30" s="3"/>
      <c r="R30" s="3"/>
      <c r="S30" s="3"/>
    </row>
    <row r="31" spans="1:19" x14ac:dyDescent="0.2">
      <c r="A31" s="9" t="s">
        <v>102</v>
      </c>
      <c r="B31" s="3" t="s">
        <v>581</v>
      </c>
      <c r="C31" s="3">
        <f t="shared" si="0"/>
        <v>1.2960000000000001E-3</v>
      </c>
      <c r="D31" s="3">
        <f>0.0004*10+0.005</f>
        <v>9.0000000000000011E-3</v>
      </c>
      <c r="E31" s="10" t="s">
        <v>2</v>
      </c>
      <c r="F31" s="3"/>
      <c r="H31" s="3"/>
      <c r="I31" s="3"/>
      <c r="L31" s="3"/>
      <c r="R31" s="3"/>
      <c r="S31" s="3"/>
    </row>
    <row r="32" spans="1:19" x14ac:dyDescent="0.2">
      <c r="A32" s="9" t="s">
        <v>141</v>
      </c>
      <c r="B32" s="3" t="s">
        <v>581</v>
      </c>
      <c r="C32" s="3">
        <f t="shared" si="0"/>
        <v>2.8799999999999997E-3</v>
      </c>
      <c r="D32" s="3">
        <f>0.002*10</f>
        <v>0.02</v>
      </c>
      <c r="E32" s="10" t="s">
        <v>2</v>
      </c>
      <c r="F32" s="3"/>
      <c r="H32" s="18" t="s">
        <v>134</v>
      </c>
      <c r="I32" s="3"/>
      <c r="L32" s="3"/>
      <c r="R32" s="3"/>
      <c r="S32" s="3"/>
    </row>
    <row r="33" spans="1:22" x14ac:dyDescent="0.2">
      <c r="A33" s="9" t="s">
        <v>150</v>
      </c>
      <c r="B33" s="3" t="s">
        <v>581</v>
      </c>
      <c r="C33" s="3">
        <f t="shared" si="0"/>
        <v>7.1999999999999998E-3</v>
      </c>
      <c r="D33" s="3">
        <v>0.05</v>
      </c>
      <c r="E33" s="10" t="s">
        <v>2</v>
      </c>
      <c r="F33" s="3"/>
      <c r="H33" s="3"/>
      <c r="I33" s="3"/>
      <c r="L33" s="3"/>
      <c r="R33" s="3"/>
      <c r="S33" s="3"/>
    </row>
    <row r="34" spans="1:22" x14ac:dyDescent="0.2">
      <c r="A34" s="9" t="s">
        <v>584</v>
      </c>
      <c r="B34" s="3" t="s">
        <v>581</v>
      </c>
      <c r="C34" s="3">
        <f t="shared" si="0"/>
        <v>1.4399999999999999E-3</v>
      </c>
      <c r="D34" s="3">
        <v>0.01</v>
      </c>
      <c r="E34" s="10" t="s">
        <v>2</v>
      </c>
      <c r="F34" s="3"/>
      <c r="H34" s="3" t="s">
        <v>107</v>
      </c>
      <c r="I34" s="3"/>
      <c r="L34" s="3"/>
      <c r="R34" s="3"/>
      <c r="S34" s="3"/>
    </row>
    <row r="35" spans="1:22" x14ac:dyDescent="0.2">
      <c r="A35" s="9" t="s">
        <v>585</v>
      </c>
      <c r="B35" s="3" t="s">
        <v>581</v>
      </c>
      <c r="C35" s="3">
        <f t="shared" si="0"/>
        <v>2.1599999999999996E-4</v>
      </c>
      <c r="D35" s="3">
        <v>1.5E-3</v>
      </c>
      <c r="E35" s="10" t="s">
        <v>2</v>
      </c>
      <c r="F35" s="3"/>
      <c r="J35" t="s">
        <v>590</v>
      </c>
      <c r="L35" s="3"/>
      <c r="O35" s="1"/>
      <c r="P35" s="1"/>
      <c r="Q35" s="1"/>
      <c r="R35" s="3"/>
      <c r="S35" s="3"/>
      <c r="T35" s="1"/>
      <c r="U35" s="1"/>
      <c r="V35" s="1"/>
    </row>
    <row r="36" spans="1:22" x14ac:dyDescent="0.2">
      <c r="A36" s="9" t="s">
        <v>151</v>
      </c>
      <c r="B36" s="3" t="s">
        <v>581</v>
      </c>
      <c r="C36" s="3">
        <f t="shared" si="0"/>
        <v>1.4399999999999999E-3</v>
      </c>
      <c r="D36" s="3">
        <f>0.001*10</f>
        <v>0.01</v>
      </c>
      <c r="E36" s="10" t="s">
        <v>2</v>
      </c>
      <c r="F36" s="3"/>
      <c r="I36" s="1" t="s">
        <v>103</v>
      </c>
      <c r="L36" s="3"/>
      <c r="M36" t="s">
        <v>140</v>
      </c>
      <c r="N36" t="s">
        <v>595</v>
      </c>
      <c r="O36" t="s">
        <v>596</v>
      </c>
      <c r="P36" t="s">
        <v>128</v>
      </c>
      <c r="Q36" t="s">
        <v>113</v>
      </c>
      <c r="R36" s="3"/>
      <c r="S36" s="3"/>
      <c r="U36" s="5"/>
    </row>
    <row r="37" spans="1:22" x14ac:dyDescent="0.2">
      <c r="A37" s="11" t="s">
        <v>586</v>
      </c>
      <c r="B37" s="7" t="s">
        <v>581</v>
      </c>
      <c r="C37" s="7">
        <f t="shared" si="0"/>
        <v>7.1999999999999995E-2</v>
      </c>
      <c r="D37" s="7">
        <f>0.05*10</f>
        <v>0.5</v>
      </c>
      <c r="E37" s="12" t="s">
        <v>2</v>
      </c>
      <c r="F37" s="3"/>
      <c r="H37" t="s">
        <v>133</v>
      </c>
      <c r="I37" s="1">
        <f>SUM(M37:Q37)</f>
        <v>61.483766729446096</v>
      </c>
      <c r="L37" s="3"/>
      <c r="M37">
        <v>7.5849007725247066</v>
      </c>
      <c r="N37">
        <v>34.577276767263442</v>
      </c>
      <c r="O37">
        <v>3.8192530299539706</v>
      </c>
      <c r="P37">
        <v>44.603176318636265</v>
      </c>
      <c r="Q37">
        <v>-29.100840158932279</v>
      </c>
      <c r="R37" s="3"/>
      <c r="S37" s="3"/>
    </row>
    <row r="38" spans="1:22" x14ac:dyDescent="0.2">
      <c r="A38" s="15" t="s">
        <v>45</v>
      </c>
      <c r="B38" s="6" t="s">
        <v>582</v>
      </c>
      <c r="C38" s="6">
        <f>D38*0.35*1.2</f>
        <v>4.1999999999999996E-2</v>
      </c>
      <c r="D38" s="6">
        <f>0.01*10</f>
        <v>0.1</v>
      </c>
      <c r="E38" s="26" t="s">
        <v>2</v>
      </c>
      <c r="F38" s="3"/>
      <c r="H38" t="s">
        <v>135</v>
      </c>
      <c r="I38" s="5"/>
      <c r="K38" s="5"/>
      <c r="L38" s="3"/>
      <c r="R38" s="3"/>
      <c r="S38" s="3"/>
    </row>
    <row r="39" spans="1:22" x14ac:dyDescent="0.2">
      <c r="A39" s="9" t="s">
        <v>88</v>
      </c>
      <c r="B39" s="3" t="s">
        <v>582</v>
      </c>
      <c r="C39" s="3">
        <f t="shared" ref="C39:C49" si="1">D39*0.35*1.2</f>
        <v>1.6799999999999999E-2</v>
      </c>
      <c r="D39" s="3">
        <f>0.004*10</f>
        <v>0.04</v>
      </c>
      <c r="E39" s="10" t="s">
        <v>2</v>
      </c>
      <c r="F39" s="3"/>
      <c r="H39" t="s">
        <v>136</v>
      </c>
      <c r="I39" s="5">
        <f>K18</f>
        <v>393.67365118551265</v>
      </c>
      <c r="K39" s="5"/>
      <c r="L39" s="3"/>
      <c r="R39" s="3"/>
      <c r="S39" s="3"/>
    </row>
    <row r="40" spans="1:22" x14ac:dyDescent="0.2">
      <c r="A40" s="9" t="s">
        <v>49</v>
      </c>
      <c r="B40" s="3" t="s">
        <v>582</v>
      </c>
      <c r="C40" s="3">
        <f t="shared" si="1"/>
        <v>1.2599999999999996E-3</v>
      </c>
      <c r="D40" s="3">
        <f>0.0003*10</f>
        <v>2.9999999999999996E-3</v>
      </c>
      <c r="E40" s="10" t="s">
        <v>2</v>
      </c>
      <c r="F40" s="3"/>
      <c r="H40" t="s">
        <v>137</v>
      </c>
      <c r="I40" s="5"/>
      <c r="K40" s="5"/>
      <c r="L40" s="3"/>
      <c r="R40" s="3"/>
      <c r="S40" s="3"/>
    </row>
    <row r="41" spans="1:22" x14ac:dyDescent="0.2">
      <c r="A41" s="9" t="s">
        <v>47</v>
      </c>
      <c r="B41" s="3" t="s">
        <v>582</v>
      </c>
      <c r="C41" s="3">
        <f t="shared" si="1"/>
        <v>4.1999999999999997E-3</v>
      </c>
      <c r="D41" s="3">
        <f>0.001*10</f>
        <v>0.01</v>
      </c>
      <c r="E41" s="10" t="s">
        <v>2</v>
      </c>
      <c r="F41" s="3"/>
      <c r="L41" s="3"/>
      <c r="R41" s="3"/>
      <c r="S41" s="3"/>
    </row>
    <row r="42" spans="1:22" x14ac:dyDescent="0.2">
      <c r="A42" s="9" t="s">
        <v>142</v>
      </c>
      <c r="B42" s="3" t="s">
        <v>582</v>
      </c>
      <c r="C42" s="3">
        <f t="shared" si="1"/>
        <v>2.0999999999999998E-2</v>
      </c>
      <c r="D42" s="3">
        <f>0.001*10*2+0.03</f>
        <v>0.05</v>
      </c>
      <c r="E42" s="10" t="s">
        <v>2</v>
      </c>
      <c r="F42" s="3"/>
      <c r="H42" s="179" t="s">
        <v>607</v>
      </c>
      <c r="I42" s="1">
        <f>I37+I39</f>
        <v>455.15741791495873</v>
      </c>
      <c r="L42" s="3"/>
      <c r="R42" s="3"/>
      <c r="S42" s="3"/>
    </row>
    <row r="43" spans="1:22" x14ac:dyDescent="0.2">
      <c r="A43" s="9" t="s">
        <v>102</v>
      </c>
      <c r="B43" s="3" t="s">
        <v>582</v>
      </c>
      <c r="C43" s="3">
        <f t="shared" si="1"/>
        <v>3.7799999999999999E-3</v>
      </c>
      <c r="D43" s="3">
        <f>0.0004*10+0.005</f>
        <v>9.0000000000000011E-3</v>
      </c>
      <c r="E43" s="10" t="s">
        <v>2</v>
      </c>
      <c r="F43" s="3"/>
      <c r="L43" s="3"/>
      <c r="R43" s="3"/>
      <c r="S43" s="3"/>
    </row>
    <row r="44" spans="1:22" x14ac:dyDescent="0.2">
      <c r="A44" s="9" t="s">
        <v>141</v>
      </c>
      <c r="B44" s="3" t="s">
        <v>582</v>
      </c>
      <c r="C44" s="3">
        <f t="shared" si="1"/>
        <v>8.3999999999999995E-3</v>
      </c>
      <c r="D44" s="3">
        <f>0.002*10</f>
        <v>0.02</v>
      </c>
      <c r="E44" s="10" t="s">
        <v>2</v>
      </c>
      <c r="F44" s="3"/>
      <c r="L44" s="3"/>
      <c r="R44" s="3"/>
      <c r="S44" s="3"/>
    </row>
    <row r="45" spans="1:22" x14ac:dyDescent="0.2">
      <c r="A45" s="9" t="s">
        <v>150</v>
      </c>
      <c r="B45" s="3" t="s">
        <v>582</v>
      </c>
      <c r="C45" s="3">
        <f t="shared" si="1"/>
        <v>2.0999999999999998E-2</v>
      </c>
      <c r="D45" s="3">
        <v>0.05</v>
      </c>
      <c r="E45" s="10" t="s">
        <v>2</v>
      </c>
      <c r="F45" s="3"/>
      <c r="L45" s="3"/>
      <c r="R45" s="3"/>
      <c r="S45" s="3"/>
    </row>
    <row r="46" spans="1:22" x14ac:dyDescent="0.2">
      <c r="A46" s="9" t="s">
        <v>584</v>
      </c>
      <c r="B46" s="3" t="s">
        <v>582</v>
      </c>
      <c r="C46" s="3">
        <f t="shared" si="1"/>
        <v>4.1999999999999997E-3</v>
      </c>
      <c r="D46" s="3">
        <v>0.01</v>
      </c>
      <c r="E46" s="10" t="s">
        <v>2</v>
      </c>
      <c r="F46" s="3"/>
      <c r="L46" s="3"/>
      <c r="R46" s="3"/>
      <c r="S46" s="3"/>
    </row>
    <row r="47" spans="1:22" x14ac:dyDescent="0.2">
      <c r="A47" s="9" t="s">
        <v>585</v>
      </c>
      <c r="B47" s="3" t="s">
        <v>582</v>
      </c>
      <c r="C47" s="3">
        <f t="shared" si="1"/>
        <v>6.2999999999999992E-4</v>
      </c>
      <c r="D47" s="3">
        <v>1.5E-3</v>
      </c>
      <c r="E47" s="10" t="s">
        <v>2</v>
      </c>
      <c r="F47" s="3"/>
      <c r="L47" s="3"/>
      <c r="R47" s="3"/>
      <c r="S47" s="3"/>
    </row>
    <row r="48" spans="1:22" x14ac:dyDescent="0.2">
      <c r="A48" s="9" t="s">
        <v>151</v>
      </c>
      <c r="B48" s="3" t="s">
        <v>582</v>
      </c>
      <c r="C48" s="3">
        <f t="shared" si="1"/>
        <v>4.1999999999999997E-3</v>
      </c>
      <c r="D48" s="3">
        <f>0.001*10</f>
        <v>0.01</v>
      </c>
      <c r="E48" s="10" t="s">
        <v>2</v>
      </c>
      <c r="F48" s="3"/>
      <c r="L48" s="3"/>
      <c r="R48" s="3"/>
      <c r="S48" s="3"/>
    </row>
    <row r="49" spans="1:19" x14ac:dyDescent="0.2">
      <c r="A49" s="11" t="s">
        <v>586</v>
      </c>
      <c r="B49" s="7" t="s">
        <v>582</v>
      </c>
      <c r="C49" s="7">
        <f t="shared" si="1"/>
        <v>0.21</v>
      </c>
      <c r="D49" s="7">
        <f>0.05*10</f>
        <v>0.5</v>
      </c>
      <c r="E49" s="12" t="s">
        <v>2</v>
      </c>
      <c r="F49" s="3"/>
      <c r="L49" s="3"/>
      <c r="R49" s="3"/>
      <c r="S49" s="3"/>
    </row>
    <row r="50" spans="1:19" x14ac:dyDescent="0.2">
      <c r="A50" s="15" t="s">
        <v>45</v>
      </c>
      <c r="B50" s="6" t="s">
        <v>583</v>
      </c>
      <c r="C50" s="6">
        <f>D50*0.15*1.2</f>
        <v>2.7000000000000003E-2</v>
      </c>
      <c r="D50" s="6">
        <f>0.01*10+0.005*10</f>
        <v>0.15000000000000002</v>
      </c>
      <c r="E50" s="26" t="s">
        <v>2</v>
      </c>
      <c r="F50" s="3"/>
      <c r="L50" s="3"/>
      <c r="R50" s="3"/>
      <c r="S50" s="3"/>
    </row>
    <row r="51" spans="1:19" x14ac:dyDescent="0.2">
      <c r="A51" s="9" t="s">
        <v>88</v>
      </c>
      <c r="B51" s="3" t="s">
        <v>583</v>
      </c>
      <c r="C51" s="3">
        <f t="shared" ref="C51:C65" si="2">D51*0.15*1.2</f>
        <v>7.1999999999999998E-3</v>
      </c>
      <c r="D51" s="3">
        <f>0.004*10</f>
        <v>0.04</v>
      </c>
      <c r="E51" s="10" t="s">
        <v>2</v>
      </c>
      <c r="F51" s="3"/>
      <c r="L51" s="3"/>
      <c r="R51" s="3"/>
      <c r="S51" s="3"/>
    </row>
    <row r="52" spans="1:19" x14ac:dyDescent="0.2">
      <c r="A52" s="9" t="s">
        <v>49</v>
      </c>
      <c r="B52" s="3" t="s">
        <v>583</v>
      </c>
      <c r="C52" s="3">
        <f t="shared" si="2"/>
        <v>5.399999999999999E-4</v>
      </c>
      <c r="D52" s="3">
        <f>0.0003*10</f>
        <v>2.9999999999999996E-3</v>
      </c>
      <c r="E52" s="10" t="s">
        <v>2</v>
      </c>
      <c r="F52" s="3"/>
      <c r="L52" s="3"/>
      <c r="R52" s="3"/>
      <c r="S52" s="3"/>
    </row>
    <row r="53" spans="1:19" x14ac:dyDescent="0.2">
      <c r="A53" s="9" t="s">
        <v>146</v>
      </c>
      <c r="B53" s="3" t="s">
        <v>583</v>
      </c>
      <c r="C53" s="3">
        <f t="shared" si="2"/>
        <v>8.9999999999999998E-4</v>
      </c>
      <c r="D53" s="3">
        <f>0.0005*10</f>
        <v>5.0000000000000001E-3</v>
      </c>
      <c r="E53" s="10" t="s">
        <v>2</v>
      </c>
      <c r="F53" s="3"/>
      <c r="L53" s="3"/>
      <c r="R53" s="3"/>
      <c r="S53" s="3"/>
    </row>
    <row r="54" spans="1:19" x14ac:dyDescent="0.2">
      <c r="A54" s="9" t="s">
        <v>142</v>
      </c>
      <c r="B54" s="3" t="s">
        <v>583</v>
      </c>
      <c r="C54" s="3">
        <f t="shared" si="2"/>
        <v>5.3999999999999994E-3</v>
      </c>
      <c r="D54" s="3">
        <f>0.001*10*3</f>
        <v>0.03</v>
      </c>
      <c r="E54" s="10" t="s">
        <v>2</v>
      </c>
      <c r="F54" s="3"/>
      <c r="L54" s="3"/>
      <c r="R54" s="3"/>
      <c r="S54" s="3"/>
    </row>
    <row r="55" spans="1:19" x14ac:dyDescent="0.2">
      <c r="A55" s="9" t="s">
        <v>102</v>
      </c>
      <c r="B55" s="3" t="s">
        <v>583</v>
      </c>
      <c r="C55" s="3">
        <f t="shared" si="2"/>
        <v>2.6999999999999997E-3</v>
      </c>
      <c r="D55" s="3">
        <f>0.001*10+0.005</f>
        <v>1.4999999999999999E-2</v>
      </c>
      <c r="E55" s="10" t="s">
        <v>2</v>
      </c>
      <c r="F55" s="3"/>
      <c r="L55" s="3"/>
      <c r="R55" s="3"/>
      <c r="S55" s="3"/>
    </row>
    <row r="56" spans="1:19" x14ac:dyDescent="0.2">
      <c r="A56" s="9" t="s">
        <v>147</v>
      </c>
      <c r="B56" s="3" t="s">
        <v>583</v>
      </c>
      <c r="C56" s="3">
        <f t="shared" si="2"/>
        <v>5.3999999999999994E-3</v>
      </c>
      <c r="D56" s="3">
        <f>0.003*10</f>
        <v>0.03</v>
      </c>
      <c r="E56" s="10" t="s">
        <v>2</v>
      </c>
      <c r="F56" s="3"/>
      <c r="L56" s="3"/>
      <c r="R56" s="3"/>
      <c r="S56" s="3"/>
    </row>
    <row r="57" spans="1:19" x14ac:dyDescent="0.2">
      <c r="A57" s="9" t="s">
        <v>148</v>
      </c>
      <c r="B57" s="3" t="s">
        <v>583</v>
      </c>
      <c r="C57" s="3">
        <f t="shared" si="2"/>
        <v>3.5999999999999999E-3</v>
      </c>
      <c r="D57" s="3">
        <f>0.002*10</f>
        <v>0.02</v>
      </c>
      <c r="E57" s="10" t="s">
        <v>2</v>
      </c>
      <c r="F57" s="3"/>
      <c r="L57" s="3"/>
      <c r="R57" s="3"/>
      <c r="S57" s="3"/>
    </row>
    <row r="58" spans="1:19" x14ac:dyDescent="0.2">
      <c r="A58" s="9" t="s">
        <v>149</v>
      </c>
      <c r="B58" s="3" t="s">
        <v>583</v>
      </c>
      <c r="C58" s="3">
        <f t="shared" si="2"/>
        <v>5.3999999999999994E-3</v>
      </c>
      <c r="D58" s="3">
        <f>0.003*10</f>
        <v>0.03</v>
      </c>
      <c r="E58" s="10" t="s">
        <v>2</v>
      </c>
      <c r="F58" s="3"/>
      <c r="L58" s="3"/>
      <c r="R58" s="3"/>
      <c r="S58" s="3"/>
    </row>
    <row r="59" spans="1:19" x14ac:dyDescent="0.2">
      <c r="A59" s="9" t="s">
        <v>591</v>
      </c>
      <c r="B59" s="3" t="s">
        <v>583</v>
      </c>
      <c r="C59" s="3">
        <f t="shared" si="2"/>
        <v>1.0799999999999998E-4</v>
      </c>
      <c r="D59" s="3">
        <v>5.9999999999999995E-4</v>
      </c>
      <c r="E59" s="10" t="s">
        <v>2</v>
      </c>
      <c r="F59" s="3"/>
      <c r="L59" s="3"/>
      <c r="R59" s="3"/>
      <c r="S59" s="3"/>
    </row>
    <row r="60" spans="1:19" x14ac:dyDescent="0.2">
      <c r="A60" s="9" t="s">
        <v>592</v>
      </c>
      <c r="B60" s="3" t="s">
        <v>583</v>
      </c>
      <c r="C60" s="3">
        <f t="shared" si="2"/>
        <v>2.3399999999999996E-3</v>
      </c>
      <c r="D60" s="3">
        <v>1.2999999999999999E-2</v>
      </c>
      <c r="E60" s="10" t="s">
        <v>2</v>
      </c>
      <c r="F60" s="3"/>
      <c r="L60" s="3"/>
      <c r="R60" s="3"/>
      <c r="S60" s="3"/>
    </row>
    <row r="61" spans="1:19" x14ac:dyDescent="0.2">
      <c r="A61" s="9" t="s">
        <v>47</v>
      </c>
      <c r="B61" s="3" t="s">
        <v>583</v>
      </c>
      <c r="C61" s="3">
        <f t="shared" si="2"/>
        <v>8.9999999999999998E-4</v>
      </c>
      <c r="D61" s="3">
        <v>5.0000000000000001E-3</v>
      </c>
      <c r="E61" s="10" t="s">
        <v>2</v>
      </c>
      <c r="F61" s="3"/>
      <c r="L61" s="3"/>
      <c r="R61" s="3"/>
      <c r="S61" s="3"/>
    </row>
    <row r="62" spans="1:19" x14ac:dyDescent="0.2">
      <c r="A62" s="9" t="s">
        <v>51</v>
      </c>
      <c r="B62" s="3" t="s">
        <v>583</v>
      </c>
      <c r="C62" s="3">
        <f t="shared" si="2"/>
        <v>8.9999999999999998E-4</v>
      </c>
      <c r="D62" s="3">
        <v>5.0000000000000001E-3</v>
      </c>
      <c r="E62" s="10" t="s">
        <v>2</v>
      </c>
      <c r="F62" s="3"/>
      <c r="L62" s="3"/>
      <c r="R62" s="3"/>
      <c r="S62" s="3"/>
    </row>
    <row r="63" spans="1:19" x14ac:dyDescent="0.2">
      <c r="A63" s="9" t="s">
        <v>151</v>
      </c>
      <c r="B63" s="3" t="s">
        <v>583</v>
      </c>
      <c r="C63" s="3">
        <f t="shared" si="2"/>
        <v>3.5999999999999999E-3</v>
      </c>
      <c r="D63" s="3">
        <f>0.002*10</f>
        <v>0.02</v>
      </c>
      <c r="E63" s="10" t="s">
        <v>2</v>
      </c>
      <c r="F63" s="3"/>
      <c r="L63" s="3"/>
      <c r="R63" s="3"/>
      <c r="S63" s="3"/>
    </row>
    <row r="64" spans="1:19" x14ac:dyDescent="0.2">
      <c r="A64" s="9" t="s">
        <v>152</v>
      </c>
      <c r="B64" s="3" t="s">
        <v>583</v>
      </c>
      <c r="C64" s="3">
        <f t="shared" si="2"/>
        <v>3.5999999999999999E-3</v>
      </c>
      <c r="D64" s="3">
        <f>0.002*10</f>
        <v>0.02</v>
      </c>
      <c r="E64" s="10" t="s">
        <v>2</v>
      </c>
      <c r="F64" s="3"/>
      <c r="L64" s="3"/>
      <c r="R64" s="3"/>
      <c r="S64" s="3"/>
    </row>
    <row r="65" spans="1:61" x14ac:dyDescent="0.2">
      <c r="A65" s="11" t="s">
        <v>144</v>
      </c>
      <c r="B65" s="7" t="s">
        <v>583</v>
      </c>
      <c r="C65" s="7">
        <f t="shared" si="2"/>
        <v>3.5999999999999997E-2</v>
      </c>
      <c r="D65" s="7">
        <f>0.02*10</f>
        <v>0.2</v>
      </c>
      <c r="E65" s="12" t="s">
        <v>2</v>
      </c>
      <c r="F65" s="3"/>
      <c r="L65" s="3"/>
      <c r="R65" s="3"/>
      <c r="S65" s="3"/>
    </row>
    <row r="70" spans="1:61" x14ac:dyDescent="0.2">
      <c r="A70" s="17" t="s">
        <v>708</v>
      </c>
      <c r="B70" s="3"/>
      <c r="C70" s="3"/>
      <c r="D70" s="3"/>
      <c r="E70" s="3"/>
      <c r="F70" s="3"/>
      <c r="G70" s="3"/>
      <c r="L70" s="3"/>
      <c r="R70" s="3"/>
      <c r="S70" s="3"/>
      <c r="U70" s="151" t="s">
        <v>550</v>
      </c>
      <c r="V70" s="152" t="s">
        <v>551</v>
      </c>
      <c r="W70" s="152" t="s">
        <v>550</v>
      </c>
      <c r="X70" s="152" t="s">
        <v>551</v>
      </c>
      <c r="Y70" s="153" t="s">
        <v>552</v>
      </c>
      <c r="Z70" s="154"/>
      <c r="AA70" s="155"/>
      <c r="AB70" s="17" t="s">
        <v>105</v>
      </c>
      <c r="AC70" s="17"/>
      <c r="AD70" s="32" t="s">
        <v>549</v>
      </c>
      <c r="AE70" s="33"/>
      <c r="AF70" s="33"/>
      <c r="AG70" s="33" t="s">
        <v>548</v>
      </c>
      <c r="AH70" s="33"/>
      <c r="AI70" s="33"/>
      <c r="AJ70" s="33" t="s">
        <v>547</v>
      </c>
      <c r="AK70" s="33"/>
      <c r="AL70" s="33"/>
      <c r="AM70" s="158" t="s">
        <v>553</v>
      </c>
      <c r="AN70" s="154"/>
      <c r="AO70" s="155"/>
      <c r="AQ70" s="30"/>
      <c r="AX70" s="30"/>
      <c r="AZ70" s="5"/>
      <c r="BA70" s="5"/>
      <c r="BB70" s="5"/>
      <c r="BE70" s="30"/>
      <c r="BG70" s="4"/>
      <c r="BH70" s="4"/>
      <c r="BI70" s="4"/>
    </row>
    <row r="71" spans="1:61" s="49" customFormat="1" ht="15" customHeight="1" x14ac:dyDescent="0.2">
      <c r="A71" s="57" t="s">
        <v>58</v>
      </c>
      <c r="B71" s="55" t="s">
        <v>289</v>
      </c>
      <c r="C71" s="56" t="s">
        <v>290</v>
      </c>
      <c r="D71" s="56" t="s">
        <v>11</v>
      </c>
      <c r="E71" s="63" t="s">
        <v>291</v>
      </c>
      <c r="F71" s="63"/>
      <c r="G71" s="66" t="s">
        <v>292</v>
      </c>
      <c r="H71" s="66" t="s">
        <v>8</v>
      </c>
      <c r="I71" s="66" t="s">
        <v>217</v>
      </c>
      <c r="J71" s="66" t="s">
        <v>11</v>
      </c>
      <c r="K71" s="66" t="s">
        <v>291</v>
      </c>
      <c r="L71" s="63"/>
      <c r="M71" s="67" t="s">
        <v>293</v>
      </c>
      <c r="N71" s="67" t="s">
        <v>8</v>
      </c>
      <c r="O71" s="67" t="s">
        <v>217</v>
      </c>
      <c r="P71" s="67" t="s">
        <v>11</v>
      </c>
      <c r="Q71" s="67" t="s">
        <v>291</v>
      </c>
      <c r="R71" s="63"/>
      <c r="S71" s="63"/>
      <c r="T71" s="79" t="s">
        <v>275</v>
      </c>
      <c r="U71" s="126" t="s">
        <v>530</v>
      </c>
      <c r="V71" s="114" t="s">
        <v>531</v>
      </c>
      <c r="W71" s="114" t="s">
        <v>532</v>
      </c>
      <c r="X71" s="114" t="s">
        <v>533</v>
      </c>
      <c r="Y71" s="114" t="s">
        <v>534</v>
      </c>
      <c r="Z71" s="114" t="s">
        <v>535</v>
      </c>
      <c r="AA71" s="131" t="s">
        <v>536</v>
      </c>
      <c r="AB71" s="22" t="s">
        <v>545</v>
      </c>
      <c r="AC71" s="23" t="s">
        <v>546</v>
      </c>
      <c r="AD71" s="148" t="s">
        <v>31</v>
      </c>
      <c r="AE71" s="149" t="s">
        <v>32</v>
      </c>
      <c r="AF71" s="150" t="s">
        <v>33</v>
      </c>
      <c r="AG71" s="148" t="s">
        <v>31</v>
      </c>
      <c r="AH71" s="149" t="s">
        <v>32</v>
      </c>
      <c r="AI71" s="150" t="s">
        <v>33</v>
      </c>
      <c r="AJ71" s="148" t="s">
        <v>31</v>
      </c>
      <c r="AK71" s="149" t="s">
        <v>32</v>
      </c>
      <c r="AL71" s="149" t="s">
        <v>33</v>
      </c>
      <c r="AM71" s="159"/>
      <c r="AN71" s="156"/>
      <c r="AO71" s="160"/>
    </row>
    <row r="72" spans="1:61" s="8" customFormat="1" ht="15" customHeight="1" x14ac:dyDescent="0.2">
      <c r="A72" s="68" t="s">
        <v>59</v>
      </c>
      <c r="B72" s="54" t="s">
        <v>30</v>
      </c>
      <c r="C72" s="51">
        <v>0.1</v>
      </c>
      <c r="D72" s="51" t="s">
        <v>2</v>
      </c>
      <c r="E72" s="62" t="s">
        <v>294</v>
      </c>
      <c r="F72" s="62">
        <v>0</v>
      </c>
      <c r="G72" s="51" t="s">
        <v>12</v>
      </c>
      <c r="H72" s="51">
        <v>0</v>
      </c>
      <c r="I72" s="51">
        <v>0</v>
      </c>
      <c r="J72" s="51">
        <v>0</v>
      </c>
      <c r="K72" s="51">
        <v>0</v>
      </c>
      <c r="L72" s="62">
        <v>0</v>
      </c>
      <c r="M72" s="51" t="s">
        <v>30</v>
      </c>
      <c r="N72" s="51" t="s">
        <v>7</v>
      </c>
      <c r="O72" s="69">
        <v>9.9000000000000008E-3</v>
      </c>
      <c r="P72" s="51" t="s">
        <v>2</v>
      </c>
      <c r="Q72" s="8" t="s">
        <v>1367</v>
      </c>
      <c r="R72" s="62">
        <v>0</v>
      </c>
      <c r="S72" s="62">
        <v>0</v>
      </c>
      <c r="T72" s="80" t="s">
        <v>34</v>
      </c>
      <c r="U72" s="127">
        <v>0</v>
      </c>
      <c r="V72" s="115">
        <v>0</v>
      </c>
      <c r="W72" s="115">
        <v>0</v>
      </c>
      <c r="X72" s="115">
        <v>0</v>
      </c>
      <c r="Y72" s="129">
        <v>7.06</v>
      </c>
      <c r="Z72" s="129">
        <v>78.599999999999994</v>
      </c>
      <c r="AA72" s="132" t="s">
        <v>539</v>
      </c>
      <c r="AB72" s="27">
        <f>$C$26*I72</f>
        <v>0</v>
      </c>
      <c r="AC72" s="27">
        <f>$C$26*O72</f>
        <v>1.4256000000000002E-4</v>
      </c>
      <c r="AD72" s="135">
        <f>AB72*U72+AC72*W72</f>
        <v>0</v>
      </c>
      <c r="AE72" s="135">
        <f t="shared" ref="AE72:AE83" si="3">AB72*V72+AC72*X72</f>
        <v>0</v>
      </c>
      <c r="AF72" s="24">
        <f t="shared" ref="AF72:AF83" si="4">AB72*Y72+AC72*Z72</f>
        <v>1.1205216E-2</v>
      </c>
      <c r="AG72" s="24">
        <f t="shared" ref="AG72:AG83" si="5">AB72*U72</f>
        <v>0</v>
      </c>
      <c r="AH72" s="24">
        <f t="shared" ref="AH72:AH83" si="6">AB72*V72</f>
        <v>0</v>
      </c>
      <c r="AI72" s="24">
        <f t="shared" ref="AI72:AI83" si="7">AB72*Y72</f>
        <v>0</v>
      </c>
      <c r="AJ72" s="24">
        <f t="shared" ref="AJ72:AJ83" si="8">AC72*W72</f>
        <v>0</v>
      </c>
      <c r="AK72" s="24">
        <f t="shared" ref="AK72:AK83" si="9">AC72*X72</f>
        <v>0</v>
      </c>
      <c r="AL72" s="24">
        <f t="shared" ref="AL72:AL83" si="10">AC72*Z72</f>
        <v>1.1205216E-2</v>
      </c>
      <c r="AM72" s="161">
        <f t="shared" ref="AM72:AO83" si="11">AG72+AJ72</f>
        <v>0</v>
      </c>
      <c r="AN72" s="157">
        <f t="shared" si="11"/>
        <v>0</v>
      </c>
      <c r="AO72" s="162">
        <f t="shared" si="11"/>
        <v>1.1205216E-2</v>
      </c>
    </row>
    <row r="73" spans="1:61" s="8" customFormat="1" ht="15" customHeight="1" x14ac:dyDescent="0.2">
      <c r="A73" s="68" t="s">
        <v>59</v>
      </c>
      <c r="B73" s="54" t="s">
        <v>15</v>
      </c>
      <c r="C73" s="51">
        <v>0.25</v>
      </c>
      <c r="D73" s="51" t="s">
        <v>2</v>
      </c>
      <c r="E73" s="62" t="s">
        <v>294</v>
      </c>
      <c r="F73" s="62">
        <v>0</v>
      </c>
      <c r="G73" s="51" t="s">
        <v>12</v>
      </c>
      <c r="H73" s="51">
        <v>0</v>
      </c>
      <c r="I73" s="69">
        <v>0</v>
      </c>
      <c r="J73" s="51">
        <v>0</v>
      </c>
      <c r="K73" s="51">
        <v>0</v>
      </c>
      <c r="L73" s="62">
        <v>0</v>
      </c>
      <c r="M73" s="51" t="s">
        <v>15</v>
      </c>
      <c r="N73" s="51" t="s">
        <v>7</v>
      </c>
      <c r="O73" s="69">
        <v>2.5000000000000001E-2</v>
      </c>
      <c r="P73" s="51" t="s">
        <v>2</v>
      </c>
      <c r="Q73" s="51">
        <v>0</v>
      </c>
      <c r="R73" s="62">
        <v>0</v>
      </c>
      <c r="S73" s="62">
        <v>0</v>
      </c>
      <c r="T73" s="54" t="s">
        <v>13</v>
      </c>
      <c r="U73" s="127">
        <v>0</v>
      </c>
      <c r="V73" s="115">
        <v>1.2009414857886904E-7</v>
      </c>
      <c r="W73" s="115">
        <v>0</v>
      </c>
      <c r="X73" s="115">
        <v>3.2843909509658706E-7</v>
      </c>
      <c r="Y73" s="115">
        <v>14.526941022240393</v>
      </c>
      <c r="Z73" s="115">
        <v>111.251141519207</v>
      </c>
      <c r="AA73" s="132" t="s">
        <v>538</v>
      </c>
      <c r="AB73" s="27">
        <f t="shared" ref="AB73:AB76" si="12">$C$26*I73</f>
        <v>0</v>
      </c>
      <c r="AC73" s="27">
        <f t="shared" ref="AC73:AC76" si="13">$C$26*O73</f>
        <v>3.6000000000000002E-4</v>
      </c>
      <c r="AD73" s="135">
        <f t="shared" ref="AD73:AD83" si="14">AB73*U73+AC73*W73</f>
        <v>0</v>
      </c>
      <c r="AE73" s="135">
        <f t="shared" si="3"/>
        <v>1.1823807423477134E-10</v>
      </c>
      <c r="AF73" s="24">
        <f t="shared" si="4"/>
        <v>4.0050410946914521E-2</v>
      </c>
      <c r="AG73" s="24">
        <f t="shared" si="5"/>
        <v>0</v>
      </c>
      <c r="AH73" s="24">
        <f t="shared" si="6"/>
        <v>0</v>
      </c>
      <c r="AI73" s="24">
        <f t="shared" si="7"/>
        <v>0</v>
      </c>
      <c r="AJ73" s="24">
        <f t="shared" si="8"/>
        <v>0</v>
      </c>
      <c r="AK73" s="24">
        <f t="shared" si="9"/>
        <v>1.1823807423477134E-10</v>
      </c>
      <c r="AL73" s="24">
        <f t="shared" si="10"/>
        <v>4.0050410946914521E-2</v>
      </c>
      <c r="AM73" s="161">
        <f t="shared" si="11"/>
        <v>0</v>
      </c>
      <c r="AN73" s="157">
        <f t="shared" si="11"/>
        <v>1.1823807423477134E-10</v>
      </c>
      <c r="AO73" s="162">
        <f t="shared" si="11"/>
        <v>4.0050410946914521E-2</v>
      </c>
    </row>
    <row r="74" spans="1:61" s="8" customFormat="1" ht="15" customHeight="1" x14ac:dyDescent="0.2">
      <c r="A74" s="68" t="s">
        <v>59</v>
      </c>
      <c r="B74" s="54" t="s">
        <v>16</v>
      </c>
      <c r="C74" s="51">
        <v>0.1</v>
      </c>
      <c r="D74" s="51" t="s">
        <v>2</v>
      </c>
      <c r="E74" s="62" t="s">
        <v>294</v>
      </c>
      <c r="F74" s="62">
        <v>0</v>
      </c>
      <c r="G74" s="51" t="s">
        <v>12</v>
      </c>
      <c r="H74" s="51">
        <v>0</v>
      </c>
      <c r="I74" s="69">
        <v>0</v>
      </c>
      <c r="J74" s="51">
        <v>0</v>
      </c>
      <c r="K74" s="51">
        <v>0</v>
      </c>
      <c r="L74" s="62">
        <v>0</v>
      </c>
      <c r="M74" s="51" t="s">
        <v>69</v>
      </c>
      <c r="N74" s="51" t="s">
        <v>7</v>
      </c>
      <c r="O74" s="69">
        <v>1.0000000000000002E-2</v>
      </c>
      <c r="P74" s="51" t="s">
        <v>2</v>
      </c>
      <c r="Q74" s="51">
        <v>0</v>
      </c>
      <c r="R74" s="62">
        <v>0</v>
      </c>
      <c r="S74" s="62">
        <v>0</v>
      </c>
      <c r="T74" s="54" t="s">
        <v>17</v>
      </c>
      <c r="U74" s="127">
        <v>0</v>
      </c>
      <c r="V74" s="115">
        <v>0</v>
      </c>
      <c r="W74" s="115">
        <v>0</v>
      </c>
      <c r="X74" s="115">
        <v>0</v>
      </c>
      <c r="Y74" s="115">
        <v>47</v>
      </c>
      <c r="Z74" s="115">
        <v>913</v>
      </c>
      <c r="AA74" s="132" t="s">
        <v>539</v>
      </c>
      <c r="AB74" s="27">
        <f t="shared" si="12"/>
        <v>0</v>
      </c>
      <c r="AC74" s="27">
        <f t="shared" si="13"/>
        <v>1.4400000000000003E-4</v>
      </c>
      <c r="AD74" s="135">
        <f t="shared" si="14"/>
        <v>0</v>
      </c>
      <c r="AE74" s="135">
        <f t="shared" si="3"/>
        <v>0</v>
      </c>
      <c r="AF74" s="24">
        <f t="shared" si="4"/>
        <v>0.13147200000000003</v>
      </c>
      <c r="AG74" s="24">
        <f t="shared" si="5"/>
        <v>0</v>
      </c>
      <c r="AH74" s="24">
        <f t="shared" si="6"/>
        <v>0</v>
      </c>
      <c r="AI74" s="24">
        <f t="shared" si="7"/>
        <v>0</v>
      </c>
      <c r="AJ74" s="24">
        <f t="shared" si="8"/>
        <v>0</v>
      </c>
      <c r="AK74" s="24">
        <f t="shared" si="9"/>
        <v>0</v>
      </c>
      <c r="AL74" s="24">
        <f t="shared" si="10"/>
        <v>0.13147200000000003</v>
      </c>
      <c r="AM74" s="161">
        <f t="shared" si="11"/>
        <v>0</v>
      </c>
      <c r="AN74" s="157">
        <f t="shared" si="11"/>
        <v>0</v>
      </c>
      <c r="AO74" s="162">
        <f t="shared" si="11"/>
        <v>0.13147200000000003</v>
      </c>
    </row>
    <row r="75" spans="1:61" s="8" customFormat="1" ht="15" customHeight="1" x14ac:dyDescent="0.2">
      <c r="A75" s="68" t="s">
        <v>59</v>
      </c>
      <c r="B75" s="54" t="s">
        <v>18</v>
      </c>
      <c r="C75" s="51">
        <v>0.05</v>
      </c>
      <c r="D75" s="51" t="s">
        <v>2</v>
      </c>
      <c r="E75" s="62" t="s">
        <v>294</v>
      </c>
      <c r="F75" s="62">
        <v>0</v>
      </c>
      <c r="G75" s="51" t="s">
        <v>12</v>
      </c>
      <c r="H75" s="51">
        <v>0</v>
      </c>
      <c r="I75" s="69">
        <v>0</v>
      </c>
      <c r="J75" s="51">
        <v>0</v>
      </c>
      <c r="K75" s="51">
        <v>0</v>
      </c>
      <c r="L75" s="62">
        <v>0</v>
      </c>
      <c r="M75" s="51" t="s">
        <v>18</v>
      </c>
      <c r="N75" s="51" t="s">
        <v>7</v>
      </c>
      <c r="O75" s="69">
        <v>5.000000000000001E-3</v>
      </c>
      <c r="P75" s="51" t="s">
        <v>2</v>
      </c>
      <c r="Q75" s="51">
        <v>0</v>
      </c>
      <c r="R75" s="62">
        <v>0</v>
      </c>
      <c r="S75" s="62">
        <v>0</v>
      </c>
      <c r="T75" s="54" t="s">
        <v>14</v>
      </c>
      <c r="U75" s="127">
        <v>0</v>
      </c>
      <c r="V75" s="115">
        <v>0</v>
      </c>
      <c r="W75" s="115">
        <v>0</v>
      </c>
      <c r="X75" s="115">
        <v>0</v>
      </c>
      <c r="Y75" s="115">
        <v>109.72</v>
      </c>
      <c r="Z75" s="115">
        <v>110</v>
      </c>
      <c r="AA75" s="132" t="s">
        <v>539</v>
      </c>
      <c r="AB75" s="27">
        <f t="shared" si="12"/>
        <v>0</v>
      </c>
      <c r="AC75" s="27">
        <f t="shared" si="13"/>
        <v>7.2000000000000015E-5</v>
      </c>
      <c r="AD75" s="135">
        <f t="shared" si="14"/>
        <v>0</v>
      </c>
      <c r="AE75" s="135">
        <f t="shared" si="3"/>
        <v>0</v>
      </c>
      <c r="AF75" s="24">
        <f t="shared" si="4"/>
        <v>7.9200000000000017E-3</v>
      </c>
      <c r="AG75" s="24">
        <f t="shared" si="5"/>
        <v>0</v>
      </c>
      <c r="AH75" s="24">
        <f t="shared" si="6"/>
        <v>0</v>
      </c>
      <c r="AI75" s="24">
        <f t="shared" si="7"/>
        <v>0</v>
      </c>
      <c r="AJ75" s="24">
        <f t="shared" si="8"/>
        <v>0</v>
      </c>
      <c r="AK75" s="24">
        <f t="shared" si="9"/>
        <v>0</v>
      </c>
      <c r="AL75" s="24">
        <f t="shared" si="10"/>
        <v>7.9200000000000017E-3</v>
      </c>
      <c r="AM75" s="161">
        <f t="shared" si="11"/>
        <v>0</v>
      </c>
      <c r="AN75" s="157">
        <f t="shared" si="11"/>
        <v>0</v>
      </c>
      <c r="AO75" s="162">
        <f t="shared" si="11"/>
        <v>7.9200000000000017E-3</v>
      </c>
    </row>
    <row r="76" spans="1:61" s="8" customFormat="1" ht="15" customHeight="1" x14ac:dyDescent="0.2">
      <c r="A76" s="68" t="s">
        <v>59</v>
      </c>
      <c r="B76" s="50" t="s">
        <v>39</v>
      </c>
      <c r="C76" s="51">
        <v>0</v>
      </c>
      <c r="D76" s="51">
        <v>0</v>
      </c>
      <c r="E76" s="62" t="s">
        <v>1369</v>
      </c>
      <c r="F76" s="62">
        <v>0</v>
      </c>
      <c r="G76" s="51" t="s">
        <v>39</v>
      </c>
      <c r="H76" s="51" t="s">
        <v>6</v>
      </c>
      <c r="I76" s="69">
        <v>1.0000000000000001E-7</v>
      </c>
      <c r="J76" s="51" t="s">
        <v>2</v>
      </c>
      <c r="K76" s="54">
        <v>0</v>
      </c>
      <c r="L76" s="62">
        <v>0</v>
      </c>
      <c r="M76" s="51" t="s">
        <v>39</v>
      </c>
      <c r="N76" s="51" t="s">
        <v>7</v>
      </c>
      <c r="O76" s="69">
        <v>1.0000000000000001E-5</v>
      </c>
      <c r="P76" s="51" t="s">
        <v>2</v>
      </c>
      <c r="Q76" s="54" t="s">
        <v>295</v>
      </c>
      <c r="R76" s="62">
        <v>0</v>
      </c>
      <c r="S76" s="62">
        <v>0</v>
      </c>
      <c r="T76" s="54" t="s">
        <v>60</v>
      </c>
      <c r="U76" s="127">
        <v>1.0252176328593382E-6</v>
      </c>
      <c r="V76" s="115">
        <v>0</v>
      </c>
      <c r="W76" s="115">
        <v>8.6533271568247147E-7</v>
      </c>
      <c r="X76" s="115">
        <v>0</v>
      </c>
      <c r="Y76" s="115">
        <v>0.65406517859613422</v>
      </c>
      <c r="Z76" s="115">
        <v>11.248588270889815</v>
      </c>
      <c r="AA76" s="132" t="s">
        <v>537</v>
      </c>
      <c r="AB76" s="27">
        <f t="shared" si="12"/>
        <v>1.44E-9</v>
      </c>
      <c r="AC76" s="27">
        <f t="shared" si="13"/>
        <v>1.4400000000000002E-7</v>
      </c>
      <c r="AD76" s="135">
        <f t="shared" si="14"/>
        <v>1.2608422444959336E-13</v>
      </c>
      <c r="AE76" s="135">
        <f t="shared" si="3"/>
        <v>0</v>
      </c>
      <c r="AF76" s="24">
        <f t="shared" si="4"/>
        <v>1.620738564865312E-6</v>
      </c>
      <c r="AG76" s="24">
        <f t="shared" si="5"/>
        <v>1.4763133913174469E-15</v>
      </c>
      <c r="AH76" s="24">
        <f t="shared" si="6"/>
        <v>0</v>
      </c>
      <c r="AI76" s="24">
        <f t="shared" si="7"/>
        <v>9.418538571784332E-10</v>
      </c>
      <c r="AJ76" s="24">
        <f t="shared" si="8"/>
        <v>1.2460791105827591E-13</v>
      </c>
      <c r="AK76" s="24">
        <f t="shared" si="9"/>
        <v>0</v>
      </c>
      <c r="AL76" s="24">
        <f t="shared" si="10"/>
        <v>1.6197967110081336E-6</v>
      </c>
      <c r="AM76" s="161">
        <f t="shared" si="11"/>
        <v>1.2608422444959336E-13</v>
      </c>
      <c r="AN76" s="157">
        <f t="shared" si="11"/>
        <v>0</v>
      </c>
      <c r="AO76" s="162">
        <f t="shared" si="11"/>
        <v>1.620738564865312E-6</v>
      </c>
    </row>
    <row r="77" spans="1:61" s="8" customFormat="1" ht="15" customHeight="1" x14ac:dyDescent="0.2">
      <c r="A77" s="68" t="s">
        <v>59</v>
      </c>
      <c r="B77" s="54" t="s">
        <v>87</v>
      </c>
      <c r="C77" s="51">
        <v>0</v>
      </c>
      <c r="D77" s="51">
        <v>0</v>
      </c>
      <c r="E77" s="62" t="s">
        <v>1370</v>
      </c>
      <c r="F77" s="62">
        <v>0</v>
      </c>
      <c r="G77" s="51" t="s">
        <v>3</v>
      </c>
      <c r="H77" s="51" t="s">
        <v>6</v>
      </c>
      <c r="I77" s="69">
        <v>1.0000000000000001E-7</v>
      </c>
      <c r="J77" s="51" t="s">
        <v>2</v>
      </c>
      <c r="K77" s="51">
        <v>0</v>
      </c>
      <c r="L77" s="62">
        <v>0</v>
      </c>
      <c r="M77" s="51" t="s">
        <v>3</v>
      </c>
      <c r="N77" s="51" t="s">
        <v>7</v>
      </c>
      <c r="O77" s="69">
        <v>1.0000000000000002E-6</v>
      </c>
      <c r="P77" s="51" t="s">
        <v>2</v>
      </c>
      <c r="Q77" s="51" t="s">
        <v>1371</v>
      </c>
      <c r="R77" s="62">
        <v>0</v>
      </c>
      <c r="S77" s="62">
        <v>0</v>
      </c>
      <c r="T77" s="54" t="s">
        <v>28</v>
      </c>
      <c r="U77" s="127">
        <v>2.5208446330720887E-5</v>
      </c>
      <c r="V77" s="115">
        <v>2.6504960021309262E-7</v>
      </c>
      <c r="W77" s="115">
        <v>1.4222228897488039E-7</v>
      </c>
      <c r="X77" s="115">
        <v>3.170874313501273E-7</v>
      </c>
      <c r="Y77" s="115">
        <v>17.989178582912412</v>
      </c>
      <c r="Z77" s="115">
        <v>290.05086067463066</v>
      </c>
      <c r="AA77" s="132" t="s">
        <v>537</v>
      </c>
      <c r="AB77" s="27">
        <f t="shared" ref="AB77" si="15">$C$26*I77</f>
        <v>1.44E-9</v>
      </c>
      <c r="AC77" s="27">
        <f t="shared" ref="AC77" si="16">$C$26*O77</f>
        <v>1.4400000000000002E-8</v>
      </c>
      <c r="AD77" s="135">
        <f t="shared" si="14"/>
        <v>3.8348163677476356E-14</v>
      </c>
      <c r="AE77" s="135">
        <f t="shared" si="3"/>
        <v>4.9477304357486869E-15</v>
      </c>
      <c r="AF77" s="24">
        <f t="shared" si="4"/>
        <v>4.2026368108740759E-6</v>
      </c>
      <c r="AG77" s="24">
        <f t="shared" si="5"/>
        <v>3.6300162716238077E-14</v>
      </c>
      <c r="AH77" s="24">
        <f t="shared" si="6"/>
        <v>3.8167142430685335E-16</v>
      </c>
      <c r="AI77" s="24">
        <f t="shared" si="7"/>
        <v>2.5904417159393875E-8</v>
      </c>
      <c r="AJ77" s="24">
        <f t="shared" si="8"/>
        <v>2.0480009612382781E-15</v>
      </c>
      <c r="AK77" s="24">
        <f t="shared" si="9"/>
        <v>4.5660590114418335E-15</v>
      </c>
      <c r="AL77" s="24">
        <f t="shared" si="10"/>
        <v>4.1767323937146818E-6</v>
      </c>
      <c r="AM77" s="161">
        <f t="shared" si="11"/>
        <v>3.8348163677476356E-14</v>
      </c>
      <c r="AN77" s="157">
        <f t="shared" si="11"/>
        <v>4.9477304357486869E-15</v>
      </c>
      <c r="AO77" s="162">
        <f t="shared" si="11"/>
        <v>4.2026368108740759E-6</v>
      </c>
    </row>
    <row r="78" spans="1:61" s="8" customFormat="1" ht="15" customHeight="1" x14ac:dyDescent="0.2">
      <c r="A78" s="70" t="s">
        <v>308</v>
      </c>
      <c r="B78" s="53" t="s">
        <v>19</v>
      </c>
      <c r="C78" s="74">
        <v>0.3</v>
      </c>
      <c r="D78" s="51" t="s">
        <v>2</v>
      </c>
      <c r="E78" s="62" t="s">
        <v>294</v>
      </c>
      <c r="F78" s="62">
        <v>0</v>
      </c>
      <c r="G78" s="51" t="s">
        <v>65</v>
      </c>
      <c r="H78" s="54" t="s">
        <v>6</v>
      </c>
      <c r="I78" s="69">
        <v>2.9999999999999997E-4</v>
      </c>
      <c r="J78" s="51">
        <v>0</v>
      </c>
      <c r="K78" s="51">
        <v>0</v>
      </c>
      <c r="L78" s="62">
        <v>0</v>
      </c>
      <c r="M78" s="51" t="s">
        <v>65</v>
      </c>
      <c r="N78" s="51" t="s">
        <v>7</v>
      </c>
      <c r="O78" s="69">
        <v>0.03</v>
      </c>
      <c r="P78" s="51" t="s">
        <v>2</v>
      </c>
      <c r="Q78" s="51">
        <v>0</v>
      </c>
      <c r="R78" s="62">
        <v>0</v>
      </c>
      <c r="S78" s="62">
        <v>0</v>
      </c>
      <c r="T78" s="54" t="s">
        <v>20</v>
      </c>
      <c r="U78" s="127">
        <v>0</v>
      </c>
      <c r="V78" s="115">
        <v>2.5624272316803493E-8</v>
      </c>
      <c r="W78" s="115">
        <v>0</v>
      </c>
      <c r="X78" s="115">
        <v>6.1179997974786175E-9</v>
      </c>
      <c r="Y78" s="115">
        <v>95.727827940780713</v>
      </c>
      <c r="Z78" s="115">
        <v>451.93033608164546</v>
      </c>
      <c r="AA78" s="132" t="s">
        <v>538</v>
      </c>
      <c r="AB78" s="27">
        <f>$C$27*I78</f>
        <v>1.7279999999999996E-6</v>
      </c>
      <c r="AC78" s="29">
        <f>$C$27*O78</f>
        <v>1.7279999999999997E-4</v>
      </c>
      <c r="AD78" s="135">
        <f t="shared" si="14"/>
        <v>0</v>
      </c>
      <c r="AE78" s="135">
        <f t="shared" si="3"/>
        <v>1.1014691075677414E-12</v>
      </c>
      <c r="AF78" s="24">
        <f t="shared" si="4"/>
        <v>7.8258979761589992E-2</v>
      </c>
      <c r="AG78" s="24">
        <f t="shared" si="5"/>
        <v>0</v>
      </c>
      <c r="AH78" s="24">
        <f t="shared" si="6"/>
        <v>4.4278742563436424E-14</v>
      </c>
      <c r="AI78" s="24">
        <f t="shared" si="7"/>
        <v>1.6541768668166902E-4</v>
      </c>
      <c r="AJ78" s="24">
        <f t="shared" si="8"/>
        <v>0</v>
      </c>
      <c r="AK78" s="24">
        <f t="shared" si="9"/>
        <v>1.0571903650043049E-12</v>
      </c>
      <c r="AL78" s="24">
        <f t="shared" si="10"/>
        <v>7.8093562074908321E-2</v>
      </c>
      <c r="AM78" s="161">
        <f t="shared" si="11"/>
        <v>0</v>
      </c>
      <c r="AN78" s="157">
        <f t="shared" si="11"/>
        <v>1.1014691075677414E-12</v>
      </c>
      <c r="AO78" s="162">
        <f t="shared" si="11"/>
        <v>7.8258979761589992E-2</v>
      </c>
    </row>
    <row r="79" spans="1:61" s="8" customFormat="1" ht="15" customHeight="1" x14ac:dyDescent="0.2">
      <c r="A79" s="68" t="s">
        <v>75</v>
      </c>
      <c r="B79" s="54" t="s">
        <v>66</v>
      </c>
      <c r="C79" s="51">
        <v>0.05</v>
      </c>
      <c r="D79" s="51" t="s">
        <v>2</v>
      </c>
      <c r="E79" s="62" t="s">
        <v>294</v>
      </c>
      <c r="F79" s="62">
        <v>0</v>
      </c>
      <c r="G79" s="54" t="s">
        <v>12</v>
      </c>
      <c r="H79" s="51">
        <v>0</v>
      </c>
      <c r="I79" s="69">
        <v>0</v>
      </c>
      <c r="J79" s="51">
        <v>0</v>
      </c>
      <c r="K79" s="51">
        <v>0</v>
      </c>
      <c r="L79" s="62">
        <v>0</v>
      </c>
      <c r="M79" s="51" t="s">
        <v>66</v>
      </c>
      <c r="N79" s="51" t="s">
        <v>7</v>
      </c>
      <c r="O79" s="69">
        <v>5.000000000000001E-3</v>
      </c>
      <c r="P79" s="51" t="s">
        <v>2</v>
      </c>
      <c r="Q79" s="51">
        <v>0</v>
      </c>
      <c r="R79" s="62">
        <v>0</v>
      </c>
      <c r="S79" s="62">
        <v>0</v>
      </c>
      <c r="T79" s="54" t="s">
        <v>61</v>
      </c>
      <c r="U79" s="128">
        <v>0</v>
      </c>
      <c r="V79" s="115">
        <v>3.4962401965755862E-5</v>
      </c>
      <c r="W79" s="125">
        <v>0</v>
      </c>
      <c r="X79" s="115">
        <v>1.4442852689626513E-7</v>
      </c>
      <c r="Y79" s="115">
        <v>1.7253896630384493</v>
      </c>
      <c r="Z79" s="115">
        <v>5.4794308572283885</v>
      </c>
      <c r="AA79" s="132" t="s">
        <v>538</v>
      </c>
      <c r="AB79" s="27">
        <f>$C$28*I79</f>
        <v>0</v>
      </c>
      <c r="AC79" s="29">
        <f>$C$28*O79</f>
        <v>2.1600000000000001E-6</v>
      </c>
      <c r="AD79" s="135">
        <f t="shared" si="14"/>
        <v>0</v>
      </c>
      <c r="AE79" s="135">
        <f t="shared" si="3"/>
        <v>3.1196561809593271E-13</v>
      </c>
      <c r="AF79" s="24">
        <f t="shared" si="4"/>
        <v>1.1835570651613319E-5</v>
      </c>
      <c r="AG79" s="24">
        <f t="shared" si="5"/>
        <v>0</v>
      </c>
      <c r="AH79" s="24">
        <f t="shared" si="6"/>
        <v>0</v>
      </c>
      <c r="AI79" s="24">
        <f t="shared" si="7"/>
        <v>0</v>
      </c>
      <c r="AJ79" s="24">
        <f t="shared" si="8"/>
        <v>0</v>
      </c>
      <c r="AK79" s="24">
        <f t="shared" si="9"/>
        <v>3.1196561809593271E-13</v>
      </c>
      <c r="AL79" s="24">
        <f t="shared" si="10"/>
        <v>1.1835570651613319E-5</v>
      </c>
      <c r="AM79" s="161">
        <f t="shared" si="11"/>
        <v>0</v>
      </c>
      <c r="AN79" s="157">
        <f t="shared" si="11"/>
        <v>3.1196561809593271E-13</v>
      </c>
      <c r="AO79" s="162">
        <f t="shared" si="11"/>
        <v>1.1835570651613319E-5</v>
      </c>
    </row>
    <row r="80" spans="1:61" s="8" customFormat="1" ht="15" customHeight="1" x14ac:dyDescent="0.2">
      <c r="A80" s="68" t="s">
        <v>75</v>
      </c>
      <c r="B80" s="54" t="s">
        <v>5</v>
      </c>
      <c r="C80" s="51">
        <v>0.02</v>
      </c>
      <c r="D80" s="51" t="s">
        <v>2</v>
      </c>
      <c r="E80" s="62" t="s">
        <v>294</v>
      </c>
      <c r="F80" s="62">
        <v>0</v>
      </c>
      <c r="G80" s="54" t="s">
        <v>12</v>
      </c>
      <c r="H80" s="51">
        <v>0</v>
      </c>
      <c r="I80" s="69">
        <v>0</v>
      </c>
      <c r="J80" s="51">
        <v>0</v>
      </c>
      <c r="K80" s="51">
        <v>0</v>
      </c>
      <c r="L80" s="62">
        <v>0</v>
      </c>
      <c r="M80" s="51" t="s">
        <v>5</v>
      </c>
      <c r="N80" s="51" t="s">
        <v>7</v>
      </c>
      <c r="O80" s="69">
        <v>2E-3</v>
      </c>
      <c r="P80" s="51" t="s">
        <v>2</v>
      </c>
      <c r="Q80" s="51">
        <v>0</v>
      </c>
      <c r="R80" s="62">
        <v>0</v>
      </c>
      <c r="S80" s="62">
        <v>0</v>
      </c>
      <c r="T80" s="54" t="s">
        <v>25</v>
      </c>
      <c r="U80" s="127">
        <v>0</v>
      </c>
      <c r="V80" s="115">
        <v>0</v>
      </c>
      <c r="W80" s="115">
        <v>0</v>
      </c>
      <c r="X80" s="115">
        <v>0</v>
      </c>
      <c r="Y80" s="115">
        <v>164.24</v>
      </c>
      <c r="Z80" s="115">
        <v>400.09</v>
      </c>
      <c r="AA80" s="132" t="s">
        <v>539</v>
      </c>
      <c r="AB80" s="27">
        <f t="shared" ref="AB80:AB83" si="17">$C$28*I80</f>
        <v>0</v>
      </c>
      <c r="AC80" s="29">
        <f t="shared" ref="AC80:AC83" si="18">$C$28*O80</f>
        <v>8.639999999999999E-7</v>
      </c>
      <c r="AD80" s="135">
        <f t="shared" si="14"/>
        <v>0</v>
      </c>
      <c r="AE80" s="135">
        <f t="shared" si="3"/>
        <v>0</v>
      </c>
      <c r="AF80" s="24">
        <f t="shared" si="4"/>
        <v>3.4567775999999996E-4</v>
      </c>
      <c r="AG80" s="24">
        <f t="shared" si="5"/>
        <v>0</v>
      </c>
      <c r="AH80" s="24">
        <f t="shared" si="6"/>
        <v>0</v>
      </c>
      <c r="AI80" s="24">
        <f t="shared" si="7"/>
        <v>0</v>
      </c>
      <c r="AJ80" s="24">
        <f t="shared" si="8"/>
        <v>0</v>
      </c>
      <c r="AK80" s="24">
        <f t="shared" si="9"/>
        <v>0</v>
      </c>
      <c r="AL80" s="24">
        <f t="shared" si="10"/>
        <v>3.4567775999999996E-4</v>
      </c>
      <c r="AM80" s="161">
        <f t="shared" si="11"/>
        <v>0</v>
      </c>
      <c r="AN80" s="157">
        <f t="shared" si="11"/>
        <v>0</v>
      </c>
      <c r="AO80" s="162">
        <f t="shared" si="11"/>
        <v>3.4567775999999996E-4</v>
      </c>
    </row>
    <row r="81" spans="1:41" s="8" customFormat="1" ht="15" customHeight="1" x14ac:dyDescent="0.2">
      <c r="A81" s="68" t="s">
        <v>75</v>
      </c>
      <c r="B81" s="54" t="s">
        <v>76</v>
      </c>
      <c r="C81" s="51">
        <v>1E-3</v>
      </c>
      <c r="D81" s="51" t="s">
        <v>2</v>
      </c>
      <c r="E81" s="62" t="s">
        <v>294</v>
      </c>
      <c r="F81" s="62">
        <v>0</v>
      </c>
      <c r="G81" s="54" t="s">
        <v>12</v>
      </c>
      <c r="H81" s="51">
        <v>0</v>
      </c>
      <c r="I81" s="69">
        <v>0</v>
      </c>
      <c r="J81" s="51">
        <v>0</v>
      </c>
      <c r="K81" s="51">
        <v>0</v>
      </c>
      <c r="L81" s="62">
        <v>0</v>
      </c>
      <c r="M81" s="51" t="s">
        <v>72</v>
      </c>
      <c r="N81" s="51" t="s">
        <v>7</v>
      </c>
      <c r="O81" s="69">
        <v>1E-4</v>
      </c>
      <c r="P81" s="51" t="s">
        <v>2</v>
      </c>
      <c r="Q81" s="51">
        <v>0</v>
      </c>
      <c r="R81" s="62">
        <v>0</v>
      </c>
      <c r="S81" s="62">
        <v>0</v>
      </c>
      <c r="T81" s="54" t="s">
        <v>81</v>
      </c>
      <c r="U81" s="127">
        <v>0</v>
      </c>
      <c r="V81" s="115">
        <v>0</v>
      </c>
      <c r="W81" s="115">
        <v>0</v>
      </c>
      <c r="X81" s="115">
        <v>0</v>
      </c>
      <c r="Y81" s="115">
        <v>306.24811854656059</v>
      </c>
      <c r="Z81" s="115">
        <v>2239.9292193792821</v>
      </c>
      <c r="AA81" s="132" t="s">
        <v>537</v>
      </c>
      <c r="AB81" s="27">
        <f t="shared" si="17"/>
        <v>0</v>
      </c>
      <c r="AC81" s="29">
        <f t="shared" si="18"/>
        <v>4.3199999999999996E-8</v>
      </c>
      <c r="AD81" s="135">
        <f t="shared" si="14"/>
        <v>0</v>
      </c>
      <c r="AE81" s="135">
        <f t="shared" si="3"/>
        <v>0</v>
      </c>
      <c r="AF81" s="24">
        <f t="shared" si="4"/>
        <v>9.6764942277184973E-5</v>
      </c>
      <c r="AG81" s="24">
        <f t="shared" si="5"/>
        <v>0</v>
      </c>
      <c r="AH81" s="24">
        <f t="shared" si="6"/>
        <v>0</v>
      </c>
      <c r="AI81" s="24">
        <f t="shared" si="7"/>
        <v>0</v>
      </c>
      <c r="AJ81" s="24">
        <f t="shared" si="8"/>
        <v>0</v>
      </c>
      <c r="AK81" s="24">
        <f t="shared" si="9"/>
        <v>0</v>
      </c>
      <c r="AL81" s="24">
        <f t="shared" si="10"/>
        <v>9.6764942277184973E-5</v>
      </c>
      <c r="AM81" s="161">
        <f t="shared" si="11"/>
        <v>0</v>
      </c>
      <c r="AN81" s="157">
        <f t="shared" si="11"/>
        <v>0</v>
      </c>
      <c r="AO81" s="162">
        <f t="shared" si="11"/>
        <v>9.6764942277184973E-5</v>
      </c>
    </row>
    <row r="82" spans="1:41" s="8" customFormat="1" ht="15" customHeight="1" x14ac:dyDescent="0.2">
      <c r="A82" s="68" t="s">
        <v>75</v>
      </c>
      <c r="B82" s="54" t="s">
        <v>77</v>
      </c>
      <c r="C82" s="51">
        <v>1E-3</v>
      </c>
      <c r="D82" s="51" t="s">
        <v>2</v>
      </c>
      <c r="E82" s="62" t="s">
        <v>294</v>
      </c>
      <c r="F82" s="62">
        <v>0</v>
      </c>
      <c r="G82" s="54" t="s">
        <v>12</v>
      </c>
      <c r="H82" s="51">
        <v>0</v>
      </c>
      <c r="I82" s="69">
        <v>0</v>
      </c>
      <c r="J82" s="51">
        <v>0</v>
      </c>
      <c r="K82" s="51">
        <v>0</v>
      </c>
      <c r="L82" s="62">
        <v>0</v>
      </c>
      <c r="M82" s="51" t="s">
        <v>71</v>
      </c>
      <c r="N82" s="51" t="s">
        <v>7</v>
      </c>
      <c r="O82" s="69">
        <v>1E-4</v>
      </c>
      <c r="P82" s="51" t="s">
        <v>2</v>
      </c>
      <c r="Q82" s="54">
        <v>0</v>
      </c>
      <c r="R82" s="62">
        <v>0</v>
      </c>
      <c r="S82" s="62">
        <v>0</v>
      </c>
      <c r="T82" s="54" t="s">
        <v>95</v>
      </c>
      <c r="U82" s="127">
        <v>0</v>
      </c>
      <c r="V82" s="115">
        <v>0</v>
      </c>
      <c r="W82" s="115">
        <v>0</v>
      </c>
      <c r="X82" s="115">
        <v>0</v>
      </c>
      <c r="Y82" s="115">
        <v>6089.5109426939807</v>
      </c>
      <c r="Z82" s="115">
        <v>54476.932420915044</v>
      </c>
      <c r="AA82" s="132" t="s">
        <v>537</v>
      </c>
      <c r="AB82" s="27">
        <f t="shared" si="17"/>
        <v>0</v>
      </c>
      <c r="AC82" s="29">
        <f t="shared" si="18"/>
        <v>4.3199999999999996E-8</v>
      </c>
      <c r="AD82" s="135">
        <f t="shared" si="14"/>
        <v>0</v>
      </c>
      <c r="AE82" s="135">
        <f t="shared" si="3"/>
        <v>0</v>
      </c>
      <c r="AF82" s="24">
        <f t="shared" si="4"/>
        <v>2.3534034805835296E-3</v>
      </c>
      <c r="AG82" s="24">
        <f t="shared" si="5"/>
        <v>0</v>
      </c>
      <c r="AH82" s="24">
        <f t="shared" si="6"/>
        <v>0</v>
      </c>
      <c r="AI82" s="24">
        <f t="shared" si="7"/>
        <v>0</v>
      </c>
      <c r="AJ82" s="24">
        <f t="shared" si="8"/>
        <v>0</v>
      </c>
      <c r="AK82" s="24">
        <f t="shared" si="9"/>
        <v>0</v>
      </c>
      <c r="AL82" s="24">
        <f t="shared" si="10"/>
        <v>2.3534034805835296E-3</v>
      </c>
      <c r="AM82" s="161">
        <f t="shared" si="11"/>
        <v>0</v>
      </c>
      <c r="AN82" s="157">
        <f t="shared" si="11"/>
        <v>0</v>
      </c>
      <c r="AO82" s="162">
        <f t="shared" si="11"/>
        <v>2.3534034805835296E-3</v>
      </c>
    </row>
    <row r="83" spans="1:41" s="8" customFormat="1" ht="15" customHeight="1" x14ac:dyDescent="0.2">
      <c r="A83" s="68" t="s">
        <v>75</v>
      </c>
      <c r="B83" s="54" t="s">
        <v>70</v>
      </c>
      <c r="C83" s="51">
        <v>1E-3</v>
      </c>
      <c r="D83" s="51" t="s">
        <v>2</v>
      </c>
      <c r="E83" s="62" t="s">
        <v>294</v>
      </c>
      <c r="F83" s="62">
        <v>0</v>
      </c>
      <c r="G83" s="54" t="s">
        <v>12</v>
      </c>
      <c r="H83" s="51">
        <v>0</v>
      </c>
      <c r="I83" s="69">
        <v>0</v>
      </c>
      <c r="J83" s="51">
        <v>0</v>
      </c>
      <c r="K83" s="51">
        <v>0</v>
      </c>
      <c r="L83" s="62">
        <v>0</v>
      </c>
      <c r="M83" s="51" t="s">
        <v>70</v>
      </c>
      <c r="N83" s="51" t="s">
        <v>7</v>
      </c>
      <c r="O83" s="69">
        <v>1E-4</v>
      </c>
      <c r="P83" s="51" t="s">
        <v>2</v>
      </c>
      <c r="Q83" s="51">
        <v>0</v>
      </c>
      <c r="R83" s="62">
        <v>0</v>
      </c>
      <c r="S83" s="62">
        <v>0</v>
      </c>
      <c r="T83" s="54" t="s">
        <v>96</v>
      </c>
      <c r="U83" s="127">
        <v>0</v>
      </c>
      <c r="V83" s="115">
        <v>0</v>
      </c>
      <c r="W83" s="115">
        <v>0</v>
      </c>
      <c r="X83" s="115">
        <v>0</v>
      </c>
      <c r="Y83" s="115">
        <v>15653.997644153058</v>
      </c>
      <c r="Z83" s="115">
        <v>184815.26625319294</v>
      </c>
      <c r="AA83" s="132" t="s">
        <v>537</v>
      </c>
      <c r="AB83" s="27">
        <f t="shared" si="17"/>
        <v>0</v>
      </c>
      <c r="AC83" s="29">
        <f t="shared" si="18"/>
        <v>4.3199999999999996E-8</v>
      </c>
      <c r="AD83" s="135">
        <f t="shared" si="14"/>
        <v>0</v>
      </c>
      <c r="AE83" s="135">
        <f t="shared" si="3"/>
        <v>0</v>
      </c>
      <c r="AF83" s="24">
        <f t="shared" si="4"/>
        <v>7.9840195021379338E-3</v>
      </c>
      <c r="AG83" s="24">
        <f t="shared" si="5"/>
        <v>0</v>
      </c>
      <c r="AH83" s="24">
        <f t="shared" si="6"/>
        <v>0</v>
      </c>
      <c r="AI83" s="24">
        <f t="shared" si="7"/>
        <v>0</v>
      </c>
      <c r="AJ83" s="24">
        <f t="shared" si="8"/>
        <v>0</v>
      </c>
      <c r="AK83" s="24">
        <f t="shared" si="9"/>
        <v>0</v>
      </c>
      <c r="AL83" s="24">
        <f t="shared" si="10"/>
        <v>7.9840195021379338E-3</v>
      </c>
      <c r="AM83" s="161">
        <f t="shared" si="11"/>
        <v>0</v>
      </c>
      <c r="AN83" s="157">
        <f t="shared" si="11"/>
        <v>0</v>
      </c>
      <c r="AO83" s="162">
        <f t="shared" si="11"/>
        <v>7.9840195021379338E-3</v>
      </c>
    </row>
    <row r="84" spans="1:41" s="8" customFormat="1" ht="15" customHeight="1" x14ac:dyDescent="0.2">
      <c r="A84" s="68" t="s">
        <v>55</v>
      </c>
      <c r="B84" s="54" t="s">
        <v>79</v>
      </c>
      <c r="C84" s="74">
        <v>1</v>
      </c>
      <c r="D84" s="51" t="s">
        <v>2</v>
      </c>
      <c r="E84" s="64">
        <v>1</v>
      </c>
      <c r="F84" s="64">
        <v>0</v>
      </c>
      <c r="G84" s="51" t="s">
        <v>12</v>
      </c>
      <c r="H84" s="51">
        <v>0</v>
      </c>
      <c r="I84" s="69">
        <v>0</v>
      </c>
      <c r="J84" s="51">
        <v>0</v>
      </c>
      <c r="K84" s="51" t="s">
        <v>297</v>
      </c>
      <c r="L84" s="64">
        <v>0</v>
      </c>
      <c r="M84" s="51" t="s">
        <v>79</v>
      </c>
      <c r="N84" s="51" t="s">
        <v>7</v>
      </c>
      <c r="O84" s="69">
        <v>0.1</v>
      </c>
      <c r="P84" s="51" t="s">
        <v>2</v>
      </c>
      <c r="Q84" s="51">
        <v>0</v>
      </c>
      <c r="R84" s="64">
        <v>0</v>
      </c>
      <c r="S84" s="64">
        <v>0</v>
      </c>
      <c r="T84" s="54" t="s">
        <v>80</v>
      </c>
      <c r="U84" s="127">
        <v>0</v>
      </c>
      <c r="V84" s="115">
        <v>0</v>
      </c>
      <c r="W84" s="115">
        <v>0</v>
      </c>
      <c r="X84" s="115">
        <v>0</v>
      </c>
      <c r="Y84" s="115">
        <v>31</v>
      </c>
      <c r="Z84" s="115">
        <v>73.7</v>
      </c>
      <c r="AA84" s="132" t="s">
        <v>539</v>
      </c>
      <c r="AB84" s="27">
        <f>$C$29*I84</f>
        <v>0</v>
      </c>
      <c r="AC84" s="29">
        <f>$C$29*O84</f>
        <v>1.44E-4</v>
      </c>
      <c r="AD84" s="135">
        <f t="shared" ref="AD84:AD147" si="19">AB84*U84+AC84*W84</f>
        <v>0</v>
      </c>
      <c r="AE84" s="135">
        <f t="shared" ref="AE84:AE147" si="20">AB84*V84+AC84*X84</f>
        <v>0</v>
      </c>
      <c r="AF84" s="24">
        <f t="shared" ref="AF84:AF147" si="21">AB84*Y84+AC84*Z84</f>
        <v>1.06128E-2</v>
      </c>
      <c r="AG84" s="24">
        <f t="shared" ref="AG84:AG147" si="22">AB84*U84</f>
        <v>0</v>
      </c>
      <c r="AH84" s="24">
        <f t="shared" ref="AH84:AH147" si="23">AB84*V84</f>
        <v>0</v>
      </c>
      <c r="AI84" s="24">
        <f t="shared" ref="AI84:AI147" si="24">AB84*Y84</f>
        <v>0</v>
      </c>
      <c r="AJ84" s="24">
        <f t="shared" ref="AJ84:AJ147" si="25">AC84*W84</f>
        <v>0</v>
      </c>
      <c r="AK84" s="24">
        <f t="shared" ref="AK84:AK147" si="26">AC84*X84</f>
        <v>0</v>
      </c>
      <c r="AL84" s="24">
        <f t="shared" ref="AL84:AL147" si="27">AC84*Z84</f>
        <v>1.06128E-2</v>
      </c>
      <c r="AM84" s="161">
        <f t="shared" ref="AM84:AM147" si="28">AG84+AJ84</f>
        <v>0</v>
      </c>
      <c r="AN84" s="157">
        <f t="shared" ref="AN84:AN147" si="29">AH84+AK84</f>
        <v>0</v>
      </c>
      <c r="AO84" s="162">
        <f t="shared" ref="AO84:AO147" si="30">AI84+AL84</f>
        <v>1.06128E-2</v>
      </c>
    </row>
    <row r="85" spans="1:41" s="8" customFormat="1" ht="15" customHeight="1" x14ac:dyDescent="0.2">
      <c r="A85" s="73" t="s">
        <v>429</v>
      </c>
      <c r="B85" s="54" t="s">
        <v>0</v>
      </c>
      <c r="C85" s="74">
        <v>1</v>
      </c>
      <c r="D85" s="51" t="s">
        <v>2</v>
      </c>
      <c r="E85" s="64">
        <v>1</v>
      </c>
      <c r="F85" s="64">
        <v>0</v>
      </c>
      <c r="G85" s="54" t="s">
        <v>0</v>
      </c>
      <c r="H85" s="51" t="s">
        <v>6</v>
      </c>
      <c r="I85" s="69">
        <v>1E-3</v>
      </c>
      <c r="J85" s="51" t="s">
        <v>2</v>
      </c>
      <c r="K85" s="51">
        <v>0</v>
      </c>
      <c r="L85" s="64">
        <v>0</v>
      </c>
      <c r="M85" s="51" t="s">
        <v>0</v>
      </c>
      <c r="N85" s="51" t="s">
        <v>7</v>
      </c>
      <c r="O85" s="69">
        <v>0.1</v>
      </c>
      <c r="P85" s="51" t="s">
        <v>2</v>
      </c>
      <c r="Q85" s="51">
        <v>0</v>
      </c>
      <c r="R85" s="64">
        <v>0</v>
      </c>
      <c r="S85" s="64">
        <v>0</v>
      </c>
      <c r="T85" s="54" t="s">
        <v>21</v>
      </c>
      <c r="U85" s="127">
        <v>0</v>
      </c>
      <c r="V85" s="115">
        <v>0</v>
      </c>
      <c r="W85" s="115">
        <v>0</v>
      </c>
      <c r="X85" s="115">
        <v>0</v>
      </c>
      <c r="Y85" s="115">
        <v>2.8072892978694037</v>
      </c>
      <c r="Z85" s="115">
        <v>44.680467206809801</v>
      </c>
      <c r="AA85" s="132" t="s">
        <v>537</v>
      </c>
      <c r="AB85" s="27">
        <f>$C$30*I85</f>
        <v>7.1999999999999997E-6</v>
      </c>
      <c r="AC85" s="29">
        <f>$C$30*O85</f>
        <v>7.2000000000000005E-4</v>
      </c>
      <c r="AD85" s="135">
        <f t="shared" si="19"/>
        <v>0</v>
      </c>
      <c r="AE85" s="135">
        <f t="shared" si="20"/>
        <v>0</v>
      </c>
      <c r="AF85" s="24">
        <f t="shared" si="21"/>
        <v>3.2190148871847721E-2</v>
      </c>
      <c r="AG85" s="24">
        <f t="shared" si="22"/>
        <v>0</v>
      </c>
      <c r="AH85" s="24">
        <f t="shared" si="23"/>
        <v>0</v>
      </c>
      <c r="AI85" s="24">
        <f t="shared" si="24"/>
        <v>2.0212482944659706E-5</v>
      </c>
      <c r="AJ85" s="24">
        <f t="shared" si="25"/>
        <v>0</v>
      </c>
      <c r="AK85" s="24">
        <f t="shared" si="26"/>
        <v>0</v>
      </c>
      <c r="AL85" s="24">
        <f t="shared" si="27"/>
        <v>3.2169936388903059E-2</v>
      </c>
      <c r="AM85" s="161">
        <f t="shared" si="28"/>
        <v>0</v>
      </c>
      <c r="AN85" s="157">
        <f t="shared" si="29"/>
        <v>0</v>
      </c>
      <c r="AO85" s="162">
        <f t="shared" si="30"/>
        <v>3.2190148871847721E-2</v>
      </c>
    </row>
    <row r="86" spans="1:41" s="8" customFormat="1" ht="15" customHeight="1" x14ac:dyDescent="0.2">
      <c r="A86" s="68" t="s">
        <v>1049</v>
      </c>
      <c r="B86" s="54" t="s">
        <v>527</v>
      </c>
      <c r="C86" s="51">
        <v>0.6</v>
      </c>
      <c r="D86" s="51" t="s">
        <v>2</v>
      </c>
      <c r="E86" s="62" t="s">
        <v>294</v>
      </c>
      <c r="F86" s="62">
        <v>0</v>
      </c>
      <c r="G86" s="54" t="s">
        <v>12</v>
      </c>
      <c r="H86" s="51">
        <v>0</v>
      </c>
      <c r="I86" s="51">
        <v>0</v>
      </c>
      <c r="J86" s="51">
        <v>0</v>
      </c>
      <c r="K86" s="51">
        <v>0</v>
      </c>
      <c r="L86" s="62">
        <v>0</v>
      </c>
      <c r="M86" s="51" t="s">
        <v>68</v>
      </c>
      <c r="N86" s="51" t="s">
        <v>7</v>
      </c>
      <c r="O86" s="69">
        <v>0.06</v>
      </c>
      <c r="P86" s="51" t="s">
        <v>2</v>
      </c>
      <c r="Q86" s="51">
        <v>0</v>
      </c>
      <c r="R86" s="62">
        <v>0</v>
      </c>
      <c r="S86" s="62">
        <v>0</v>
      </c>
      <c r="T86" s="54" t="s">
        <v>526</v>
      </c>
      <c r="U86" s="127">
        <v>0</v>
      </c>
      <c r="V86" s="115">
        <v>1.6437731647150863E-6</v>
      </c>
      <c r="W86" s="115">
        <v>0</v>
      </c>
      <c r="X86" s="115">
        <v>9.8891167609639291E-6</v>
      </c>
      <c r="Y86" s="115">
        <v>25539.178143122717</v>
      </c>
      <c r="Z86" s="115">
        <v>766743.80504211958</v>
      </c>
      <c r="AA86" s="132" t="s">
        <v>538</v>
      </c>
      <c r="AB86" s="27">
        <f>$C$31*I86</f>
        <v>0</v>
      </c>
      <c r="AC86" s="29">
        <f>$C$31*O86</f>
        <v>7.7760000000000001E-5</v>
      </c>
      <c r="AD86" s="135">
        <f t="shared" si="19"/>
        <v>0</v>
      </c>
      <c r="AE86" s="135">
        <f t="shared" si="20"/>
        <v>7.6897771933255514E-10</v>
      </c>
      <c r="AF86" s="24">
        <f t="shared" si="21"/>
        <v>59.621998280075218</v>
      </c>
      <c r="AG86" s="24">
        <f t="shared" si="22"/>
        <v>0</v>
      </c>
      <c r="AH86" s="24">
        <f t="shared" si="23"/>
        <v>0</v>
      </c>
      <c r="AI86" s="24">
        <f t="shared" si="24"/>
        <v>0</v>
      </c>
      <c r="AJ86" s="24">
        <f t="shared" si="25"/>
        <v>0</v>
      </c>
      <c r="AK86" s="24">
        <f t="shared" si="26"/>
        <v>7.6897771933255514E-10</v>
      </c>
      <c r="AL86" s="24">
        <f t="shared" si="27"/>
        <v>59.621998280075218</v>
      </c>
      <c r="AM86" s="161">
        <f t="shared" si="28"/>
        <v>0</v>
      </c>
      <c r="AN86" s="157">
        <f t="shared" si="29"/>
        <v>7.6897771933255514E-10</v>
      </c>
      <c r="AO86" s="162">
        <f t="shared" si="30"/>
        <v>59.621998280075218</v>
      </c>
    </row>
    <row r="87" spans="1:41" s="8" customFormat="1" ht="15" customHeight="1" x14ac:dyDescent="0.2">
      <c r="A87" s="68" t="s">
        <v>1049</v>
      </c>
      <c r="B87" s="54" t="s">
        <v>84</v>
      </c>
      <c r="C87" s="51">
        <v>0.2</v>
      </c>
      <c r="D87" s="51" t="s">
        <v>2</v>
      </c>
      <c r="E87" s="62" t="s">
        <v>294</v>
      </c>
      <c r="F87" s="62">
        <v>0</v>
      </c>
      <c r="G87" s="51" t="s">
        <v>84</v>
      </c>
      <c r="H87" s="51" t="s">
        <v>6</v>
      </c>
      <c r="I87" s="69">
        <v>2.0000000000000001E-4</v>
      </c>
      <c r="J87" s="51" t="s">
        <v>2</v>
      </c>
      <c r="K87" s="51">
        <v>0</v>
      </c>
      <c r="L87" s="62">
        <v>0</v>
      </c>
      <c r="M87" s="51" t="s">
        <v>73</v>
      </c>
      <c r="N87" s="51" t="s">
        <v>7</v>
      </c>
      <c r="O87" s="69">
        <v>2.0000000000000004E-2</v>
      </c>
      <c r="P87" s="51" t="s">
        <v>2</v>
      </c>
      <c r="Q87" s="51">
        <v>0</v>
      </c>
      <c r="R87" s="62">
        <v>0</v>
      </c>
      <c r="S87" s="62">
        <v>0</v>
      </c>
      <c r="T87" s="54" t="s">
        <v>62</v>
      </c>
      <c r="U87" s="127">
        <v>3.1027213023718394E-8</v>
      </c>
      <c r="V87" s="115">
        <v>0</v>
      </c>
      <c r="W87" s="115">
        <v>1.7206281348183625E-8</v>
      </c>
      <c r="X87" s="116">
        <v>0</v>
      </c>
      <c r="Y87" s="115">
        <v>2.6323079574736696</v>
      </c>
      <c r="Z87" s="115">
        <v>191.63613931032927</v>
      </c>
      <c r="AA87" s="132" t="s">
        <v>537</v>
      </c>
      <c r="AB87" s="27">
        <f t="shared" ref="AB87:AB89" si="31">$C$31*I87</f>
        <v>2.5920000000000004E-7</v>
      </c>
      <c r="AC87" s="29">
        <f t="shared" ref="AC87:AC89" si="32">$C$31*O87</f>
        <v>2.5920000000000006E-5</v>
      </c>
      <c r="AD87" s="135">
        <f t="shared" si="19"/>
        <v>4.5402906616066745E-13</v>
      </c>
      <c r="AE87" s="135">
        <f t="shared" si="20"/>
        <v>0</v>
      </c>
      <c r="AF87" s="24">
        <f t="shared" si="21"/>
        <v>4.9678910251463124E-3</v>
      </c>
      <c r="AG87" s="24">
        <f t="shared" si="22"/>
        <v>8.0422536157478088E-15</v>
      </c>
      <c r="AH87" s="24">
        <f t="shared" si="23"/>
        <v>0</v>
      </c>
      <c r="AI87" s="24">
        <f t="shared" si="24"/>
        <v>6.8229422257717526E-7</v>
      </c>
      <c r="AJ87" s="24">
        <f t="shared" si="25"/>
        <v>4.4598681254491966E-13</v>
      </c>
      <c r="AK87" s="24">
        <f t="shared" si="26"/>
        <v>0</v>
      </c>
      <c r="AL87" s="24">
        <f t="shared" si="27"/>
        <v>4.9672087309237355E-3</v>
      </c>
      <c r="AM87" s="161">
        <f t="shared" si="28"/>
        <v>4.5402906616066745E-13</v>
      </c>
      <c r="AN87" s="157">
        <f t="shared" si="29"/>
        <v>0</v>
      </c>
      <c r="AO87" s="162">
        <f t="shared" si="30"/>
        <v>4.9678910251463124E-3</v>
      </c>
    </row>
    <row r="88" spans="1:41" s="8" customFormat="1" ht="15" customHeight="1" x14ac:dyDescent="0.2">
      <c r="A88" s="68" t="s">
        <v>1049</v>
      </c>
      <c r="B88" s="54" t="s">
        <v>85</v>
      </c>
      <c r="C88" s="51">
        <v>0.1</v>
      </c>
      <c r="D88" s="51" t="s">
        <v>2</v>
      </c>
      <c r="E88" s="62" t="s">
        <v>294</v>
      </c>
      <c r="F88" s="62">
        <v>0</v>
      </c>
      <c r="G88" s="51" t="s">
        <v>43</v>
      </c>
      <c r="H88" s="51" t="s">
        <v>6</v>
      </c>
      <c r="I88" s="69">
        <v>1E-4</v>
      </c>
      <c r="J88" s="51" t="s">
        <v>2</v>
      </c>
      <c r="K88" s="51">
        <v>0</v>
      </c>
      <c r="L88" s="62">
        <v>0</v>
      </c>
      <c r="M88" s="51" t="s">
        <v>43</v>
      </c>
      <c r="N88" s="51" t="s">
        <v>7</v>
      </c>
      <c r="O88" s="69">
        <v>1.0000000000000002E-2</v>
      </c>
      <c r="P88" s="51" t="s">
        <v>2</v>
      </c>
      <c r="Q88" s="51">
        <v>0</v>
      </c>
      <c r="R88" s="62">
        <v>0</v>
      </c>
      <c r="S88" s="62">
        <v>0</v>
      </c>
      <c r="T88" s="54" t="s">
        <v>92</v>
      </c>
      <c r="U88" s="127">
        <v>0</v>
      </c>
      <c r="V88" s="115">
        <v>0</v>
      </c>
      <c r="W88" s="115">
        <v>0</v>
      </c>
      <c r="X88" s="115">
        <v>0</v>
      </c>
      <c r="Y88" s="129">
        <v>63</v>
      </c>
      <c r="Z88" s="129">
        <v>2910</v>
      </c>
      <c r="AA88" s="132" t="s">
        <v>539</v>
      </c>
      <c r="AB88" s="27">
        <f t="shared" si="31"/>
        <v>1.2960000000000002E-7</v>
      </c>
      <c r="AC88" s="29">
        <f t="shared" si="32"/>
        <v>1.2960000000000003E-5</v>
      </c>
      <c r="AD88" s="135">
        <f t="shared" si="19"/>
        <v>0</v>
      </c>
      <c r="AE88" s="135">
        <f t="shared" si="20"/>
        <v>0</v>
      </c>
      <c r="AF88" s="24">
        <f t="shared" si="21"/>
        <v>3.7721764800000009E-2</v>
      </c>
      <c r="AG88" s="24">
        <f t="shared" si="22"/>
        <v>0</v>
      </c>
      <c r="AH88" s="24">
        <f t="shared" si="23"/>
        <v>0</v>
      </c>
      <c r="AI88" s="24">
        <f t="shared" si="24"/>
        <v>8.1648000000000019E-6</v>
      </c>
      <c r="AJ88" s="24">
        <f t="shared" si="25"/>
        <v>0</v>
      </c>
      <c r="AK88" s="24">
        <f t="shared" si="26"/>
        <v>0</v>
      </c>
      <c r="AL88" s="24">
        <f t="shared" si="27"/>
        <v>3.7713600000000007E-2</v>
      </c>
      <c r="AM88" s="161">
        <f t="shared" si="28"/>
        <v>0</v>
      </c>
      <c r="AN88" s="157">
        <f t="shared" si="29"/>
        <v>0</v>
      </c>
      <c r="AO88" s="162">
        <f t="shared" si="30"/>
        <v>3.7721764800000009E-2</v>
      </c>
    </row>
    <row r="89" spans="1:41" s="8" customFormat="1" ht="15" customHeight="1" x14ac:dyDescent="0.2">
      <c r="A89" s="68" t="s">
        <v>1049</v>
      </c>
      <c r="B89" s="50" t="s">
        <v>67</v>
      </c>
      <c r="C89" s="51">
        <v>0</v>
      </c>
      <c r="D89" s="51">
        <v>0</v>
      </c>
      <c r="E89" s="62" t="s">
        <v>301</v>
      </c>
      <c r="F89" s="62">
        <v>0</v>
      </c>
      <c r="G89" s="8" t="s">
        <v>12</v>
      </c>
      <c r="H89" s="51">
        <v>0</v>
      </c>
      <c r="I89" s="69">
        <v>0</v>
      </c>
      <c r="J89" s="51">
        <v>0</v>
      </c>
      <c r="K89" s="51">
        <v>0</v>
      </c>
      <c r="L89" s="62">
        <v>0</v>
      </c>
      <c r="M89" s="51" t="s">
        <v>67</v>
      </c>
      <c r="N89" s="51" t="s">
        <v>7</v>
      </c>
      <c r="O89" s="69">
        <v>1.0000000000000001E-5</v>
      </c>
      <c r="P89" s="51" t="s">
        <v>2</v>
      </c>
      <c r="Q89" s="51" t="s">
        <v>1366</v>
      </c>
      <c r="R89" s="62">
        <v>0</v>
      </c>
      <c r="S89" s="62">
        <v>0</v>
      </c>
      <c r="T89" s="54" t="s">
        <v>94</v>
      </c>
      <c r="U89" s="127">
        <v>0</v>
      </c>
      <c r="V89" s="115">
        <v>0</v>
      </c>
      <c r="W89" s="115">
        <v>0</v>
      </c>
      <c r="X89" s="115">
        <v>0</v>
      </c>
      <c r="Y89" s="115">
        <v>63.500038841149426</v>
      </c>
      <c r="Z89" s="115">
        <v>10848.472578502809</v>
      </c>
      <c r="AA89" s="132" t="s">
        <v>537</v>
      </c>
      <c r="AB89" s="27">
        <f t="shared" si="31"/>
        <v>0</v>
      </c>
      <c r="AC89" s="29">
        <f t="shared" si="32"/>
        <v>1.2960000000000002E-8</v>
      </c>
      <c r="AD89" s="135">
        <f t="shared" si="19"/>
        <v>0</v>
      </c>
      <c r="AE89" s="135">
        <f t="shared" si="20"/>
        <v>0</v>
      </c>
      <c r="AF89" s="24">
        <f t="shared" si="21"/>
        <v>1.4059620461739643E-4</v>
      </c>
      <c r="AG89" s="24">
        <f t="shared" si="22"/>
        <v>0</v>
      </c>
      <c r="AH89" s="24">
        <f t="shared" si="23"/>
        <v>0</v>
      </c>
      <c r="AI89" s="24">
        <f t="shared" si="24"/>
        <v>0</v>
      </c>
      <c r="AJ89" s="24">
        <f t="shared" si="25"/>
        <v>0</v>
      </c>
      <c r="AK89" s="24">
        <f t="shared" si="26"/>
        <v>0</v>
      </c>
      <c r="AL89" s="24">
        <f t="shared" si="27"/>
        <v>1.4059620461739643E-4</v>
      </c>
      <c r="AM89" s="161">
        <f t="shared" si="28"/>
        <v>0</v>
      </c>
      <c r="AN89" s="157">
        <f t="shared" si="29"/>
        <v>0</v>
      </c>
      <c r="AO89" s="162">
        <f t="shared" si="30"/>
        <v>1.4059620461739643E-4</v>
      </c>
    </row>
    <row r="90" spans="1:41" s="8" customFormat="1" ht="15" customHeight="1" x14ac:dyDescent="0.2">
      <c r="A90" s="68" t="s">
        <v>90</v>
      </c>
      <c r="B90" s="53" t="s">
        <v>35</v>
      </c>
      <c r="C90" s="74">
        <v>0.3</v>
      </c>
      <c r="D90" s="51" t="s">
        <v>2</v>
      </c>
      <c r="E90" s="62" t="s">
        <v>296</v>
      </c>
      <c r="F90" s="62">
        <v>0</v>
      </c>
      <c r="G90" s="53" t="s">
        <v>12</v>
      </c>
      <c r="H90" s="51">
        <v>0</v>
      </c>
      <c r="I90" s="69">
        <v>0</v>
      </c>
      <c r="J90" s="51">
        <v>0</v>
      </c>
      <c r="K90" s="51">
        <v>0</v>
      </c>
      <c r="L90" s="62">
        <v>0</v>
      </c>
      <c r="M90" s="53" t="s">
        <v>35</v>
      </c>
      <c r="N90" s="51" t="s">
        <v>7</v>
      </c>
      <c r="O90" s="69">
        <v>2.9700000000000001E-2</v>
      </c>
      <c r="P90" s="51" t="s">
        <v>2</v>
      </c>
      <c r="Q90" s="8" t="s">
        <v>1367</v>
      </c>
      <c r="R90" s="62">
        <v>0</v>
      </c>
      <c r="S90" s="62">
        <v>0</v>
      </c>
      <c r="T90" s="54" t="s">
        <v>524</v>
      </c>
      <c r="U90" s="127">
        <v>0</v>
      </c>
      <c r="V90" s="115">
        <v>1.318367210059499E-10</v>
      </c>
      <c r="W90" s="115">
        <v>0</v>
      </c>
      <c r="X90" s="115">
        <v>1.3016448977650344E-10</v>
      </c>
      <c r="Y90" s="115">
        <v>1.1181204517092254</v>
      </c>
      <c r="Z90" s="115">
        <v>78.957506928451508</v>
      </c>
      <c r="AA90" s="132" t="s">
        <v>538</v>
      </c>
      <c r="AB90" s="27">
        <f>$C$32*I90</f>
        <v>0</v>
      </c>
      <c r="AC90" s="29">
        <f>$C$32*O90</f>
        <v>8.5535999999999989E-5</v>
      </c>
      <c r="AD90" s="135">
        <f t="shared" si="19"/>
        <v>0</v>
      </c>
      <c r="AE90" s="135">
        <f t="shared" si="20"/>
        <v>1.1133749797522996E-14</v>
      </c>
      <c r="AF90" s="24">
        <f t="shared" si="21"/>
        <v>6.7537093126320271E-3</v>
      </c>
      <c r="AG90" s="24">
        <f t="shared" si="22"/>
        <v>0</v>
      </c>
      <c r="AH90" s="24">
        <f t="shared" si="23"/>
        <v>0</v>
      </c>
      <c r="AI90" s="24">
        <f t="shared" si="24"/>
        <v>0</v>
      </c>
      <c r="AJ90" s="24">
        <f t="shared" si="25"/>
        <v>0</v>
      </c>
      <c r="AK90" s="24">
        <f t="shared" si="26"/>
        <v>1.1133749797522996E-14</v>
      </c>
      <c r="AL90" s="24">
        <f t="shared" si="27"/>
        <v>6.7537093126320271E-3</v>
      </c>
      <c r="AM90" s="161">
        <f t="shared" si="28"/>
        <v>0</v>
      </c>
      <c r="AN90" s="157">
        <f t="shared" si="29"/>
        <v>1.1133749797522996E-14</v>
      </c>
      <c r="AO90" s="162">
        <f t="shared" si="30"/>
        <v>6.7537093126320271E-3</v>
      </c>
    </row>
    <row r="91" spans="1:41" s="8" customFormat="1" ht="15" customHeight="1" x14ac:dyDescent="0.2">
      <c r="A91" s="68" t="s">
        <v>90</v>
      </c>
      <c r="B91" s="2" t="s">
        <v>89</v>
      </c>
      <c r="C91" s="74">
        <v>0</v>
      </c>
      <c r="D91" s="51">
        <v>0</v>
      </c>
      <c r="E91" s="62" t="s">
        <v>1064</v>
      </c>
      <c r="F91" s="62">
        <v>0</v>
      </c>
      <c r="G91" s="51" t="s">
        <v>89</v>
      </c>
      <c r="H91" s="51" t="s">
        <v>6</v>
      </c>
      <c r="I91" s="69">
        <v>3.0000000000000001E-6</v>
      </c>
      <c r="J91" s="51" t="s">
        <v>2</v>
      </c>
      <c r="K91" s="51">
        <v>0</v>
      </c>
      <c r="L91" s="62">
        <v>0</v>
      </c>
      <c r="M91" s="51" t="s">
        <v>89</v>
      </c>
      <c r="N91" s="51" t="s">
        <v>7</v>
      </c>
      <c r="O91" s="69">
        <v>3.0000000000000004E-5</v>
      </c>
      <c r="P91" s="51" t="s">
        <v>2</v>
      </c>
      <c r="Q91" s="51" t="s">
        <v>1368</v>
      </c>
      <c r="R91" s="62">
        <v>0</v>
      </c>
      <c r="S91" s="62">
        <v>0</v>
      </c>
      <c r="T91" s="81" t="s">
        <v>98</v>
      </c>
      <c r="U91" s="127">
        <v>3.0023364753950555E-5</v>
      </c>
      <c r="V91" s="129">
        <v>1.2481126126868064E-4</v>
      </c>
      <c r="W91" s="129">
        <v>1.1959264101490567E-5</v>
      </c>
      <c r="X91" s="129">
        <v>4.9716307568620708E-5</v>
      </c>
      <c r="Y91" s="129">
        <v>10.037499181426883</v>
      </c>
      <c r="Z91" s="129">
        <v>119.14199796898779</v>
      </c>
      <c r="AA91" s="133" t="s">
        <v>537</v>
      </c>
      <c r="AB91" s="27">
        <f t="shared" ref="AB91:AB92" si="33">$C$32*I91</f>
        <v>8.6399999999999999E-9</v>
      </c>
      <c r="AC91" s="29">
        <f t="shared" ref="AC91:AC92" si="34">$C$32*O91</f>
        <v>8.6400000000000006E-8</v>
      </c>
      <c r="AD91" s="135">
        <f t="shared" si="19"/>
        <v>1.2926822898429178E-12</v>
      </c>
      <c r="AE91" s="135">
        <f t="shared" si="20"/>
        <v>5.37385827129023E-12</v>
      </c>
      <c r="AF91" s="24">
        <f t="shared" si="21"/>
        <v>1.0380592617448075E-5</v>
      </c>
      <c r="AG91" s="24">
        <f t="shared" si="22"/>
        <v>2.594018714741328E-13</v>
      </c>
      <c r="AH91" s="24">
        <f t="shared" si="23"/>
        <v>1.0783692973614007E-12</v>
      </c>
      <c r="AI91" s="24">
        <f t="shared" si="24"/>
        <v>8.6723992927528262E-8</v>
      </c>
      <c r="AJ91" s="24">
        <f t="shared" si="25"/>
        <v>1.0332804183687851E-12</v>
      </c>
      <c r="AK91" s="24">
        <f t="shared" si="26"/>
        <v>4.2954889739288295E-12</v>
      </c>
      <c r="AL91" s="24">
        <f t="shared" si="27"/>
        <v>1.0293868624520547E-5</v>
      </c>
      <c r="AM91" s="161">
        <f t="shared" si="28"/>
        <v>1.2926822898429178E-12</v>
      </c>
      <c r="AN91" s="157">
        <f t="shared" si="29"/>
        <v>5.37385827129023E-12</v>
      </c>
      <c r="AO91" s="162">
        <f t="shared" si="30"/>
        <v>1.0380592617448075E-5</v>
      </c>
    </row>
    <row r="92" spans="1:41" s="8" customFormat="1" ht="15" customHeight="1" x14ac:dyDescent="0.2">
      <c r="A92" s="68" t="s">
        <v>90</v>
      </c>
      <c r="B92" s="53">
        <v>0</v>
      </c>
      <c r="C92" s="74">
        <v>0</v>
      </c>
      <c r="D92" s="51">
        <v>0</v>
      </c>
      <c r="E92" s="62" t="s">
        <v>1370</v>
      </c>
      <c r="F92" s="62">
        <v>0</v>
      </c>
      <c r="G92" s="2" t="s">
        <v>3</v>
      </c>
      <c r="H92" s="51" t="s">
        <v>6</v>
      </c>
      <c r="I92" s="69">
        <v>2.9999999999999999E-7</v>
      </c>
      <c r="J92" s="51" t="s">
        <v>2</v>
      </c>
      <c r="K92" s="51">
        <v>0</v>
      </c>
      <c r="L92" s="62">
        <v>0</v>
      </c>
      <c r="M92" s="51" t="s">
        <v>3</v>
      </c>
      <c r="N92" s="51" t="s">
        <v>7</v>
      </c>
      <c r="O92" s="69">
        <v>3.0000000000000001E-6</v>
      </c>
      <c r="P92" s="51" t="s">
        <v>2</v>
      </c>
      <c r="Q92" s="51" t="s">
        <v>1371</v>
      </c>
      <c r="R92" s="62">
        <v>0</v>
      </c>
      <c r="S92" s="62">
        <v>0</v>
      </c>
      <c r="T92" s="54" t="s">
        <v>28</v>
      </c>
      <c r="U92" s="127">
        <v>2.5208446330720887E-5</v>
      </c>
      <c r="V92" s="115">
        <v>2.6504960021309262E-7</v>
      </c>
      <c r="W92" s="115">
        <v>1.4222228897488039E-7</v>
      </c>
      <c r="X92" s="115">
        <v>3.170874313501273E-7</v>
      </c>
      <c r="Y92" s="115">
        <v>17.989178582912412</v>
      </c>
      <c r="Z92" s="115">
        <v>290.05086067463066</v>
      </c>
      <c r="AA92" s="132" t="s">
        <v>537</v>
      </c>
      <c r="AB92" s="27">
        <f t="shared" si="33"/>
        <v>8.6399999999999991E-10</v>
      </c>
      <c r="AC92" s="29">
        <f t="shared" si="34"/>
        <v>8.6399999999999999E-9</v>
      </c>
      <c r="AD92" s="135">
        <f t="shared" si="19"/>
        <v>2.300889820648581E-14</v>
      </c>
      <c r="AE92" s="135">
        <f t="shared" si="20"/>
        <v>2.968638261449212E-15</v>
      </c>
      <c r="AF92" s="24">
        <f t="shared" si="21"/>
        <v>2.5215820865244448E-6</v>
      </c>
      <c r="AG92" s="24">
        <f t="shared" si="22"/>
        <v>2.1780097629742843E-14</v>
      </c>
      <c r="AH92" s="24">
        <f t="shared" si="23"/>
        <v>2.2900285458411199E-16</v>
      </c>
      <c r="AI92" s="24">
        <f t="shared" si="24"/>
        <v>1.5542650295636323E-8</v>
      </c>
      <c r="AJ92" s="24">
        <f t="shared" si="25"/>
        <v>1.2288005767429665E-15</v>
      </c>
      <c r="AK92" s="24">
        <f t="shared" si="26"/>
        <v>2.7396354068651E-15</v>
      </c>
      <c r="AL92" s="24">
        <f t="shared" si="27"/>
        <v>2.5060394362288087E-6</v>
      </c>
      <c r="AM92" s="161">
        <f t="shared" si="28"/>
        <v>2.300889820648581E-14</v>
      </c>
      <c r="AN92" s="157">
        <f t="shared" si="29"/>
        <v>2.968638261449212E-15</v>
      </c>
      <c r="AO92" s="162">
        <f t="shared" si="30"/>
        <v>2.5215820865244448E-6</v>
      </c>
    </row>
    <row r="93" spans="1:41" s="8" customFormat="1" ht="15" customHeight="1" x14ac:dyDescent="0.2">
      <c r="A93" s="68" t="s">
        <v>379</v>
      </c>
      <c r="B93" s="54" t="s">
        <v>529</v>
      </c>
      <c r="C93" s="51">
        <v>0.75</v>
      </c>
      <c r="D93" s="51" t="s">
        <v>2</v>
      </c>
      <c r="E93" s="62" t="s">
        <v>294</v>
      </c>
      <c r="F93" s="62">
        <v>0</v>
      </c>
      <c r="G93" s="52" t="s">
        <v>380</v>
      </c>
      <c r="H93" s="51" t="s">
        <v>6</v>
      </c>
      <c r="I93" s="51">
        <v>7.5000000000000002E-4</v>
      </c>
      <c r="J93" s="51" t="s">
        <v>2</v>
      </c>
      <c r="K93" s="51">
        <v>0</v>
      </c>
      <c r="L93" s="62">
        <v>0</v>
      </c>
      <c r="M93" s="52" t="s">
        <v>380</v>
      </c>
      <c r="N93" s="51" t="s">
        <v>7</v>
      </c>
      <c r="O93" s="69">
        <v>3.7500000000000007E-3</v>
      </c>
      <c r="P93" s="51" t="s">
        <v>2</v>
      </c>
      <c r="Q93" s="8" t="s">
        <v>562</v>
      </c>
      <c r="R93" s="62">
        <v>0</v>
      </c>
      <c r="S93" s="62">
        <v>0</v>
      </c>
      <c r="T93" s="54" t="s">
        <v>528</v>
      </c>
      <c r="U93" s="127">
        <v>2.9376617915978413E-5</v>
      </c>
      <c r="V93" s="129">
        <v>1.5549232836361298E-6</v>
      </c>
      <c r="W93" s="129">
        <v>1.297252698814143E-4</v>
      </c>
      <c r="X93" s="129">
        <v>6.8664419842856388E-6</v>
      </c>
      <c r="Y93" s="129">
        <v>592.97072899355226</v>
      </c>
      <c r="Z93" s="129">
        <v>81.853308412925216</v>
      </c>
      <c r="AA93" s="133" t="s">
        <v>538</v>
      </c>
      <c r="AB93" s="27">
        <f>$C$33*I93</f>
        <v>5.4E-6</v>
      </c>
      <c r="AC93" s="29">
        <f>$C$33*O93</f>
        <v>2.7000000000000006E-5</v>
      </c>
      <c r="AD93" s="135">
        <f t="shared" si="19"/>
        <v>3.6612160235444705E-9</v>
      </c>
      <c r="AE93" s="135">
        <f t="shared" si="20"/>
        <v>1.9379051930734739E-10</v>
      </c>
      <c r="AF93" s="24">
        <f t="shared" si="21"/>
        <v>5.4120812637141634E-3</v>
      </c>
      <c r="AG93" s="24">
        <f t="shared" si="22"/>
        <v>1.5863373674628342E-10</v>
      </c>
      <c r="AH93" s="24">
        <f t="shared" si="23"/>
        <v>8.3965857316351007E-12</v>
      </c>
      <c r="AI93" s="24">
        <f t="shared" si="24"/>
        <v>3.2020419365651823E-3</v>
      </c>
      <c r="AJ93" s="24">
        <f t="shared" si="25"/>
        <v>3.5025822867981871E-9</v>
      </c>
      <c r="AK93" s="24">
        <f t="shared" si="26"/>
        <v>1.8539393357571229E-10</v>
      </c>
      <c r="AL93" s="24">
        <f t="shared" si="27"/>
        <v>2.2100393271489811E-3</v>
      </c>
      <c r="AM93" s="161">
        <f t="shared" si="28"/>
        <v>3.6612160235444705E-9</v>
      </c>
      <c r="AN93" s="157">
        <f t="shared" si="29"/>
        <v>1.9379051930734739E-10</v>
      </c>
      <c r="AO93" s="162">
        <f t="shared" si="30"/>
        <v>5.4120812637141634E-3</v>
      </c>
    </row>
    <row r="94" spans="1:41" s="8" customFormat="1" ht="15" customHeight="1" x14ac:dyDescent="0.2">
      <c r="A94" s="70" t="s">
        <v>381</v>
      </c>
      <c r="B94" s="54" t="s">
        <v>382</v>
      </c>
      <c r="C94" s="51">
        <v>0.05</v>
      </c>
      <c r="D94" s="51" t="s">
        <v>2</v>
      </c>
      <c r="E94" s="62" t="s">
        <v>294</v>
      </c>
      <c r="F94" s="62">
        <v>0</v>
      </c>
      <c r="G94" s="51" t="s">
        <v>382</v>
      </c>
      <c r="H94" s="54" t="s">
        <v>6</v>
      </c>
      <c r="I94" s="69">
        <v>5.0000000000000002E-5</v>
      </c>
      <c r="J94" s="54" t="s">
        <v>2</v>
      </c>
      <c r="K94" s="51">
        <v>0</v>
      </c>
      <c r="L94" s="62">
        <v>0</v>
      </c>
      <c r="M94" s="51" t="s">
        <v>990</v>
      </c>
      <c r="N94" s="54" t="s">
        <v>7</v>
      </c>
      <c r="O94" s="69">
        <v>2.5000000000000006E-4</v>
      </c>
      <c r="P94" s="51" t="s">
        <v>2</v>
      </c>
      <c r="Q94" s="8" t="s">
        <v>562</v>
      </c>
      <c r="R94" s="62">
        <v>0</v>
      </c>
      <c r="S94" s="62">
        <v>0</v>
      </c>
      <c r="T94" s="54" t="s">
        <v>383</v>
      </c>
      <c r="U94" s="127">
        <v>0</v>
      </c>
      <c r="V94" s="115">
        <v>0</v>
      </c>
      <c r="W94" s="115">
        <v>0</v>
      </c>
      <c r="X94" s="115">
        <v>0</v>
      </c>
      <c r="Y94" s="115">
        <v>13.802967816428488</v>
      </c>
      <c r="Z94" s="115">
        <v>401.06412725859315</v>
      </c>
      <c r="AA94" s="132" t="s">
        <v>537</v>
      </c>
      <c r="AB94" s="27">
        <f>$C$34*I94</f>
        <v>7.1999999999999996E-8</v>
      </c>
      <c r="AC94" s="29">
        <f>$C$34*O94</f>
        <v>3.6000000000000005E-7</v>
      </c>
      <c r="AD94" s="135">
        <f t="shared" si="19"/>
        <v>0</v>
      </c>
      <c r="AE94" s="135">
        <f t="shared" si="20"/>
        <v>0</v>
      </c>
      <c r="AF94" s="24">
        <f t="shared" si="21"/>
        <v>1.453768994958764E-4</v>
      </c>
      <c r="AG94" s="24">
        <f t="shared" si="22"/>
        <v>0</v>
      </c>
      <c r="AH94" s="24">
        <f t="shared" si="23"/>
        <v>0</v>
      </c>
      <c r="AI94" s="24">
        <f t="shared" si="24"/>
        <v>9.9381368278285114E-7</v>
      </c>
      <c r="AJ94" s="24">
        <f t="shared" si="25"/>
        <v>0</v>
      </c>
      <c r="AK94" s="24">
        <f t="shared" si="26"/>
        <v>0</v>
      </c>
      <c r="AL94" s="24">
        <f t="shared" si="27"/>
        <v>1.4438308581309355E-4</v>
      </c>
      <c r="AM94" s="161">
        <f t="shared" si="28"/>
        <v>0</v>
      </c>
      <c r="AN94" s="157">
        <f t="shared" si="29"/>
        <v>0</v>
      </c>
      <c r="AO94" s="162">
        <f t="shared" si="30"/>
        <v>1.453768994958764E-4</v>
      </c>
    </row>
    <row r="95" spans="1:41" s="8" customFormat="1" ht="15" customHeight="1" x14ac:dyDescent="0.2">
      <c r="A95" s="68" t="s">
        <v>384</v>
      </c>
      <c r="B95" s="54" t="s">
        <v>385</v>
      </c>
      <c r="C95" s="51">
        <v>0.75</v>
      </c>
      <c r="D95" s="51" t="s">
        <v>2</v>
      </c>
      <c r="E95" s="62" t="s">
        <v>386</v>
      </c>
      <c r="F95" s="62">
        <v>0</v>
      </c>
      <c r="G95" s="52" t="s">
        <v>387</v>
      </c>
      <c r="H95" s="51" t="s">
        <v>6</v>
      </c>
      <c r="I95" s="51">
        <v>7.5000000000000002E-4</v>
      </c>
      <c r="J95" s="51" t="s">
        <v>2</v>
      </c>
      <c r="K95" s="51">
        <v>0</v>
      </c>
      <c r="L95" s="62">
        <v>0</v>
      </c>
      <c r="M95" s="52" t="s">
        <v>387</v>
      </c>
      <c r="N95" s="51" t="s">
        <v>7</v>
      </c>
      <c r="O95" s="69">
        <v>3.7500000000000007E-3</v>
      </c>
      <c r="P95" s="51" t="s">
        <v>2</v>
      </c>
      <c r="Q95" s="8" t="s">
        <v>562</v>
      </c>
      <c r="R95" s="62">
        <v>0</v>
      </c>
      <c r="S95" s="62">
        <v>0</v>
      </c>
      <c r="T95" s="53" t="s">
        <v>388</v>
      </c>
      <c r="U95" s="127">
        <v>2.3250974052490423E-6</v>
      </c>
      <c r="V95" s="115">
        <v>3.6419621494691573E-7</v>
      </c>
      <c r="W95" s="115">
        <v>1.7961299223192751E-6</v>
      </c>
      <c r="X95" s="115">
        <v>2.8134035063856268E-7</v>
      </c>
      <c r="Y95" s="115">
        <v>10.290742530418507</v>
      </c>
      <c r="Z95" s="115">
        <v>34.995514714186051</v>
      </c>
      <c r="AA95" s="132" t="s">
        <v>538</v>
      </c>
      <c r="AB95" s="27">
        <f>$C$35*I95</f>
        <v>1.6199999999999997E-7</v>
      </c>
      <c r="AC95" s="29">
        <f>$C$35*O95</f>
        <v>8.0999999999999997E-7</v>
      </c>
      <c r="AD95" s="135">
        <f t="shared" si="19"/>
        <v>1.8315310167289574E-12</v>
      </c>
      <c r="AE95" s="135">
        <f t="shared" si="20"/>
        <v>2.8688547083863611E-13</v>
      </c>
      <c r="AF95" s="24">
        <f t="shared" si="21"/>
        <v>3.0013467208418497E-5</v>
      </c>
      <c r="AG95" s="24">
        <f t="shared" si="22"/>
        <v>3.7666577965034476E-13</v>
      </c>
      <c r="AH95" s="24">
        <f t="shared" si="23"/>
        <v>5.8999786821400334E-14</v>
      </c>
      <c r="AI95" s="24">
        <f t="shared" si="24"/>
        <v>1.6671002899277977E-6</v>
      </c>
      <c r="AJ95" s="24">
        <f t="shared" si="25"/>
        <v>1.4548652370786128E-12</v>
      </c>
      <c r="AK95" s="24">
        <f t="shared" si="26"/>
        <v>2.2788568401723579E-13</v>
      </c>
      <c r="AL95" s="24">
        <f t="shared" si="27"/>
        <v>2.83463669184907E-5</v>
      </c>
      <c r="AM95" s="161">
        <f t="shared" si="28"/>
        <v>1.8315310167289574E-12</v>
      </c>
      <c r="AN95" s="157">
        <f t="shared" si="29"/>
        <v>2.8688547083863611E-13</v>
      </c>
      <c r="AO95" s="162">
        <f t="shared" si="30"/>
        <v>3.0013467208418497E-5</v>
      </c>
    </row>
    <row r="96" spans="1:41" s="8" customFormat="1" ht="15" customHeight="1" x14ac:dyDescent="0.2">
      <c r="A96" s="68" t="s">
        <v>151</v>
      </c>
      <c r="B96" s="54" t="s">
        <v>402</v>
      </c>
      <c r="C96" s="74">
        <v>1</v>
      </c>
      <c r="D96" s="51" t="s">
        <v>2</v>
      </c>
      <c r="E96" s="64">
        <v>1</v>
      </c>
      <c r="F96" s="64">
        <v>0</v>
      </c>
      <c r="G96" s="51" t="s">
        <v>12</v>
      </c>
      <c r="H96" s="54">
        <v>0</v>
      </c>
      <c r="I96" s="69">
        <v>0</v>
      </c>
      <c r="J96" s="51">
        <v>0</v>
      </c>
      <c r="K96" s="51">
        <v>0</v>
      </c>
      <c r="L96" s="64">
        <v>0</v>
      </c>
      <c r="M96" s="53" t="s">
        <v>402</v>
      </c>
      <c r="N96" s="51" t="s">
        <v>7</v>
      </c>
      <c r="O96" s="69">
        <v>0.1</v>
      </c>
      <c r="P96" s="51" t="s">
        <v>2</v>
      </c>
      <c r="Q96" s="51">
        <v>0</v>
      </c>
      <c r="R96" s="64">
        <v>0</v>
      </c>
      <c r="S96" s="64">
        <v>0</v>
      </c>
      <c r="T96" s="54" t="s">
        <v>403</v>
      </c>
      <c r="U96" s="127">
        <v>0</v>
      </c>
      <c r="V96" s="115">
        <v>0</v>
      </c>
      <c r="W96" s="115">
        <v>0</v>
      </c>
      <c r="X96" s="115">
        <v>0</v>
      </c>
      <c r="Y96" s="115">
        <v>22</v>
      </c>
      <c r="Z96" s="115">
        <v>51.7</v>
      </c>
      <c r="AA96" s="132" t="s">
        <v>539</v>
      </c>
      <c r="AB96" s="27">
        <f>$C$36*I96</f>
        <v>0</v>
      </c>
      <c r="AC96" s="29">
        <f>$C$36*O96</f>
        <v>1.44E-4</v>
      </c>
      <c r="AD96" s="135">
        <f t="shared" si="19"/>
        <v>0</v>
      </c>
      <c r="AE96" s="135">
        <f t="shared" si="20"/>
        <v>0</v>
      </c>
      <c r="AF96" s="24">
        <f t="shared" si="21"/>
        <v>7.4448000000000005E-3</v>
      </c>
      <c r="AG96" s="24">
        <f t="shared" si="22"/>
        <v>0</v>
      </c>
      <c r="AH96" s="24">
        <f t="shared" si="23"/>
        <v>0</v>
      </c>
      <c r="AI96" s="24">
        <f t="shared" si="24"/>
        <v>0</v>
      </c>
      <c r="AJ96" s="24">
        <f t="shared" si="25"/>
        <v>0</v>
      </c>
      <c r="AK96" s="24">
        <f t="shared" si="26"/>
        <v>0</v>
      </c>
      <c r="AL96" s="24">
        <f t="shared" si="27"/>
        <v>7.4448000000000005E-3</v>
      </c>
      <c r="AM96" s="161">
        <f t="shared" si="28"/>
        <v>0</v>
      </c>
      <c r="AN96" s="157">
        <f t="shared" si="29"/>
        <v>0</v>
      </c>
      <c r="AO96" s="162">
        <f t="shared" si="30"/>
        <v>7.4448000000000005E-3</v>
      </c>
    </row>
    <row r="97" spans="1:41" s="8" customFormat="1" ht="15" customHeight="1" x14ac:dyDescent="0.2">
      <c r="A97" s="70" t="s">
        <v>1045</v>
      </c>
      <c r="B97" s="54" t="s">
        <v>360</v>
      </c>
      <c r="C97" s="51">
        <v>0.5</v>
      </c>
      <c r="D97" s="51" t="s">
        <v>2</v>
      </c>
      <c r="E97" s="65" t="s">
        <v>361</v>
      </c>
      <c r="F97" s="65">
        <v>0</v>
      </c>
      <c r="G97" s="51" t="s">
        <v>12</v>
      </c>
      <c r="H97" s="51">
        <v>0</v>
      </c>
      <c r="I97" s="69">
        <v>0</v>
      </c>
      <c r="J97" s="51">
        <v>0</v>
      </c>
      <c r="K97" s="51" t="s">
        <v>362</v>
      </c>
      <c r="L97" s="65">
        <v>0</v>
      </c>
      <c r="M97" s="51" t="s">
        <v>360</v>
      </c>
      <c r="N97" s="51" t="s">
        <v>7</v>
      </c>
      <c r="O97" s="69">
        <v>2.5000000000000005E-3</v>
      </c>
      <c r="P97" s="51" t="s">
        <v>2</v>
      </c>
      <c r="Q97" s="8" t="s">
        <v>562</v>
      </c>
      <c r="R97" s="65">
        <v>0</v>
      </c>
      <c r="S97" s="65">
        <v>0</v>
      </c>
      <c r="T97" s="53" t="s">
        <v>363</v>
      </c>
      <c r="U97" s="128">
        <v>0</v>
      </c>
      <c r="V97" s="115">
        <v>4.8150971100649583E-7</v>
      </c>
      <c r="W97" s="125">
        <v>0</v>
      </c>
      <c r="X97" s="115">
        <v>3.4017420676238008E-5</v>
      </c>
      <c r="Y97" s="115">
        <v>0.21984397801517921</v>
      </c>
      <c r="Z97" s="115">
        <v>16.35619356945876</v>
      </c>
      <c r="AA97" s="132" t="s">
        <v>538</v>
      </c>
      <c r="AB97" s="27">
        <f t="shared" ref="AB97:AB102" si="35">$C$37*I97</f>
        <v>0</v>
      </c>
      <c r="AC97" s="29">
        <f>$C$37*O97</f>
        <v>1.8000000000000001E-4</v>
      </c>
      <c r="AD97" s="135">
        <f t="shared" si="19"/>
        <v>0</v>
      </c>
      <c r="AE97" s="135">
        <f t="shared" si="20"/>
        <v>6.1231357217228422E-9</v>
      </c>
      <c r="AF97" s="24">
        <f t="shared" si="21"/>
        <v>2.9441148425025771E-3</v>
      </c>
      <c r="AG97" s="24">
        <f t="shared" si="22"/>
        <v>0</v>
      </c>
      <c r="AH97" s="24">
        <f t="shared" si="23"/>
        <v>0</v>
      </c>
      <c r="AI97" s="24">
        <f t="shared" si="24"/>
        <v>0</v>
      </c>
      <c r="AJ97" s="24">
        <f t="shared" si="25"/>
        <v>0</v>
      </c>
      <c r="AK97" s="24">
        <f t="shared" si="26"/>
        <v>6.1231357217228422E-9</v>
      </c>
      <c r="AL97" s="24">
        <f t="shared" si="27"/>
        <v>2.9441148425025771E-3</v>
      </c>
      <c r="AM97" s="161">
        <f t="shared" si="28"/>
        <v>0</v>
      </c>
      <c r="AN97" s="157">
        <f t="shared" si="29"/>
        <v>6.1231357217228422E-9</v>
      </c>
      <c r="AO97" s="162">
        <f t="shared" si="30"/>
        <v>2.9441148425025771E-3</v>
      </c>
    </row>
    <row r="98" spans="1:41" s="8" customFormat="1" ht="15" customHeight="1" x14ac:dyDescent="0.2">
      <c r="A98" s="70" t="s">
        <v>1045</v>
      </c>
      <c r="B98" s="54" t="s">
        <v>364</v>
      </c>
      <c r="C98" s="75">
        <v>0.03</v>
      </c>
      <c r="D98" s="54" t="s">
        <v>2</v>
      </c>
      <c r="E98" s="65" t="s">
        <v>294</v>
      </c>
      <c r="F98" s="65">
        <v>0</v>
      </c>
      <c r="G98" s="53" t="s">
        <v>364</v>
      </c>
      <c r="H98" s="54" t="s">
        <v>6</v>
      </c>
      <c r="I98" s="69">
        <v>3.0000000000000001E-5</v>
      </c>
      <c r="J98" s="54" t="s">
        <v>2</v>
      </c>
      <c r="K98" s="51">
        <v>0</v>
      </c>
      <c r="L98" s="65">
        <v>0</v>
      </c>
      <c r="M98" s="53" t="s">
        <v>364</v>
      </c>
      <c r="N98" s="50" t="s">
        <v>7</v>
      </c>
      <c r="O98" s="69">
        <v>3.0000000000000001E-3</v>
      </c>
      <c r="P98" s="54">
        <v>0</v>
      </c>
      <c r="Q98" s="51">
        <v>0</v>
      </c>
      <c r="R98" s="65">
        <v>0</v>
      </c>
      <c r="S98" s="65">
        <v>0</v>
      </c>
      <c r="T98" s="54" t="s">
        <v>365</v>
      </c>
      <c r="U98" s="127">
        <v>0</v>
      </c>
      <c r="V98" s="115">
        <v>0</v>
      </c>
      <c r="W98" s="115">
        <v>0</v>
      </c>
      <c r="X98" s="115">
        <v>0</v>
      </c>
      <c r="Y98" s="115">
        <v>3.6114752306981606</v>
      </c>
      <c r="Z98" s="115">
        <v>293.57375419425159</v>
      </c>
      <c r="AA98" s="132" t="s">
        <v>537</v>
      </c>
      <c r="AB98" s="27">
        <f t="shared" si="35"/>
        <v>2.1600000000000001E-6</v>
      </c>
      <c r="AC98" s="29">
        <f t="shared" ref="AC98:AC102" si="36">$C$37*O98</f>
        <v>2.1599999999999999E-4</v>
      </c>
      <c r="AD98" s="135">
        <f t="shared" si="19"/>
        <v>0</v>
      </c>
      <c r="AE98" s="135">
        <f t="shared" si="20"/>
        <v>0</v>
      </c>
      <c r="AF98" s="24">
        <f t="shared" si="21"/>
        <v>6.3419731692456655E-2</v>
      </c>
      <c r="AG98" s="24">
        <f t="shared" si="22"/>
        <v>0</v>
      </c>
      <c r="AH98" s="24">
        <f t="shared" si="23"/>
        <v>0</v>
      </c>
      <c r="AI98" s="24">
        <f t="shared" si="24"/>
        <v>7.8007864983080276E-6</v>
      </c>
      <c r="AJ98" s="24">
        <f t="shared" si="25"/>
        <v>0</v>
      </c>
      <c r="AK98" s="24">
        <f t="shared" si="26"/>
        <v>0</v>
      </c>
      <c r="AL98" s="24">
        <f t="shared" si="27"/>
        <v>6.3411930905958341E-2</v>
      </c>
      <c r="AM98" s="161">
        <f t="shared" si="28"/>
        <v>0</v>
      </c>
      <c r="AN98" s="157">
        <f t="shared" si="29"/>
        <v>0</v>
      </c>
      <c r="AO98" s="162">
        <f t="shared" si="30"/>
        <v>6.3419731692456655E-2</v>
      </c>
    </row>
    <row r="99" spans="1:41" s="8" customFormat="1" ht="15" customHeight="1" x14ac:dyDescent="0.2">
      <c r="A99" s="70" t="s">
        <v>1045</v>
      </c>
      <c r="B99" s="54" t="s">
        <v>352</v>
      </c>
      <c r="C99" s="77">
        <v>0</v>
      </c>
      <c r="D99" s="54">
        <v>0</v>
      </c>
      <c r="E99" s="65" t="s">
        <v>353</v>
      </c>
      <c r="F99" s="65">
        <v>0</v>
      </c>
      <c r="G99" s="51" t="s">
        <v>354</v>
      </c>
      <c r="H99" s="54" t="s">
        <v>6</v>
      </c>
      <c r="I99" s="69">
        <v>5.0000000000000002E-5</v>
      </c>
      <c r="J99" s="54" t="s">
        <v>2</v>
      </c>
      <c r="K99" s="51">
        <v>0</v>
      </c>
      <c r="L99" s="65">
        <v>0</v>
      </c>
      <c r="M99" s="51" t="s">
        <v>354</v>
      </c>
      <c r="N99" s="51" t="s">
        <v>7</v>
      </c>
      <c r="O99" s="69">
        <v>5.0000000000000001E-4</v>
      </c>
      <c r="P99" s="51" t="s">
        <v>2</v>
      </c>
      <c r="Q99" s="51" t="s">
        <v>1062</v>
      </c>
      <c r="R99" s="65">
        <v>0</v>
      </c>
      <c r="S99" s="65">
        <v>0</v>
      </c>
      <c r="T99" s="54" t="s">
        <v>355</v>
      </c>
      <c r="U99" s="128">
        <v>0</v>
      </c>
      <c r="V99" s="115">
        <v>5.8729527284859051E-7</v>
      </c>
      <c r="W99" s="125">
        <v>0</v>
      </c>
      <c r="X99" s="115">
        <v>4.9841317466958876E-7</v>
      </c>
      <c r="Y99" s="115">
        <v>0.72430805120024888</v>
      </c>
      <c r="Z99" s="115">
        <v>4.3581145649604585</v>
      </c>
      <c r="AA99" s="132" t="s">
        <v>538</v>
      </c>
      <c r="AB99" s="27">
        <f t="shared" si="35"/>
        <v>3.5999999999999998E-6</v>
      </c>
      <c r="AC99" s="29">
        <f t="shared" si="36"/>
        <v>3.6000000000000001E-5</v>
      </c>
      <c r="AD99" s="135">
        <f t="shared" si="19"/>
        <v>0</v>
      </c>
      <c r="AE99" s="135">
        <f t="shared" si="20"/>
        <v>2.005713727036012E-11</v>
      </c>
      <c r="AF99" s="24">
        <f t="shared" si="21"/>
        <v>1.5949963332289742E-4</v>
      </c>
      <c r="AG99" s="24">
        <f t="shared" si="22"/>
        <v>0</v>
      </c>
      <c r="AH99" s="24">
        <f t="shared" si="23"/>
        <v>2.1142629822549257E-12</v>
      </c>
      <c r="AI99" s="24">
        <f t="shared" si="24"/>
        <v>2.6075089843208959E-6</v>
      </c>
      <c r="AJ99" s="24">
        <f t="shared" si="25"/>
        <v>0</v>
      </c>
      <c r="AK99" s="24">
        <f t="shared" si="26"/>
        <v>1.7942874288105194E-11</v>
      </c>
      <c r="AL99" s="24">
        <f t="shared" si="27"/>
        <v>1.5689212433857652E-4</v>
      </c>
      <c r="AM99" s="161">
        <f t="shared" si="28"/>
        <v>0</v>
      </c>
      <c r="AN99" s="157">
        <f t="shared" si="29"/>
        <v>2.005713727036012E-11</v>
      </c>
      <c r="AO99" s="162">
        <f t="shared" si="30"/>
        <v>1.5949963332289742E-4</v>
      </c>
    </row>
    <row r="100" spans="1:41" s="8" customFormat="1" ht="15" customHeight="1" x14ac:dyDescent="0.2">
      <c r="A100" s="70" t="s">
        <v>1045</v>
      </c>
      <c r="B100" s="54" t="s">
        <v>356</v>
      </c>
      <c r="C100" s="78">
        <v>0</v>
      </c>
      <c r="D100" s="54">
        <v>0</v>
      </c>
      <c r="E100" s="62" t="s">
        <v>1062</v>
      </c>
      <c r="F100" s="62">
        <v>0</v>
      </c>
      <c r="G100" s="54" t="s">
        <v>356</v>
      </c>
      <c r="H100" s="54" t="s">
        <v>6</v>
      </c>
      <c r="I100" s="69">
        <v>5.0000000000000004E-6</v>
      </c>
      <c r="J100" s="54" t="s">
        <v>2</v>
      </c>
      <c r="K100" s="51">
        <v>0</v>
      </c>
      <c r="L100" s="62">
        <v>0</v>
      </c>
      <c r="M100" s="54" t="s">
        <v>356</v>
      </c>
      <c r="N100" s="54" t="s">
        <v>7</v>
      </c>
      <c r="O100" s="69">
        <v>5.0000000000000001E-4</v>
      </c>
      <c r="P100" s="54" t="s">
        <v>2</v>
      </c>
      <c r="Q100" s="51" t="s">
        <v>1062</v>
      </c>
      <c r="R100" s="62">
        <v>0</v>
      </c>
      <c r="S100" s="62">
        <v>0</v>
      </c>
      <c r="T100" s="54" t="s">
        <v>357</v>
      </c>
      <c r="U100" s="127">
        <v>1.2989346582460636E-4</v>
      </c>
      <c r="V100" s="115">
        <v>6.0532463000159839E-8</v>
      </c>
      <c r="W100" s="115">
        <v>4.1441705731287989E-5</v>
      </c>
      <c r="X100" s="115">
        <v>1.9312507391480285E-8</v>
      </c>
      <c r="Y100" s="115">
        <v>16.293115472362601</v>
      </c>
      <c r="Z100" s="115">
        <v>462.56767404636184</v>
      </c>
      <c r="AA100" s="132" t="s">
        <v>539</v>
      </c>
      <c r="AB100" s="27">
        <f t="shared" si="35"/>
        <v>3.5999999999999999E-7</v>
      </c>
      <c r="AC100" s="29">
        <f t="shared" si="36"/>
        <v>3.6000000000000001E-5</v>
      </c>
      <c r="AD100" s="135">
        <f t="shared" si="19"/>
        <v>1.538663054023226E-9</v>
      </c>
      <c r="AE100" s="135">
        <f t="shared" si="20"/>
        <v>7.1704195277334783E-13</v>
      </c>
      <c r="AF100" s="24">
        <f t="shared" si="21"/>
        <v>1.665830178723908E-2</v>
      </c>
      <c r="AG100" s="24">
        <f t="shared" si="22"/>
        <v>4.676164769685829E-11</v>
      </c>
      <c r="AH100" s="24">
        <f t="shared" si="23"/>
        <v>2.1791686680057543E-14</v>
      </c>
      <c r="AI100" s="24">
        <f t="shared" si="24"/>
        <v>5.8655215700505358E-6</v>
      </c>
      <c r="AJ100" s="24">
        <f t="shared" si="25"/>
        <v>1.4919014063263677E-9</v>
      </c>
      <c r="AK100" s="24">
        <f t="shared" si="26"/>
        <v>6.9525026609329029E-13</v>
      </c>
      <c r="AL100" s="24">
        <f t="shared" si="27"/>
        <v>1.6652436265669028E-2</v>
      </c>
      <c r="AM100" s="161">
        <f t="shared" si="28"/>
        <v>1.538663054023226E-9</v>
      </c>
      <c r="AN100" s="157">
        <f t="shared" si="29"/>
        <v>7.1704195277334783E-13</v>
      </c>
      <c r="AO100" s="162">
        <f t="shared" si="30"/>
        <v>1.665830178723908E-2</v>
      </c>
    </row>
    <row r="101" spans="1:41" s="8" customFormat="1" ht="15" customHeight="1" x14ac:dyDescent="0.2">
      <c r="A101" s="70" t="s">
        <v>1045</v>
      </c>
      <c r="B101" s="54" t="s">
        <v>358</v>
      </c>
      <c r="C101" s="78">
        <v>0</v>
      </c>
      <c r="D101" s="54">
        <v>0</v>
      </c>
      <c r="E101" s="62" t="s">
        <v>1062</v>
      </c>
      <c r="F101" s="62">
        <v>0</v>
      </c>
      <c r="G101" s="54" t="s">
        <v>358</v>
      </c>
      <c r="H101" s="54" t="s">
        <v>6</v>
      </c>
      <c r="I101" s="69">
        <v>5.0000000000000004E-6</v>
      </c>
      <c r="J101" s="54" t="s">
        <v>2</v>
      </c>
      <c r="K101" s="51">
        <v>0</v>
      </c>
      <c r="L101" s="62">
        <v>0</v>
      </c>
      <c r="M101" s="54" t="s">
        <v>358</v>
      </c>
      <c r="N101" s="54" t="s">
        <v>7</v>
      </c>
      <c r="O101" s="69">
        <v>5.0000000000000001E-4</v>
      </c>
      <c r="P101" s="54" t="s">
        <v>2</v>
      </c>
      <c r="Q101" s="51" t="s">
        <v>1062</v>
      </c>
      <c r="R101" s="62">
        <v>0</v>
      </c>
      <c r="S101" s="62">
        <v>0</v>
      </c>
      <c r="T101" s="54" t="s">
        <v>359</v>
      </c>
      <c r="U101" s="127">
        <v>0</v>
      </c>
      <c r="V101" s="115">
        <v>0</v>
      </c>
      <c r="W101" s="115">
        <v>0</v>
      </c>
      <c r="X101" s="115">
        <v>0</v>
      </c>
      <c r="Y101" s="115">
        <v>22.652229020966026</v>
      </c>
      <c r="Z101" s="115">
        <v>215359.14100115595</v>
      </c>
      <c r="AA101" s="132" t="s">
        <v>537</v>
      </c>
      <c r="AB101" s="27">
        <f t="shared" si="35"/>
        <v>3.5999999999999999E-7</v>
      </c>
      <c r="AC101" s="29">
        <f t="shared" si="36"/>
        <v>3.6000000000000001E-5</v>
      </c>
      <c r="AD101" s="135">
        <f t="shared" si="19"/>
        <v>0</v>
      </c>
      <c r="AE101" s="135">
        <f t="shared" si="20"/>
        <v>0</v>
      </c>
      <c r="AF101" s="24">
        <f t="shared" si="21"/>
        <v>7.7529372308440623</v>
      </c>
      <c r="AG101" s="24">
        <f t="shared" si="22"/>
        <v>0</v>
      </c>
      <c r="AH101" s="24">
        <f t="shared" si="23"/>
        <v>0</v>
      </c>
      <c r="AI101" s="24">
        <f t="shared" si="24"/>
        <v>8.1548024475477698E-6</v>
      </c>
      <c r="AJ101" s="24">
        <f t="shared" si="25"/>
        <v>0</v>
      </c>
      <c r="AK101" s="24">
        <f t="shared" si="26"/>
        <v>0</v>
      </c>
      <c r="AL101" s="24">
        <f t="shared" si="27"/>
        <v>7.7529290760416147</v>
      </c>
      <c r="AM101" s="161">
        <f t="shared" si="28"/>
        <v>0</v>
      </c>
      <c r="AN101" s="157">
        <f t="shared" si="29"/>
        <v>0</v>
      </c>
      <c r="AO101" s="162">
        <f t="shared" si="30"/>
        <v>7.7529372308440623</v>
      </c>
    </row>
    <row r="102" spans="1:41" s="49" customFormat="1" ht="15" customHeight="1" x14ac:dyDescent="0.2">
      <c r="A102" s="136" t="s">
        <v>1045</v>
      </c>
      <c r="B102" s="141" t="s">
        <v>349</v>
      </c>
      <c r="C102" s="173">
        <v>0</v>
      </c>
      <c r="D102" s="141">
        <v>0</v>
      </c>
      <c r="E102" s="174" t="s">
        <v>1372</v>
      </c>
      <c r="F102" s="174">
        <v>0</v>
      </c>
      <c r="G102" s="139" t="s">
        <v>350</v>
      </c>
      <c r="H102" s="141" t="s">
        <v>6</v>
      </c>
      <c r="I102" s="142">
        <v>5.0000000000000004E-6</v>
      </c>
      <c r="J102" s="141" t="s">
        <v>2</v>
      </c>
      <c r="K102" s="139">
        <v>0</v>
      </c>
      <c r="L102" s="174">
        <v>0</v>
      </c>
      <c r="M102" s="139" t="s">
        <v>350</v>
      </c>
      <c r="N102" s="139" t="s">
        <v>7</v>
      </c>
      <c r="O102" s="142">
        <v>5.0000000000000004E-6</v>
      </c>
      <c r="P102" s="139" t="s">
        <v>2</v>
      </c>
      <c r="Q102" s="139" t="s">
        <v>1373</v>
      </c>
      <c r="R102" s="174">
        <v>0</v>
      </c>
      <c r="S102" s="174">
        <v>0</v>
      </c>
      <c r="T102" s="141" t="s">
        <v>351</v>
      </c>
      <c r="U102" s="175">
        <v>0</v>
      </c>
      <c r="V102" s="144">
        <v>2.0329061867301982E-8</v>
      </c>
      <c r="W102" s="176">
        <v>0</v>
      </c>
      <c r="X102" s="144">
        <v>1.6279569562509775E-8</v>
      </c>
      <c r="Y102" s="144">
        <v>0.53651638944850399</v>
      </c>
      <c r="Z102" s="144">
        <v>17.896737771834839</v>
      </c>
      <c r="AA102" s="145" t="s">
        <v>538</v>
      </c>
      <c r="AB102" s="28">
        <f t="shared" si="35"/>
        <v>3.5999999999999999E-7</v>
      </c>
      <c r="AC102" s="146">
        <f t="shared" si="36"/>
        <v>3.5999999999999999E-7</v>
      </c>
      <c r="AD102" s="147">
        <f t="shared" si="19"/>
        <v>0</v>
      </c>
      <c r="AE102" s="147">
        <f t="shared" si="20"/>
        <v>1.3179107314732233E-14</v>
      </c>
      <c r="AF102" s="25">
        <f t="shared" si="21"/>
        <v>6.6359714980620039E-6</v>
      </c>
      <c r="AG102" s="25">
        <f t="shared" si="22"/>
        <v>0</v>
      </c>
      <c r="AH102" s="25">
        <f t="shared" si="23"/>
        <v>7.3184622722287133E-15</v>
      </c>
      <c r="AI102" s="25">
        <f t="shared" si="24"/>
        <v>1.9314590020146142E-7</v>
      </c>
      <c r="AJ102" s="25">
        <f t="shared" si="25"/>
        <v>0</v>
      </c>
      <c r="AK102" s="25">
        <f t="shared" si="26"/>
        <v>5.8606450425035191E-15</v>
      </c>
      <c r="AL102" s="25">
        <f t="shared" si="27"/>
        <v>6.4428255978605422E-6</v>
      </c>
      <c r="AM102" s="163">
        <f t="shared" si="28"/>
        <v>0</v>
      </c>
      <c r="AN102" s="164">
        <f t="shared" si="29"/>
        <v>1.3179107314732233E-14</v>
      </c>
      <c r="AO102" s="165">
        <f t="shared" si="30"/>
        <v>6.6359714980620039E-6</v>
      </c>
    </row>
    <row r="103" spans="1:41" s="8" customFormat="1" ht="15" customHeight="1" x14ac:dyDescent="0.2">
      <c r="A103" s="68" t="s">
        <v>59</v>
      </c>
      <c r="B103" s="54" t="s">
        <v>30</v>
      </c>
      <c r="C103" s="51">
        <v>0.1</v>
      </c>
      <c r="D103" s="51" t="s">
        <v>2</v>
      </c>
      <c r="E103" s="62" t="s">
        <v>294</v>
      </c>
      <c r="F103" s="62">
        <v>0</v>
      </c>
      <c r="G103" s="51" t="s">
        <v>12</v>
      </c>
      <c r="H103" s="51">
        <v>0</v>
      </c>
      <c r="I103" s="51">
        <v>0</v>
      </c>
      <c r="J103" s="51">
        <v>0</v>
      </c>
      <c r="K103" s="51">
        <v>0</v>
      </c>
      <c r="L103" s="62">
        <v>0</v>
      </c>
      <c r="M103" s="51" t="s">
        <v>30</v>
      </c>
      <c r="N103" s="51" t="s">
        <v>7</v>
      </c>
      <c r="O103" s="69">
        <v>9.9000000000000008E-3</v>
      </c>
      <c r="P103" s="51" t="s">
        <v>2</v>
      </c>
      <c r="Q103" s="8" t="s">
        <v>1367</v>
      </c>
      <c r="R103" s="62">
        <v>0</v>
      </c>
      <c r="S103" s="62">
        <v>0</v>
      </c>
      <c r="T103" s="80" t="s">
        <v>34</v>
      </c>
      <c r="U103" s="127">
        <v>0</v>
      </c>
      <c r="V103" s="115">
        <v>0</v>
      </c>
      <c r="W103" s="115">
        <v>0</v>
      </c>
      <c r="X103" s="115">
        <v>0</v>
      </c>
      <c r="Y103" s="129">
        <v>7.06</v>
      </c>
      <c r="Z103" s="129">
        <v>78.599999999999994</v>
      </c>
      <c r="AA103" s="132" t="s">
        <v>539</v>
      </c>
      <c r="AB103" s="27">
        <f>$C$38*I103</f>
        <v>0</v>
      </c>
      <c r="AC103" s="29">
        <f>$C$38*O103</f>
        <v>4.1579999999999997E-4</v>
      </c>
      <c r="AD103" s="135">
        <f t="shared" si="19"/>
        <v>0</v>
      </c>
      <c r="AE103" s="135">
        <f t="shared" si="20"/>
        <v>0</v>
      </c>
      <c r="AF103" s="24">
        <f t="shared" si="21"/>
        <v>3.2681879999999996E-2</v>
      </c>
      <c r="AG103" s="24">
        <f t="shared" si="22"/>
        <v>0</v>
      </c>
      <c r="AH103" s="24">
        <f t="shared" si="23"/>
        <v>0</v>
      </c>
      <c r="AI103" s="24">
        <f t="shared" si="24"/>
        <v>0</v>
      </c>
      <c r="AJ103" s="24">
        <f t="shared" si="25"/>
        <v>0</v>
      </c>
      <c r="AK103" s="24">
        <f t="shared" si="26"/>
        <v>0</v>
      </c>
      <c r="AL103" s="24">
        <f t="shared" si="27"/>
        <v>3.2681879999999996E-2</v>
      </c>
      <c r="AM103" s="161">
        <f t="shared" si="28"/>
        <v>0</v>
      </c>
      <c r="AN103" s="157">
        <f t="shared" si="29"/>
        <v>0</v>
      </c>
      <c r="AO103" s="162">
        <f t="shared" si="30"/>
        <v>3.2681879999999996E-2</v>
      </c>
    </row>
    <row r="104" spans="1:41" s="8" customFormat="1" ht="15" customHeight="1" x14ac:dyDescent="0.2">
      <c r="A104" s="68" t="s">
        <v>59</v>
      </c>
      <c r="B104" s="54" t="s">
        <v>15</v>
      </c>
      <c r="C104" s="51">
        <v>0.25</v>
      </c>
      <c r="D104" s="51" t="s">
        <v>2</v>
      </c>
      <c r="E104" s="62" t="s">
        <v>294</v>
      </c>
      <c r="F104" s="62">
        <v>0</v>
      </c>
      <c r="G104" s="51" t="s">
        <v>12</v>
      </c>
      <c r="H104" s="51">
        <v>0</v>
      </c>
      <c r="I104" s="69">
        <v>0</v>
      </c>
      <c r="J104" s="51">
        <v>0</v>
      </c>
      <c r="K104" s="51">
        <v>0</v>
      </c>
      <c r="L104" s="62">
        <v>0</v>
      </c>
      <c r="M104" s="51" t="s">
        <v>15</v>
      </c>
      <c r="N104" s="51" t="s">
        <v>7</v>
      </c>
      <c r="O104" s="69">
        <v>2.5000000000000001E-2</v>
      </c>
      <c r="P104" s="51" t="s">
        <v>2</v>
      </c>
      <c r="Q104" s="51">
        <v>0</v>
      </c>
      <c r="R104" s="62">
        <v>0</v>
      </c>
      <c r="S104" s="62">
        <v>0</v>
      </c>
      <c r="T104" s="54" t="s">
        <v>13</v>
      </c>
      <c r="U104" s="127">
        <v>0</v>
      </c>
      <c r="V104" s="115">
        <v>1.2009414857886904E-7</v>
      </c>
      <c r="W104" s="115">
        <v>0</v>
      </c>
      <c r="X104" s="115">
        <v>3.2843909509658706E-7</v>
      </c>
      <c r="Y104" s="115">
        <v>14.526941022240393</v>
      </c>
      <c r="Z104" s="115">
        <v>111.251141519207</v>
      </c>
      <c r="AA104" s="132" t="s">
        <v>538</v>
      </c>
      <c r="AB104" s="27">
        <f t="shared" ref="AB104:AB108" si="37">$C$38*I104</f>
        <v>0</v>
      </c>
      <c r="AC104" s="29">
        <f t="shared" ref="AC104:AC108" si="38">$C$38*O104</f>
        <v>1.0499999999999999E-3</v>
      </c>
      <c r="AD104" s="135">
        <f t="shared" si="19"/>
        <v>0</v>
      </c>
      <c r="AE104" s="135">
        <f t="shared" si="20"/>
        <v>3.448610498514164E-10</v>
      </c>
      <c r="AF104" s="24">
        <f t="shared" si="21"/>
        <v>0.11681369859516734</v>
      </c>
      <c r="AG104" s="24">
        <f t="shared" si="22"/>
        <v>0</v>
      </c>
      <c r="AH104" s="24">
        <f t="shared" si="23"/>
        <v>0</v>
      </c>
      <c r="AI104" s="24">
        <f t="shared" si="24"/>
        <v>0</v>
      </c>
      <c r="AJ104" s="24">
        <f t="shared" si="25"/>
        <v>0</v>
      </c>
      <c r="AK104" s="24">
        <f t="shared" si="26"/>
        <v>3.448610498514164E-10</v>
      </c>
      <c r="AL104" s="24">
        <f t="shared" si="27"/>
        <v>0.11681369859516734</v>
      </c>
      <c r="AM104" s="161">
        <f t="shared" si="28"/>
        <v>0</v>
      </c>
      <c r="AN104" s="157">
        <f t="shared" si="29"/>
        <v>3.448610498514164E-10</v>
      </c>
      <c r="AO104" s="162">
        <f t="shared" si="30"/>
        <v>0.11681369859516734</v>
      </c>
    </row>
    <row r="105" spans="1:41" s="8" customFormat="1" ht="15" customHeight="1" x14ac:dyDescent="0.2">
      <c r="A105" s="68" t="s">
        <v>59</v>
      </c>
      <c r="B105" s="54" t="s">
        <v>16</v>
      </c>
      <c r="C105" s="51">
        <v>0.1</v>
      </c>
      <c r="D105" s="51" t="s">
        <v>2</v>
      </c>
      <c r="E105" s="62" t="s">
        <v>294</v>
      </c>
      <c r="F105" s="62">
        <v>0</v>
      </c>
      <c r="G105" s="51" t="s">
        <v>12</v>
      </c>
      <c r="H105" s="51">
        <v>0</v>
      </c>
      <c r="I105" s="69">
        <v>0</v>
      </c>
      <c r="J105" s="51">
        <v>0</v>
      </c>
      <c r="K105" s="51">
        <v>0</v>
      </c>
      <c r="L105" s="62">
        <v>0</v>
      </c>
      <c r="M105" s="51" t="s">
        <v>69</v>
      </c>
      <c r="N105" s="51" t="s">
        <v>7</v>
      </c>
      <c r="O105" s="69">
        <v>1.0000000000000002E-2</v>
      </c>
      <c r="P105" s="51" t="s">
        <v>2</v>
      </c>
      <c r="Q105" s="51">
        <v>0</v>
      </c>
      <c r="R105" s="62">
        <v>0</v>
      </c>
      <c r="S105" s="62">
        <v>0</v>
      </c>
      <c r="T105" s="54" t="s">
        <v>17</v>
      </c>
      <c r="U105" s="127">
        <v>0</v>
      </c>
      <c r="V105" s="115">
        <v>0</v>
      </c>
      <c r="W105" s="115">
        <v>0</v>
      </c>
      <c r="X105" s="115">
        <v>0</v>
      </c>
      <c r="Y105" s="115">
        <v>47</v>
      </c>
      <c r="Z105" s="115">
        <v>913</v>
      </c>
      <c r="AA105" s="132" t="s">
        <v>539</v>
      </c>
      <c r="AB105" s="27">
        <f t="shared" si="37"/>
        <v>0</v>
      </c>
      <c r="AC105" s="29">
        <f t="shared" si="38"/>
        <v>4.2000000000000002E-4</v>
      </c>
      <c r="AD105" s="135">
        <f t="shared" si="19"/>
        <v>0</v>
      </c>
      <c r="AE105" s="135">
        <f t="shared" si="20"/>
        <v>0</v>
      </c>
      <c r="AF105" s="24">
        <f t="shared" si="21"/>
        <v>0.38346000000000002</v>
      </c>
      <c r="AG105" s="24">
        <f t="shared" si="22"/>
        <v>0</v>
      </c>
      <c r="AH105" s="24">
        <f t="shared" si="23"/>
        <v>0</v>
      </c>
      <c r="AI105" s="24">
        <f t="shared" si="24"/>
        <v>0</v>
      </c>
      <c r="AJ105" s="24">
        <f t="shared" si="25"/>
        <v>0</v>
      </c>
      <c r="AK105" s="24">
        <f t="shared" si="26"/>
        <v>0</v>
      </c>
      <c r="AL105" s="24">
        <f t="shared" si="27"/>
        <v>0.38346000000000002</v>
      </c>
      <c r="AM105" s="161">
        <f t="shared" si="28"/>
        <v>0</v>
      </c>
      <c r="AN105" s="157">
        <f t="shared" si="29"/>
        <v>0</v>
      </c>
      <c r="AO105" s="162">
        <f t="shared" si="30"/>
        <v>0.38346000000000002</v>
      </c>
    </row>
    <row r="106" spans="1:41" s="8" customFormat="1" ht="15" customHeight="1" x14ac:dyDescent="0.2">
      <c r="A106" s="68" t="s">
        <v>59</v>
      </c>
      <c r="B106" s="54" t="s">
        <v>18</v>
      </c>
      <c r="C106" s="51">
        <v>0.05</v>
      </c>
      <c r="D106" s="51" t="s">
        <v>2</v>
      </c>
      <c r="E106" s="62" t="s">
        <v>294</v>
      </c>
      <c r="F106" s="62">
        <v>0</v>
      </c>
      <c r="G106" s="51" t="s">
        <v>12</v>
      </c>
      <c r="H106" s="51">
        <v>0</v>
      </c>
      <c r="I106" s="69">
        <v>0</v>
      </c>
      <c r="J106" s="51">
        <v>0</v>
      </c>
      <c r="K106" s="51">
        <v>0</v>
      </c>
      <c r="L106" s="62">
        <v>0</v>
      </c>
      <c r="M106" s="51" t="s">
        <v>18</v>
      </c>
      <c r="N106" s="51" t="s">
        <v>7</v>
      </c>
      <c r="O106" s="69">
        <v>5.000000000000001E-3</v>
      </c>
      <c r="P106" s="51" t="s">
        <v>2</v>
      </c>
      <c r="Q106" s="51">
        <v>0</v>
      </c>
      <c r="R106" s="62">
        <v>0</v>
      </c>
      <c r="S106" s="62">
        <v>0</v>
      </c>
      <c r="T106" s="54" t="s">
        <v>14</v>
      </c>
      <c r="U106" s="127">
        <v>0</v>
      </c>
      <c r="V106" s="115">
        <v>0</v>
      </c>
      <c r="W106" s="115">
        <v>0</v>
      </c>
      <c r="X106" s="115">
        <v>0</v>
      </c>
      <c r="Y106" s="115">
        <v>109.72</v>
      </c>
      <c r="Z106" s="115">
        <v>110</v>
      </c>
      <c r="AA106" s="132" t="s">
        <v>539</v>
      </c>
      <c r="AB106" s="27">
        <f t="shared" si="37"/>
        <v>0</v>
      </c>
      <c r="AC106" s="29">
        <f t="shared" si="38"/>
        <v>2.1000000000000001E-4</v>
      </c>
      <c r="AD106" s="135">
        <f t="shared" si="19"/>
        <v>0</v>
      </c>
      <c r="AE106" s="135">
        <f t="shared" si="20"/>
        <v>0</v>
      </c>
      <c r="AF106" s="24">
        <f t="shared" si="21"/>
        <v>2.3100000000000002E-2</v>
      </c>
      <c r="AG106" s="24">
        <f t="shared" si="22"/>
        <v>0</v>
      </c>
      <c r="AH106" s="24">
        <f t="shared" si="23"/>
        <v>0</v>
      </c>
      <c r="AI106" s="24">
        <f t="shared" si="24"/>
        <v>0</v>
      </c>
      <c r="AJ106" s="24">
        <f t="shared" si="25"/>
        <v>0</v>
      </c>
      <c r="AK106" s="24">
        <f t="shared" si="26"/>
        <v>0</v>
      </c>
      <c r="AL106" s="24">
        <f t="shared" si="27"/>
        <v>2.3100000000000002E-2</v>
      </c>
      <c r="AM106" s="161">
        <f t="shared" si="28"/>
        <v>0</v>
      </c>
      <c r="AN106" s="157">
        <f t="shared" si="29"/>
        <v>0</v>
      </c>
      <c r="AO106" s="162">
        <f t="shared" si="30"/>
        <v>2.3100000000000002E-2</v>
      </c>
    </row>
    <row r="107" spans="1:41" s="8" customFormat="1" ht="15" customHeight="1" x14ac:dyDescent="0.2">
      <c r="A107" s="68" t="s">
        <v>59</v>
      </c>
      <c r="B107" s="50" t="s">
        <v>39</v>
      </c>
      <c r="C107" s="51">
        <v>0</v>
      </c>
      <c r="D107" s="51">
        <v>0</v>
      </c>
      <c r="E107" s="62" t="s">
        <v>1369</v>
      </c>
      <c r="F107" s="62">
        <v>0</v>
      </c>
      <c r="G107" s="51" t="s">
        <v>39</v>
      </c>
      <c r="H107" s="51" t="s">
        <v>6</v>
      </c>
      <c r="I107" s="69">
        <v>1.0000000000000001E-7</v>
      </c>
      <c r="J107" s="51" t="s">
        <v>2</v>
      </c>
      <c r="K107" s="54">
        <v>0</v>
      </c>
      <c r="L107" s="62">
        <v>0</v>
      </c>
      <c r="M107" s="51" t="s">
        <v>39</v>
      </c>
      <c r="N107" s="51" t="s">
        <v>7</v>
      </c>
      <c r="O107" s="69">
        <v>1.0000000000000001E-5</v>
      </c>
      <c r="P107" s="51" t="s">
        <v>2</v>
      </c>
      <c r="Q107" s="54" t="s">
        <v>295</v>
      </c>
      <c r="R107" s="62">
        <v>0</v>
      </c>
      <c r="S107" s="62">
        <v>0</v>
      </c>
      <c r="T107" s="54" t="s">
        <v>60</v>
      </c>
      <c r="U107" s="127">
        <v>1.0252176328593382E-6</v>
      </c>
      <c r="V107" s="115">
        <v>0</v>
      </c>
      <c r="W107" s="115">
        <v>8.6533271568247147E-7</v>
      </c>
      <c r="X107" s="115">
        <v>0</v>
      </c>
      <c r="Y107" s="115">
        <v>0.65406517859613422</v>
      </c>
      <c r="Z107" s="115">
        <v>11.248588270889815</v>
      </c>
      <c r="AA107" s="132" t="s">
        <v>537</v>
      </c>
      <c r="AB107" s="27">
        <f t="shared" si="37"/>
        <v>4.1999999999999996E-9</v>
      </c>
      <c r="AC107" s="29">
        <f t="shared" si="38"/>
        <v>4.2E-7</v>
      </c>
      <c r="AD107" s="135">
        <f t="shared" si="19"/>
        <v>3.677456546446472E-13</v>
      </c>
      <c r="AE107" s="135">
        <f t="shared" si="20"/>
        <v>0</v>
      </c>
      <c r="AF107" s="24">
        <f t="shared" si="21"/>
        <v>4.7271541475238264E-6</v>
      </c>
      <c r="AG107" s="24">
        <f t="shared" si="22"/>
        <v>4.3059140580092202E-15</v>
      </c>
      <c r="AH107" s="24">
        <f t="shared" si="23"/>
        <v>0</v>
      </c>
      <c r="AI107" s="24">
        <f t="shared" si="24"/>
        <v>2.7470737501037633E-9</v>
      </c>
      <c r="AJ107" s="24">
        <f t="shared" si="25"/>
        <v>3.63439740586638E-13</v>
      </c>
      <c r="AK107" s="24">
        <f t="shared" si="26"/>
        <v>0</v>
      </c>
      <c r="AL107" s="24">
        <f t="shared" si="27"/>
        <v>4.7244070737737228E-6</v>
      </c>
      <c r="AM107" s="161">
        <f t="shared" si="28"/>
        <v>3.677456546446472E-13</v>
      </c>
      <c r="AN107" s="157">
        <f t="shared" si="29"/>
        <v>0</v>
      </c>
      <c r="AO107" s="162">
        <f t="shared" si="30"/>
        <v>4.7271541475238264E-6</v>
      </c>
    </row>
    <row r="108" spans="1:41" s="8" customFormat="1" ht="15" customHeight="1" x14ac:dyDescent="0.2">
      <c r="A108" s="68" t="s">
        <v>59</v>
      </c>
      <c r="B108" s="54" t="s">
        <v>87</v>
      </c>
      <c r="C108" s="51">
        <v>0</v>
      </c>
      <c r="D108" s="51">
        <v>0</v>
      </c>
      <c r="E108" s="62" t="s">
        <v>1370</v>
      </c>
      <c r="F108" s="62">
        <v>0</v>
      </c>
      <c r="G108" s="51" t="s">
        <v>3</v>
      </c>
      <c r="H108" s="51" t="s">
        <v>6</v>
      </c>
      <c r="I108" s="69">
        <v>1.0000000000000001E-7</v>
      </c>
      <c r="J108" s="51" t="s">
        <v>2</v>
      </c>
      <c r="K108" s="51">
        <v>0</v>
      </c>
      <c r="L108" s="62">
        <v>0</v>
      </c>
      <c r="M108" s="51" t="s">
        <v>3</v>
      </c>
      <c r="N108" s="51" t="s">
        <v>7</v>
      </c>
      <c r="O108" s="69">
        <v>1.0000000000000002E-6</v>
      </c>
      <c r="P108" s="51" t="s">
        <v>2</v>
      </c>
      <c r="Q108" s="51" t="s">
        <v>1371</v>
      </c>
      <c r="R108" s="62">
        <v>0</v>
      </c>
      <c r="S108" s="62">
        <v>0</v>
      </c>
      <c r="T108" s="54" t="s">
        <v>28</v>
      </c>
      <c r="U108" s="127">
        <v>2.5208446330720887E-5</v>
      </c>
      <c r="V108" s="115">
        <v>2.6504960021309262E-7</v>
      </c>
      <c r="W108" s="115">
        <v>1.4222228897488039E-7</v>
      </c>
      <c r="X108" s="115">
        <v>3.170874313501273E-7</v>
      </c>
      <c r="Y108" s="115">
        <v>17.989178582912412</v>
      </c>
      <c r="Z108" s="115">
        <v>290.05086067463066</v>
      </c>
      <c r="AA108" s="132" t="s">
        <v>537</v>
      </c>
      <c r="AB108" s="27">
        <f t="shared" si="37"/>
        <v>4.1999999999999996E-9</v>
      </c>
      <c r="AC108" s="29">
        <f t="shared" si="38"/>
        <v>4.2000000000000006E-8</v>
      </c>
      <c r="AD108" s="135">
        <f t="shared" si="19"/>
        <v>1.118488107259727E-13</v>
      </c>
      <c r="AE108" s="135">
        <f t="shared" si="20"/>
        <v>1.4430880437600336E-14</v>
      </c>
      <c r="AF108" s="24">
        <f t="shared" si="21"/>
        <v>1.2257690698382721E-5</v>
      </c>
      <c r="AG108" s="24">
        <f t="shared" si="22"/>
        <v>1.0587547458902771E-13</v>
      </c>
      <c r="AH108" s="24">
        <f t="shared" si="23"/>
        <v>1.1132083208949888E-15</v>
      </c>
      <c r="AI108" s="24">
        <f t="shared" si="24"/>
        <v>7.555455004823212E-8</v>
      </c>
      <c r="AJ108" s="24">
        <f t="shared" si="25"/>
        <v>5.9733361369449776E-15</v>
      </c>
      <c r="AK108" s="24">
        <f t="shared" si="26"/>
        <v>1.3317672116705349E-14</v>
      </c>
      <c r="AL108" s="24">
        <f t="shared" si="27"/>
        <v>1.2182136148334488E-5</v>
      </c>
      <c r="AM108" s="161">
        <f t="shared" si="28"/>
        <v>1.118488107259727E-13</v>
      </c>
      <c r="AN108" s="157">
        <f t="shared" si="29"/>
        <v>1.4430880437600336E-14</v>
      </c>
      <c r="AO108" s="162">
        <f t="shared" si="30"/>
        <v>1.2257690698382721E-5</v>
      </c>
    </row>
    <row r="109" spans="1:41" s="8" customFormat="1" ht="15" customHeight="1" x14ac:dyDescent="0.2">
      <c r="A109" s="70" t="s">
        <v>308</v>
      </c>
      <c r="B109" s="53" t="s">
        <v>19</v>
      </c>
      <c r="C109" s="74">
        <v>0.3</v>
      </c>
      <c r="D109" s="51" t="s">
        <v>2</v>
      </c>
      <c r="E109" s="62" t="s">
        <v>294</v>
      </c>
      <c r="F109" s="62">
        <v>0</v>
      </c>
      <c r="G109" s="51" t="s">
        <v>65</v>
      </c>
      <c r="H109" s="54" t="s">
        <v>6</v>
      </c>
      <c r="I109" s="69">
        <v>2.9999999999999997E-4</v>
      </c>
      <c r="J109" s="51">
        <v>0</v>
      </c>
      <c r="K109" s="51">
        <v>0</v>
      </c>
      <c r="L109" s="62">
        <v>0</v>
      </c>
      <c r="M109" s="51" t="s">
        <v>65</v>
      </c>
      <c r="N109" s="51" t="s">
        <v>7</v>
      </c>
      <c r="O109" s="69">
        <v>0.03</v>
      </c>
      <c r="P109" s="51" t="s">
        <v>2</v>
      </c>
      <c r="Q109" s="51">
        <v>0</v>
      </c>
      <c r="R109" s="62">
        <v>0</v>
      </c>
      <c r="S109" s="62">
        <v>0</v>
      </c>
      <c r="T109" s="54" t="s">
        <v>20</v>
      </c>
      <c r="U109" s="127">
        <v>0</v>
      </c>
      <c r="V109" s="115">
        <v>2.5624272316803493E-8</v>
      </c>
      <c r="W109" s="115">
        <v>0</v>
      </c>
      <c r="X109" s="115">
        <v>6.1179997974786175E-9</v>
      </c>
      <c r="Y109" s="115">
        <v>95.727827940780713</v>
      </c>
      <c r="Z109" s="115">
        <v>451.93033608164546</v>
      </c>
      <c r="AA109" s="132" t="s">
        <v>538</v>
      </c>
      <c r="AB109" s="27">
        <f>$C$39*I109</f>
        <v>5.0399999999999992E-6</v>
      </c>
      <c r="AC109" s="29">
        <f>$C$39*O109</f>
        <v>5.04E-4</v>
      </c>
      <c r="AD109" s="135">
        <f t="shared" si="19"/>
        <v>0</v>
      </c>
      <c r="AE109" s="135">
        <f t="shared" si="20"/>
        <v>3.2126182304059128E-12</v>
      </c>
      <c r="AF109" s="24">
        <f t="shared" si="21"/>
        <v>0.22825535763797083</v>
      </c>
      <c r="AG109" s="24">
        <f t="shared" si="22"/>
        <v>0</v>
      </c>
      <c r="AH109" s="24">
        <f t="shared" si="23"/>
        <v>1.2914633247668958E-13</v>
      </c>
      <c r="AI109" s="24">
        <f t="shared" si="24"/>
        <v>4.8246825282153471E-4</v>
      </c>
      <c r="AJ109" s="24">
        <f t="shared" si="25"/>
        <v>0</v>
      </c>
      <c r="AK109" s="24">
        <f t="shared" si="26"/>
        <v>3.0834718979292231E-12</v>
      </c>
      <c r="AL109" s="24">
        <f t="shared" si="27"/>
        <v>0.22777288938514931</v>
      </c>
      <c r="AM109" s="161">
        <f t="shared" si="28"/>
        <v>0</v>
      </c>
      <c r="AN109" s="157">
        <f t="shared" si="29"/>
        <v>3.2126182304059128E-12</v>
      </c>
      <c r="AO109" s="162">
        <f t="shared" si="30"/>
        <v>0.22825535763797083</v>
      </c>
    </row>
    <row r="110" spans="1:41" s="8" customFormat="1" ht="15" customHeight="1" x14ac:dyDescent="0.2">
      <c r="A110" s="68" t="s">
        <v>75</v>
      </c>
      <c r="B110" s="54" t="s">
        <v>66</v>
      </c>
      <c r="C110" s="51">
        <v>0.05</v>
      </c>
      <c r="D110" s="51" t="s">
        <v>2</v>
      </c>
      <c r="E110" s="62" t="s">
        <v>294</v>
      </c>
      <c r="F110" s="62">
        <v>0</v>
      </c>
      <c r="G110" s="54" t="s">
        <v>12</v>
      </c>
      <c r="H110" s="51">
        <v>0</v>
      </c>
      <c r="I110" s="69">
        <v>0</v>
      </c>
      <c r="J110" s="51">
        <v>0</v>
      </c>
      <c r="K110" s="51">
        <v>0</v>
      </c>
      <c r="L110" s="62">
        <v>0</v>
      </c>
      <c r="M110" s="51" t="s">
        <v>66</v>
      </c>
      <c r="N110" s="51" t="s">
        <v>7</v>
      </c>
      <c r="O110" s="69">
        <v>5.000000000000001E-3</v>
      </c>
      <c r="P110" s="51" t="s">
        <v>2</v>
      </c>
      <c r="Q110" s="51">
        <v>0</v>
      </c>
      <c r="R110" s="62">
        <v>0</v>
      </c>
      <c r="S110" s="62">
        <v>0</v>
      </c>
      <c r="T110" s="54" t="s">
        <v>61</v>
      </c>
      <c r="U110" s="128">
        <v>0</v>
      </c>
      <c r="V110" s="115">
        <v>3.4962401965755862E-5</v>
      </c>
      <c r="W110" s="125">
        <v>0</v>
      </c>
      <c r="X110" s="115">
        <v>1.4442852689626513E-7</v>
      </c>
      <c r="Y110" s="115">
        <v>1.7253896630384493</v>
      </c>
      <c r="Z110" s="115">
        <v>5.4794308572283885</v>
      </c>
      <c r="AA110" s="132" t="s">
        <v>538</v>
      </c>
      <c r="AB110" s="27">
        <f>$C$40*I110</f>
        <v>0</v>
      </c>
      <c r="AC110" s="29">
        <f>$C$40*O110</f>
        <v>6.299999999999999E-6</v>
      </c>
      <c r="AD110" s="135">
        <f t="shared" si="19"/>
        <v>0</v>
      </c>
      <c r="AE110" s="135">
        <f t="shared" si="20"/>
        <v>9.0989971944647015E-13</v>
      </c>
      <c r="AF110" s="24">
        <f t="shared" si="21"/>
        <v>3.4520414400538842E-5</v>
      </c>
      <c r="AG110" s="24">
        <f t="shared" si="22"/>
        <v>0</v>
      </c>
      <c r="AH110" s="24">
        <f t="shared" si="23"/>
        <v>0</v>
      </c>
      <c r="AI110" s="24">
        <f t="shared" si="24"/>
        <v>0</v>
      </c>
      <c r="AJ110" s="24">
        <f t="shared" si="25"/>
        <v>0</v>
      </c>
      <c r="AK110" s="24">
        <f t="shared" si="26"/>
        <v>9.0989971944647015E-13</v>
      </c>
      <c r="AL110" s="24">
        <f t="shared" si="27"/>
        <v>3.4520414400538842E-5</v>
      </c>
      <c r="AM110" s="161">
        <f t="shared" si="28"/>
        <v>0</v>
      </c>
      <c r="AN110" s="157">
        <f t="shared" si="29"/>
        <v>9.0989971944647015E-13</v>
      </c>
      <c r="AO110" s="162">
        <f t="shared" si="30"/>
        <v>3.4520414400538842E-5</v>
      </c>
    </row>
    <row r="111" spans="1:41" s="8" customFormat="1" ht="15" customHeight="1" x14ac:dyDescent="0.2">
      <c r="A111" s="68" t="s">
        <v>75</v>
      </c>
      <c r="B111" s="54" t="s">
        <v>5</v>
      </c>
      <c r="C111" s="51">
        <v>0.02</v>
      </c>
      <c r="D111" s="51" t="s">
        <v>2</v>
      </c>
      <c r="E111" s="62" t="s">
        <v>294</v>
      </c>
      <c r="F111" s="62">
        <v>0</v>
      </c>
      <c r="G111" s="54" t="s">
        <v>12</v>
      </c>
      <c r="H111" s="51">
        <v>0</v>
      </c>
      <c r="I111" s="69">
        <v>0</v>
      </c>
      <c r="J111" s="51">
        <v>0</v>
      </c>
      <c r="K111" s="51">
        <v>0</v>
      </c>
      <c r="L111" s="62">
        <v>0</v>
      </c>
      <c r="M111" s="51" t="s">
        <v>5</v>
      </c>
      <c r="N111" s="51" t="s">
        <v>7</v>
      </c>
      <c r="O111" s="69">
        <v>2E-3</v>
      </c>
      <c r="P111" s="51" t="s">
        <v>2</v>
      </c>
      <c r="Q111" s="51">
        <v>0</v>
      </c>
      <c r="R111" s="62">
        <v>0</v>
      </c>
      <c r="S111" s="62">
        <v>0</v>
      </c>
      <c r="T111" s="54" t="s">
        <v>25</v>
      </c>
      <c r="U111" s="127">
        <v>0</v>
      </c>
      <c r="V111" s="115">
        <v>0</v>
      </c>
      <c r="W111" s="115">
        <v>0</v>
      </c>
      <c r="X111" s="115">
        <v>0</v>
      </c>
      <c r="Y111" s="115">
        <v>164.24</v>
      </c>
      <c r="Z111" s="115">
        <v>400.09</v>
      </c>
      <c r="AA111" s="132" t="s">
        <v>539</v>
      </c>
      <c r="AB111" s="27">
        <f t="shared" ref="AB111:AB114" si="39">$C$40*I111</f>
        <v>0</v>
      </c>
      <c r="AC111" s="29">
        <f t="shared" ref="AC111:AC114" si="40">$C$40*O111</f>
        <v>2.5199999999999992E-6</v>
      </c>
      <c r="AD111" s="135">
        <f t="shared" si="19"/>
        <v>0</v>
      </c>
      <c r="AE111" s="135">
        <f t="shared" si="20"/>
        <v>0</v>
      </c>
      <c r="AF111" s="24">
        <f t="shared" si="21"/>
        <v>1.0082267999999997E-3</v>
      </c>
      <c r="AG111" s="24">
        <f t="shared" si="22"/>
        <v>0</v>
      </c>
      <c r="AH111" s="24">
        <f t="shared" si="23"/>
        <v>0</v>
      </c>
      <c r="AI111" s="24">
        <f t="shared" si="24"/>
        <v>0</v>
      </c>
      <c r="AJ111" s="24">
        <f t="shared" si="25"/>
        <v>0</v>
      </c>
      <c r="AK111" s="24">
        <f t="shared" si="26"/>
        <v>0</v>
      </c>
      <c r="AL111" s="24">
        <f t="shared" si="27"/>
        <v>1.0082267999999997E-3</v>
      </c>
      <c r="AM111" s="161">
        <f t="shared" si="28"/>
        <v>0</v>
      </c>
      <c r="AN111" s="157">
        <f t="shared" si="29"/>
        <v>0</v>
      </c>
      <c r="AO111" s="162">
        <f t="shared" si="30"/>
        <v>1.0082267999999997E-3</v>
      </c>
    </row>
    <row r="112" spans="1:41" s="8" customFormat="1" ht="15" customHeight="1" x14ac:dyDescent="0.2">
      <c r="A112" s="68" t="s">
        <v>75</v>
      </c>
      <c r="B112" s="54" t="s">
        <v>76</v>
      </c>
      <c r="C112" s="51">
        <v>1E-3</v>
      </c>
      <c r="D112" s="51" t="s">
        <v>2</v>
      </c>
      <c r="E112" s="62" t="s">
        <v>294</v>
      </c>
      <c r="F112" s="62">
        <v>0</v>
      </c>
      <c r="G112" s="54" t="s">
        <v>12</v>
      </c>
      <c r="H112" s="51">
        <v>0</v>
      </c>
      <c r="I112" s="69">
        <v>0</v>
      </c>
      <c r="J112" s="51">
        <v>0</v>
      </c>
      <c r="K112" s="51">
        <v>0</v>
      </c>
      <c r="L112" s="62">
        <v>0</v>
      </c>
      <c r="M112" s="51" t="s">
        <v>72</v>
      </c>
      <c r="N112" s="51" t="s">
        <v>7</v>
      </c>
      <c r="O112" s="69">
        <v>1E-4</v>
      </c>
      <c r="P112" s="51" t="s">
        <v>2</v>
      </c>
      <c r="Q112" s="51">
        <v>0</v>
      </c>
      <c r="R112" s="62">
        <v>0</v>
      </c>
      <c r="S112" s="62">
        <v>0</v>
      </c>
      <c r="T112" s="54" t="s">
        <v>81</v>
      </c>
      <c r="U112" s="127">
        <v>0</v>
      </c>
      <c r="V112" s="115">
        <v>0</v>
      </c>
      <c r="W112" s="115">
        <v>0</v>
      </c>
      <c r="X112" s="115">
        <v>0</v>
      </c>
      <c r="Y112" s="115">
        <v>306.24811854656059</v>
      </c>
      <c r="Z112" s="115">
        <v>2239.9292193792821</v>
      </c>
      <c r="AA112" s="132" t="s">
        <v>537</v>
      </c>
      <c r="AB112" s="27">
        <f t="shared" si="39"/>
        <v>0</v>
      </c>
      <c r="AC112" s="29">
        <f t="shared" si="40"/>
        <v>1.2599999999999996E-7</v>
      </c>
      <c r="AD112" s="135">
        <f t="shared" si="19"/>
        <v>0</v>
      </c>
      <c r="AE112" s="135">
        <f t="shared" si="20"/>
        <v>0</v>
      </c>
      <c r="AF112" s="24">
        <f t="shared" si="21"/>
        <v>2.8223108164178944E-4</v>
      </c>
      <c r="AG112" s="24">
        <f t="shared" si="22"/>
        <v>0</v>
      </c>
      <c r="AH112" s="24">
        <f t="shared" si="23"/>
        <v>0</v>
      </c>
      <c r="AI112" s="24">
        <f t="shared" si="24"/>
        <v>0</v>
      </c>
      <c r="AJ112" s="24">
        <f t="shared" si="25"/>
        <v>0</v>
      </c>
      <c r="AK112" s="24">
        <f t="shared" si="26"/>
        <v>0</v>
      </c>
      <c r="AL112" s="24">
        <f t="shared" si="27"/>
        <v>2.8223108164178944E-4</v>
      </c>
      <c r="AM112" s="161">
        <f t="shared" si="28"/>
        <v>0</v>
      </c>
      <c r="AN112" s="157">
        <f t="shared" si="29"/>
        <v>0</v>
      </c>
      <c r="AO112" s="162">
        <f t="shared" si="30"/>
        <v>2.8223108164178944E-4</v>
      </c>
    </row>
    <row r="113" spans="1:41" s="8" customFormat="1" ht="15" customHeight="1" x14ac:dyDescent="0.2">
      <c r="A113" s="68" t="s">
        <v>75</v>
      </c>
      <c r="B113" s="54" t="s">
        <v>77</v>
      </c>
      <c r="C113" s="51">
        <v>1E-3</v>
      </c>
      <c r="D113" s="51" t="s">
        <v>2</v>
      </c>
      <c r="E113" s="62" t="s">
        <v>294</v>
      </c>
      <c r="F113" s="62">
        <v>0</v>
      </c>
      <c r="G113" s="54" t="s">
        <v>12</v>
      </c>
      <c r="H113" s="51">
        <v>0</v>
      </c>
      <c r="I113" s="69">
        <v>0</v>
      </c>
      <c r="J113" s="51">
        <v>0</v>
      </c>
      <c r="K113" s="51">
        <v>0</v>
      </c>
      <c r="L113" s="62">
        <v>0</v>
      </c>
      <c r="M113" s="51" t="s">
        <v>71</v>
      </c>
      <c r="N113" s="51" t="s">
        <v>7</v>
      </c>
      <c r="O113" s="69">
        <v>1E-4</v>
      </c>
      <c r="P113" s="51" t="s">
        <v>2</v>
      </c>
      <c r="Q113" s="54">
        <v>0</v>
      </c>
      <c r="R113" s="62">
        <v>0</v>
      </c>
      <c r="S113" s="62">
        <v>0</v>
      </c>
      <c r="T113" s="54" t="s">
        <v>95</v>
      </c>
      <c r="U113" s="127">
        <v>0</v>
      </c>
      <c r="V113" s="115">
        <v>0</v>
      </c>
      <c r="W113" s="115">
        <v>0</v>
      </c>
      <c r="X113" s="115">
        <v>0</v>
      </c>
      <c r="Y113" s="115">
        <v>6089.5109426939807</v>
      </c>
      <c r="Z113" s="115">
        <v>54476.932420915044</v>
      </c>
      <c r="AA113" s="132" t="s">
        <v>537</v>
      </c>
      <c r="AB113" s="27">
        <f t="shared" si="39"/>
        <v>0</v>
      </c>
      <c r="AC113" s="29">
        <f t="shared" si="40"/>
        <v>1.2599999999999996E-7</v>
      </c>
      <c r="AD113" s="135">
        <f t="shared" si="19"/>
        <v>0</v>
      </c>
      <c r="AE113" s="135">
        <f t="shared" si="20"/>
        <v>0</v>
      </c>
      <c r="AF113" s="24">
        <f t="shared" si="21"/>
        <v>6.8640934850352931E-3</v>
      </c>
      <c r="AG113" s="24">
        <f t="shared" si="22"/>
        <v>0</v>
      </c>
      <c r="AH113" s="24">
        <f t="shared" si="23"/>
        <v>0</v>
      </c>
      <c r="AI113" s="24">
        <f t="shared" si="24"/>
        <v>0</v>
      </c>
      <c r="AJ113" s="24">
        <f t="shared" si="25"/>
        <v>0</v>
      </c>
      <c r="AK113" s="24">
        <f t="shared" si="26"/>
        <v>0</v>
      </c>
      <c r="AL113" s="24">
        <f t="shared" si="27"/>
        <v>6.8640934850352931E-3</v>
      </c>
      <c r="AM113" s="161">
        <f t="shared" si="28"/>
        <v>0</v>
      </c>
      <c r="AN113" s="157">
        <f t="shared" si="29"/>
        <v>0</v>
      </c>
      <c r="AO113" s="162">
        <f t="shared" si="30"/>
        <v>6.8640934850352931E-3</v>
      </c>
    </row>
    <row r="114" spans="1:41" s="8" customFormat="1" ht="15" customHeight="1" x14ac:dyDescent="0.2">
      <c r="A114" s="68" t="s">
        <v>75</v>
      </c>
      <c r="B114" s="54" t="s">
        <v>70</v>
      </c>
      <c r="C114" s="51">
        <v>1E-3</v>
      </c>
      <c r="D114" s="51" t="s">
        <v>2</v>
      </c>
      <c r="E114" s="62" t="s">
        <v>294</v>
      </c>
      <c r="F114" s="62">
        <v>0</v>
      </c>
      <c r="G114" s="54" t="s">
        <v>12</v>
      </c>
      <c r="H114" s="51">
        <v>0</v>
      </c>
      <c r="I114" s="69">
        <v>0</v>
      </c>
      <c r="J114" s="51">
        <v>0</v>
      </c>
      <c r="K114" s="51">
        <v>0</v>
      </c>
      <c r="L114" s="62">
        <v>0</v>
      </c>
      <c r="M114" s="51" t="s">
        <v>70</v>
      </c>
      <c r="N114" s="51" t="s">
        <v>7</v>
      </c>
      <c r="O114" s="69">
        <v>1E-4</v>
      </c>
      <c r="P114" s="51" t="s">
        <v>2</v>
      </c>
      <c r="Q114" s="51">
        <v>0</v>
      </c>
      <c r="R114" s="62">
        <v>0</v>
      </c>
      <c r="S114" s="62">
        <v>0</v>
      </c>
      <c r="T114" s="54" t="s">
        <v>96</v>
      </c>
      <c r="U114" s="127">
        <v>0</v>
      </c>
      <c r="V114" s="115">
        <v>0</v>
      </c>
      <c r="W114" s="115">
        <v>0</v>
      </c>
      <c r="X114" s="115">
        <v>0</v>
      </c>
      <c r="Y114" s="115">
        <v>15653.997644153058</v>
      </c>
      <c r="Z114" s="115">
        <v>184815.26625319294</v>
      </c>
      <c r="AA114" s="132" t="s">
        <v>537</v>
      </c>
      <c r="AB114" s="27">
        <f t="shared" si="39"/>
        <v>0</v>
      </c>
      <c r="AC114" s="29">
        <f t="shared" si="40"/>
        <v>1.2599999999999996E-7</v>
      </c>
      <c r="AD114" s="135">
        <f t="shared" si="19"/>
        <v>0</v>
      </c>
      <c r="AE114" s="135">
        <f t="shared" si="20"/>
        <v>0</v>
      </c>
      <c r="AF114" s="24">
        <f t="shared" si="21"/>
        <v>2.3286723547902302E-2</v>
      </c>
      <c r="AG114" s="24">
        <f t="shared" si="22"/>
        <v>0</v>
      </c>
      <c r="AH114" s="24">
        <f t="shared" si="23"/>
        <v>0</v>
      </c>
      <c r="AI114" s="24">
        <f t="shared" si="24"/>
        <v>0</v>
      </c>
      <c r="AJ114" s="24">
        <f t="shared" si="25"/>
        <v>0</v>
      </c>
      <c r="AK114" s="24">
        <f t="shared" si="26"/>
        <v>0</v>
      </c>
      <c r="AL114" s="24">
        <f t="shared" si="27"/>
        <v>2.3286723547902302E-2</v>
      </c>
      <c r="AM114" s="161">
        <f t="shared" si="28"/>
        <v>0</v>
      </c>
      <c r="AN114" s="157">
        <f t="shared" si="29"/>
        <v>0</v>
      </c>
      <c r="AO114" s="162">
        <f t="shared" si="30"/>
        <v>2.3286723547902302E-2</v>
      </c>
    </row>
    <row r="115" spans="1:41" s="8" customFormat="1" ht="15" customHeight="1" x14ac:dyDescent="0.2">
      <c r="A115" s="68" t="s">
        <v>55</v>
      </c>
      <c r="B115" s="54" t="s">
        <v>79</v>
      </c>
      <c r="C115" s="74">
        <v>1</v>
      </c>
      <c r="D115" s="51" t="s">
        <v>2</v>
      </c>
      <c r="E115" s="64">
        <v>1</v>
      </c>
      <c r="F115" s="64">
        <v>0</v>
      </c>
      <c r="G115" s="51" t="s">
        <v>12</v>
      </c>
      <c r="H115" s="51">
        <v>0</v>
      </c>
      <c r="I115" s="69">
        <v>0</v>
      </c>
      <c r="J115" s="51">
        <v>0</v>
      </c>
      <c r="K115" s="51" t="s">
        <v>297</v>
      </c>
      <c r="L115" s="64">
        <v>0</v>
      </c>
      <c r="M115" s="51" t="s">
        <v>79</v>
      </c>
      <c r="N115" s="51" t="s">
        <v>7</v>
      </c>
      <c r="O115" s="69">
        <v>0.1</v>
      </c>
      <c r="P115" s="51" t="s">
        <v>2</v>
      </c>
      <c r="Q115" s="51">
        <v>0</v>
      </c>
      <c r="R115" s="64">
        <v>0</v>
      </c>
      <c r="S115" s="64">
        <v>0</v>
      </c>
      <c r="T115" s="54" t="s">
        <v>80</v>
      </c>
      <c r="U115" s="127">
        <v>0</v>
      </c>
      <c r="V115" s="115">
        <v>0</v>
      </c>
      <c r="W115" s="115">
        <v>0</v>
      </c>
      <c r="X115" s="115">
        <v>0</v>
      </c>
      <c r="Y115" s="115">
        <v>31</v>
      </c>
      <c r="Z115" s="115">
        <v>73.7</v>
      </c>
      <c r="AA115" s="132" t="s">
        <v>539</v>
      </c>
      <c r="AB115" s="27">
        <f>$C$41*I115</f>
        <v>0</v>
      </c>
      <c r="AC115" s="29">
        <f>$C$41*O115</f>
        <v>4.2000000000000002E-4</v>
      </c>
      <c r="AD115" s="135">
        <f t="shared" si="19"/>
        <v>0</v>
      </c>
      <c r="AE115" s="135">
        <f t="shared" si="20"/>
        <v>0</v>
      </c>
      <c r="AF115" s="24">
        <f t="shared" si="21"/>
        <v>3.0954000000000002E-2</v>
      </c>
      <c r="AG115" s="24">
        <f t="shared" si="22"/>
        <v>0</v>
      </c>
      <c r="AH115" s="24">
        <f t="shared" si="23"/>
        <v>0</v>
      </c>
      <c r="AI115" s="24">
        <f t="shared" si="24"/>
        <v>0</v>
      </c>
      <c r="AJ115" s="24">
        <f t="shared" si="25"/>
        <v>0</v>
      </c>
      <c r="AK115" s="24">
        <f t="shared" si="26"/>
        <v>0</v>
      </c>
      <c r="AL115" s="24">
        <f t="shared" si="27"/>
        <v>3.0954000000000002E-2</v>
      </c>
      <c r="AM115" s="161">
        <f t="shared" si="28"/>
        <v>0</v>
      </c>
      <c r="AN115" s="157">
        <f t="shared" si="29"/>
        <v>0</v>
      </c>
      <c r="AO115" s="162">
        <f t="shared" si="30"/>
        <v>3.0954000000000002E-2</v>
      </c>
    </row>
    <row r="116" spans="1:41" s="8" customFormat="1" ht="15" customHeight="1" x14ac:dyDescent="0.2">
      <c r="A116" s="73" t="s">
        <v>429</v>
      </c>
      <c r="B116" s="54" t="s">
        <v>0</v>
      </c>
      <c r="C116" s="74">
        <v>1</v>
      </c>
      <c r="D116" s="51" t="s">
        <v>2</v>
      </c>
      <c r="E116" s="64">
        <v>1</v>
      </c>
      <c r="F116" s="64">
        <v>0</v>
      </c>
      <c r="G116" s="54" t="s">
        <v>0</v>
      </c>
      <c r="H116" s="51" t="s">
        <v>6</v>
      </c>
      <c r="I116" s="69">
        <v>1E-3</v>
      </c>
      <c r="J116" s="51" t="s">
        <v>2</v>
      </c>
      <c r="K116" s="51">
        <v>0</v>
      </c>
      <c r="L116" s="64">
        <v>0</v>
      </c>
      <c r="M116" s="51" t="s">
        <v>0</v>
      </c>
      <c r="N116" s="51" t="s">
        <v>7</v>
      </c>
      <c r="O116" s="69">
        <v>0.1</v>
      </c>
      <c r="P116" s="51" t="s">
        <v>2</v>
      </c>
      <c r="Q116" s="51">
        <v>0</v>
      </c>
      <c r="R116" s="64">
        <v>0</v>
      </c>
      <c r="S116" s="64">
        <v>0</v>
      </c>
      <c r="T116" s="54" t="s">
        <v>21</v>
      </c>
      <c r="U116" s="127">
        <v>0</v>
      </c>
      <c r="V116" s="115">
        <v>0</v>
      </c>
      <c r="W116" s="115">
        <v>0</v>
      </c>
      <c r="X116" s="115">
        <v>0</v>
      </c>
      <c r="Y116" s="115">
        <v>2.8072892978694037</v>
      </c>
      <c r="Z116" s="115">
        <v>44.680467206809801</v>
      </c>
      <c r="AA116" s="132" t="s">
        <v>537</v>
      </c>
      <c r="AB116" s="27">
        <f>$C$42*I116</f>
        <v>2.0999999999999999E-5</v>
      </c>
      <c r="AC116" s="29">
        <f>$C$42*O116</f>
        <v>2.0999999999999999E-3</v>
      </c>
      <c r="AD116" s="135">
        <f t="shared" si="19"/>
        <v>0</v>
      </c>
      <c r="AE116" s="135">
        <f t="shared" si="20"/>
        <v>0</v>
      </c>
      <c r="AF116" s="24">
        <f t="shared" si="21"/>
        <v>9.3887934209555837E-2</v>
      </c>
      <c r="AG116" s="24">
        <f t="shared" si="22"/>
        <v>0</v>
      </c>
      <c r="AH116" s="24">
        <f t="shared" si="23"/>
        <v>0</v>
      </c>
      <c r="AI116" s="24">
        <f t="shared" si="24"/>
        <v>5.8953075255257473E-5</v>
      </c>
      <c r="AJ116" s="24">
        <f t="shared" si="25"/>
        <v>0</v>
      </c>
      <c r="AK116" s="24">
        <f t="shared" si="26"/>
        <v>0</v>
      </c>
      <c r="AL116" s="24">
        <f t="shared" si="27"/>
        <v>9.3828981134300576E-2</v>
      </c>
      <c r="AM116" s="161">
        <f t="shared" si="28"/>
        <v>0</v>
      </c>
      <c r="AN116" s="157">
        <f t="shared" si="29"/>
        <v>0</v>
      </c>
      <c r="AO116" s="162">
        <f t="shared" si="30"/>
        <v>9.3887934209555837E-2</v>
      </c>
    </row>
    <row r="117" spans="1:41" s="8" customFormat="1" ht="15" customHeight="1" x14ac:dyDescent="0.2">
      <c r="A117" s="68" t="s">
        <v>1049</v>
      </c>
      <c r="B117" s="54" t="s">
        <v>527</v>
      </c>
      <c r="C117" s="51">
        <v>0.6</v>
      </c>
      <c r="D117" s="51" t="s">
        <v>2</v>
      </c>
      <c r="E117" s="62" t="s">
        <v>294</v>
      </c>
      <c r="F117" s="62">
        <v>0</v>
      </c>
      <c r="G117" s="54" t="s">
        <v>12</v>
      </c>
      <c r="H117" s="51">
        <v>0</v>
      </c>
      <c r="I117" s="51">
        <v>0</v>
      </c>
      <c r="J117" s="51">
        <v>0</v>
      </c>
      <c r="K117" s="51">
        <v>0</v>
      </c>
      <c r="L117" s="62">
        <v>0</v>
      </c>
      <c r="M117" s="51" t="s">
        <v>68</v>
      </c>
      <c r="N117" s="51" t="s">
        <v>7</v>
      </c>
      <c r="O117" s="69">
        <v>0.06</v>
      </c>
      <c r="P117" s="51" t="s">
        <v>2</v>
      </c>
      <c r="Q117" s="51">
        <v>0</v>
      </c>
      <c r="R117" s="62">
        <v>0</v>
      </c>
      <c r="S117" s="62">
        <v>0</v>
      </c>
      <c r="T117" s="54" t="s">
        <v>526</v>
      </c>
      <c r="U117" s="127">
        <v>0</v>
      </c>
      <c r="V117" s="115">
        <v>1.6437731647150863E-6</v>
      </c>
      <c r="W117" s="115">
        <v>0</v>
      </c>
      <c r="X117" s="115">
        <v>9.8891167609639291E-6</v>
      </c>
      <c r="Y117" s="115">
        <v>25539.178143122717</v>
      </c>
      <c r="Z117" s="115">
        <v>766743.80504211958</v>
      </c>
      <c r="AA117" s="132" t="s">
        <v>538</v>
      </c>
      <c r="AB117" s="27">
        <f>$C$43*I117</f>
        <v>0</v>
      </c>
      <c r="AC117" s="29">
        <f>$C$43*O117</f>
        <v>2.2679999999999998E-4</v>
      </c>
      <c r="AD117" s="135">
        <f t="shared" si="19"/>
        <v>0</v>
      </c>
      <c r="AE117" s="135">
        <f t="shared" si="20"/>
        <v>2.242851681386619E-9</v>
      </c>
      <c r="AF117" s="24">
        <f t="shared" si="21"/>
        <v>173.89749498355272</v>
      </c>
      <c r="AG117" s="24">
        <f t="shared" si="22"/>
        <v>0</v>
      </c>
      <c r="AH117" s="24">
        <f t="shared" si="23"/>
        <v>0</v>
      </c>
      <c r="AI117" s="24">
        <f t="shared" si="24"/>
        <v>0</v>
      </c>
      <c r="AJ117" s="24">
        <f t="shared" si="25"/>
        <v>0</v>
      </c>
      <c r="AK117" s="24">
        <f t="shared" si="26"/>
        <v>2.242851681386619E-9</v>
      </c>
      <c r="AL117" s="24">
        <f t="shared" si="27"/>
        <v>173.89749498355272</v>
      </c>
      <c r="AM117" s="161">
        <f t="shared" si="28"/>
        <v>0</v>
      </c>
      <c r="AN117" s="157">
        <f t="shared" si="29"/>
        <v>2.242851681386619E-9</v>
      </c>
      <c r="AO117" s="162">
        <f t="shared" si="30"/>
        <v>173.89749498355272</v>
      </c>
    </row>
    <row r="118" spans="1:41" s="8" customFormat="1" ht="15" customHeight="1" x14ac:dyDescent="0.2">
      <c r="A118" s="68" t="s">
        <v>1049</v>
      </c>
      <c r="B118" s="54" t="s">
        <v>84</v>
      </c>
      <c r="C118" s="51">
        <v>0.2</v>
      </c>
      <c r="D118" s="51" t="s">
        <v>2</v>
      </c>
      <c r="E118" s="62" t="s">
        <v>294</v>
      </c>
      <c r="F118" s="62">
        <v>0</v>
      </c>
      <c r="G118" s="51" t="s">
        <v>84</v>
      </c>
      <c r="H118" s="51" t="s">
        <v>6</v>
      </c>
      <c r="I118" s="69">
        <v>2.0000000000000001E-4</v>
      </c>
      <c r="J118" s="51" t="s">
        <v>2</v>
      </c>
      <c r="K118" s="51">
        <v>0</v>
      </c>
      <c r="L118" s="62">
        <v>0</v>
      </c>
      <c r="M118" s="51" t="s">
        <v>73</v>
      </c>
      <c r="N118" s="51" t="s">
        <v>7</v>
      </c>
      <c r="O118" s="69">
        <v>2.0000000000000004E-2</v>
      </c>
      <c r="P118" s="51" t="s">
        <v>2</v>
      </c>
      <c r="Q118" s="51">
        <v>0</v>
      </c>
      <c r="R118" s="62">
        <v>0</v>
      </c>
      <c r="S118" s="62">
        <v>0</v>
      </c>
      <c r="T118" s="54" t="s">
        <v>62</v>
      </c>
      <c r="U118" s="127">
        <v>3.1027213023718394E-8</v>
      </c>
      <c r="V118" s="115">
        <v>0</v>
      </c>
      <c r="W118" s="115">
        <v>1.7206281348183625E-8</v>
      </c>
      <c r="X118" s="116">
        <v>0</v>
      </c>
      <c r="Y118" s="115">
        <v>2.6323079574736696</v>
      </c>
      <c r="Z118" s="115">
        <v>191.63613931032927</v>
      </c>
      <c r="AA118" s="132" t="s">
        <v>537</v>
      </c>
      <c r="AB118" s="27">
        <f t="shared" ref="AB118:AB120" si="41">$C$43*I118</f>
        <v>7.5600000000000005E-7</v>
      </c>
      <c r="AC118" s="29">
        <f t="shared" ref="AC118:AC120" si="42">$C$43*O118</f>
        <v>7.5600000000000008E-5</v>
      </c>
      <c r="AD118" s="135">
        <f t="shared" si="19"/>
        <v>1.3242514429686132E-12</v>
      </c>
      <c r="AE118" s="135">
        <f t="shared" si="20"/>
        <v>0</v>
      </c>
      <c r="AF118" s="24">
        <f t="shared" si="21"/>
        <v>1.4489682156676743E-2</v>
      </c>
      <c r="AG118" s="24">
        <f t="shared" si="22"/>
        <v>2.3456573045931108E-14</v>
      </c>
      <c r="AH118" s="24">
        <f t="shared" si="23"/>
        <v>0</v>
      </c>
      <c r="AI118" s="24">
        <f t="shared" si="24"/>
        <v>1.9900248158500945E-6</v>
      </c>
      <c r="AJ118" s="24">
        <f t="shared" si="25"/>
        <v>1.3007948699226821E-12</v>
      </c>
      <c r="AK118" s="24">
        <f t="shared" si="26"/>
        <v>0</v>
      </c>
      <c r="AL118" s="24">
        <f t="shared" si="27"/>
        <v>1.4487692131860894E-2</v>
      </c>
      <c r="AM118" s="161">
        <f t="shared" si="28"/>
        <v>1.3242514429686132E-12</v>
      </c>
      <c r="AN118" s="157">
        <f t="shared" si="29"/>
        <v>0</v>
      </c>
      <c r="AO118" s="162">
        <f t="shared" si="30"/>
        <v>1.4489682156676743E-2</v>
      </c>
    </row>
    <row r="119" spans="1:41" s="8" customFormat="1" ht="15" customHeight="1" x14ac:dyDescent="0.2">
      <c r="A119" s="68" t="s">
        <v>1049</v>
      </c>
      <c r="B119" s="54" t="s">
        <v>85</v>
      </c>
      <c r="C119" s="51">
        <v>0.1</v>
      </c>
      <c r="D119" s="51" t="s">
        <v>2</v>
      </c>
      <c r="E119" s="62" t="s">
        <v>294</v>
      </c>
      <c r="F119" s="62">
        <v>0</v>
      </c>
      <c r="G119" s="51" t="s">
        <v>43</v>
      </c>
      <c r="H119" s="51" t="s">
        <v>6</v>
      </c>
      <c r="I119" s="69">
        <v>1E-4</v>
      </c>
      <c r="J119" s="51" t="s">
        <v>2</v>
      </c>
      <c r="K119" s="51">
        <v>0</v>
      </c>
      <c r="L119" s="62">
        <v>0</v>
      </c>
      <c r="M119" s="51" t="s">
        <v>43</v>
      </c>
      <c r="N119" s="51" t="s">
        <v>7</v>
      </c>
      <c r="O119" s="69">
        <v>1.0000000000000002E-2</v>
      </c>
      <c r="P119" s="51" t="s">
        <v>2</v>
      </c>
      <c r="Q119" s="51">
        <v>0</v>
      </c>
      <c r="R119" s="62">
        <v>0</v>
      </c>
      <c r="S119" s="62">
        <v>0</v>
      </c>
      <c r="T119" s="54" t="s">
        <v>92</v>
      </c>
      <c r="U119" s="127">
        <v>0</v>
      </c>
      <c r="V119" s="115">
        <v>0</v>
      </c>
      <c r="W119" s="115">
        <v>0</v>
      </c>
      <c r="X119" s="115">
        <v>0</v>
      </c>
      <c r="Y119" s="129">
        <v>63</v>
      </c>
      <c r="Z119" s="129">
        <v>2910</v>
      </c>
      <c r="AA119" s="132" t="s">
        <v>539</v>
      </c>
      <c r="AB119" s="27">
        <f t="shared" si="41"/>
        <v>3.7800000000000002E-7</v>
      </c>
      <c r="AC119" s="29">
        <f t="shared" si="42"/>
        <v>3.7800000000000004E-5</v>
      </c>
      <c r="AD119" s="135">
        <f t="shared" si="19"/>
        <v>0</v>
      </c>
      <c r="AE119" s="135">
        <f t="shared" si="20"/>
        <v>0</v>
      </c>
      <c r="AF119" s="24">
        <f t="shared" si="21"/>
        <v>0.11002181400000001</v>
      </c>
      <c r="AG119" s="24">
        <f t="shared" si="22"/>
        <v>0</v>
      </c>
      <c r="AH119" s="24">
        <f t="shared" si="23"/>
        <v>0</v>
      </c>
      <c r="AI119" s="24">
        <f t="shared" si="24"/>
        <v>2.3814000000000003E-5</v>
      </c>
      <c r="AJ119" s="24">
        <f t="shared" si="25"/>
        <v>0</v>
      </c>
      <c r="AK119" s="24">
        <f t="shared" si="26"/>
        <v>0</v>
      </c>
      <c r="AL119" s="24">
        <f t="shared" si="27"/>
        <v>0.10999800000000001</v>
      </c>
      <c r="AM119" s="161">
        <f t="shared" si="28"/>
        <v>0</v>
      </c>
      <c r="AN119" s="157">
        <f t="shared" si="29"/>
        <v>0</v>
      </c>
      <c r="AO119" s="162">
        <f t="shared" si="30"/>
        <v>0.11002181400000001</v>
      </c>
    </row>
    <row r="120" spans="1:41" s="8" customFormat="1" ht="15" customHeight="1" x14ac:dyDescent="0.2">
      <c r="A120" s="68" t="s">
        <v>1049</v>
      </c>
      <c r="B120" s="50" t="s">
        <v>67</v>
      </c>
      <c r="C120" s="51">
        <v>0</v>
      </c>
      <c r="D120" s="51">
        <v>0</v>
      </c>
      <c r="E120" s="62" t="s">
        <v>301</v>
      </c>
      <c r="F120" s="62">
        <v>0</v>
      </c>
      <c r="G120" s="8" t="s">
        <v>12</v>
      </c>
      <c r="H120" s="51">
        <v>0</v>
      </c>
      <c r="I120" s="69">
        <v>0</v>
      </c>
      <c r="J120" s="51">
        <v>0</v>
      </c>
      <c r="K120" s="51">
        <v>0</v>
      </c>
      <c r="L120" s="62">
        <v>0</v>
      </c>
      <c r="M120" s="51" t="s">
        <v>67</v>
      </c>
      <c r="N120" s="51" t="s">
        <v>7</v>
      </c>
      <c r="O120" s="69">
        <v>1.0000000000000001E-5</v>
      </c>
      <c r="P120" s="51" t="s">
        <v>2</v>
      </c>
      <c r="Q120" s="51" t="s">
        <v>1366</v>
      </c>
      <c r="R120" s="62">
        <v>0</v>
      </c>
      <c r="S120" s="62">
        <v>0</v>
      </c>
      <c r="T120" s="54" t="s">
        <v>94</v>
      </c>
      <c r="U120" s="127">
        <v>0</v>
      </c>
      <c r="V120" s="115">
        <v>0</v>
      </c>
      <c r="W120" s="115">
        <v>0</v>
      </c>
      <c r="X120" s="115">
        <v>0</v>
      </c>
      <c r="Y120" s="115">
        <v>63.500038841149426</v>
      </c>
      <c r="Z120" s="115">
        <v>10848.472578502809</v>
      </c>
      <c r="AA120" s="132" t="s">
        <v>537</v>
      </c>
      <c r="AB120" s="27">
        <f t="shared" si="41"/>
        <v>0</v>
      </c>
      <c r="AC120" s="29">
        <f t="shared" si="42"/>
        <v>3.7800000000000001E-8</v>
      </c>
      <c r="AD120" s="135">
        <f t="shared" si="19"/>
        <v>0</v>
      </c>
      <c r="AE120" s="135">
        <f t="shared" si="20"/>
        <v>0</v>
      </c>
      <c r="AF120" s="24">
        <f t="shared" si="21"/>
        <v>4.1007226346740619E-4</v>
      </c>
      <c r="AG120" s="24">
        <f t="shared" si="22"/>
        <v>0</v>
      </c>
      <c r="AH120" s="24">
        <f t="shared" si="23"/>
        <v>0</v>
      </c>
      <c r="AI120" s="24">
        <f t="shared" si="24"/>
        <v>0</v>
      </c>
      <c r="AJ120" s="24">
        <f t="shared" si="25"/>
        <v>0</v>
      </c>
      <c r="AK120" s="24">
        <f t="shared" si="26"/>
        <v>0</v>
      </c>
      <c r="AL120" s="24">
        <f t="shared" si="27"/>
        <v>4.1007226346740619E-4</v>
      </c>
      <c r="AM120" s="161">
        <f t="shared" si="28"/>
        <v>0</v>
      </c>
      <c r="AN120" s="157">
        <f t="shared" si="29"/>
        <v>0</v>
      </c>
      <c r="AO120" s="162">
        <f t="shared" si="30"/>
        <v>4.1007226346740619E-4</v>
      </c>
    </row>
    <row r="121" spans="1:41" s="8" customFormat="1" ht="15" customHeight="1" x14ac:dyDescent="0.2">
      <c r="A121" s="68" t="s">
        <v>90</v>
      </c>
      <c r="B121" s="53" t="s">
        <v>35</v>
      </c>
      <c r="C121" s="74">
        <v>0.3</v>
      </c>
      <c r="D121" s="51" t="s">
        <v>2</v>
      </c>
      <c r="E121" s="62" t="s">
        <v>296</v>
      </c>
      <c r="F121" s="62">
        <v>0</v>
      </c>
      <c r="G121" s="53" t="s">
        <v>12</v>
      </c>
      <c r="H121" s="51">
        <v>0</v>
      </c>
      <c r="I121" s="69">
        <v>0</v>
      </c>
      <c r="J121" s="51">
        <v>0</v>
      </c>
      <c r="K121" s="51">
        <v>0</v>
      </c>
      <c r="L121" s="62">
        <v>0</v>
      </c>
      <c r="M121" s="53" t="s">
        <v>35</v>
      </c>
      <c r="N121" s="51" t="s">
        <v>7</v>
      </c>
      <c r="O121" s="69">
        <v>2.9700000000000001E-2</v>
      </c>
      <c r="P121" s="51" t="s">
        <v>2</v>
      </c>
      <c r="Q121" s="8" t="s">
        <v>1367</v>
      </c>
      <c r="R121" s="62">
        <v>0</v>
      </c>
      <c r="S121" s="62">
        <v>0</v>
      </c>
      <c r="T121" s="54" t="s">
        <v>524</v>
      </c>
      <c r="U121" s="127">
        <v>0</v>
      </c>
      <c r="V121" s="115">
        <v>1.318367210059499E-10</v>
      </c>
      <c r="W121" s="115">
        <v>0</v>
      </c>
      <c r="X121" s="115">
        <v>1.3016448977650344E-10</v>
      </c>
      <c r="Y121" s="115">
        <v>1.1181204517092254</v>
      </c>
      <c r="Z121" s="115">
        <v>78.957506928451508</v>
      </c>
      <c r="AA121" s="132" t="s">
        <v>538</v>
      </c>
      <c r="AB121" s="27">
        <f>$C$44*I121</f>
        <v>0</v>
      </c>
      <c r="AC121" s="29">
        <f>$C$44*O121</f>
        <v>2.4948E-4</v>
      </c>
      <c r="AD121" s="135">
        <f t="shared" si="19"/>
        <v>0</v>
      </c>
      <c r="AE121" s="135">
        <f t="shared" si="20"/>
        <v>3.247343690944208E-14</v>
      </c>
      <c r="AF121" s="24">
        <f t="shared" si="21"/>
        <v>1.9698318828510083E-2</v>
      </c>
      <c r="AG121" s="24">
        <f t="shared" si="22"/>
        <v>0</v>
      </c>
      <c r="AH121" s="24">
        <f t="shared" si="23"/>
        <v>0</v>
      </c>
      <c r="AI121" s="24">
        <f t="shared" si="24"/>
        <v>0</v>
      </c>
      <c r="AJ121" s="24">
        <f t="shared" si="25"/>
        <v>0</v>
      </c>
      <c r="AK121" s="24">
        <f t="shared" si="26"/>
        <v>3.247343690944208E-14</v>
      </c>
      <c r="AL121" s="24">
        <f t="shared" si="27"/>
        <v>1.9698318828510083E-2</v>
      </c>
      <c r="AM121" s="161">
        <f t="shared" si="28"/>
        <v>0</v>
      </c>
      <c r="AN121" s="157">
        <f t="shared" si="29"/>
        <v>3.247343690944208E-14</v>
      </c>
      <c r="AO121" s="162">
        <f t="shared" si="30"/>
        <v>1.9698318828510083E-2</v>
      </c>
    </row>
    <row r="122" spans="1:41" s="8" customFormat="1" ht="15" customHeight="1" x14ac:dyDescent="0.2">
      <c r="A122" s="68" t="s">
        <v>90</v>
      </c>
      <c r="B122" s="2" t="s">
        <v>89</v>
      </c>
      <c r="C122" s="74">
        <v>0</v>
      </c>
      <c r="D122" s="51">
        <v>0</v>
      </c>
      <c r="E122" s="62" t="s">
        <v>1064</v>
      </c>
      <c r="F122" s="62">
        <v>0</v>
      </c>
      <c r="G122" s="51" t="s">
        <v>89</v>
      </c>
      <c r="H122" s="51" t="s">
        <v>6</v>
      </c>
      <c r="I122" s="69">
        <v>3.0000000000000001E-6</v>
      </c>
      <c r="J122" s="51" t="s">
        <v>2</v>
      </c>
      <c r="K122" s="51">
        <v>0</v>
      </c>
      <c r="L122" s="62">
        <v>0</v>
      </c>
      <c r="M122" s="51" t="s">
        <v>89</v>
      </c>
      <c r="N122" s="51" t="s">
        <v>7</v>
      </c>
      <c r="O122" s="69">
        <v>3.0000000000000004E-5</v>
      </c>
      <c r="P122" s="51" t="s">
        <v>2</v>
      </c>
      <c r="Q122" s="51" t="s">
        <v>1368</v>
      </c>
      <c r="R122" s="62">
        <v>0</v>
      </c>
      <c r="S122" s="62">
        <v>0</v>
      </c>
      <c r="T122" s="81" t="s">
        <v>98</v>
      </c>
      <c r="U122" s="127">
        <v>3.0023364753950555E-5</v>
      </c>
      <c r="V122" s="129">
        <v>1.2481126126868064E-4</v>
      </c>
      <c r="W122" s="129">
        <v>1.1959264101490567E-5</v>
      </c>
      <c r="X122" s="129">
        <v>4.9716307568620708E-5</v>
      </c>
      <c r="Y122" s="129">
        <v>10.037499181426883</v>
      </c>
      <c r="Z122" s="129">
        <v>119.14199796898779</v>
      </c>
      <c r="AA122" s="133" t="s">
        <v>537</v>
      </c>
      <c r="AB122" s="27">
        <f t="shared" ref="AB122:AB123" si="43">$C$44*I122</f>
        <v>2.5200000000000001E-8</v>
      </c>
      <c r="AC122" s="29">
        <f t="shared" ref="AC122:AC123" si="44">$C$44*O122</f>
        <v>2.5200000000000003E-7</v>
      </c>
      <c r="AD122" s="135">
        <f t="shared" si="19"/>
        <v>3.770323345375177E-12</v>
      </c>
      <c r="AE122" s="135">
        <f t="shared" si="20"/>
        <v>1.5673753291263171E-11</v>
      </c>
      <c r="AF122" s="24">
        <f t="shared" si="21"/>
        <v>3.0276728467556885E-5</v>
      </c>
      <c r="AG122" s="24">
        <f t="shared" si="22"/>
        <v>7.5658879179955398E-13</v>
      </c>
      <c r="AH122" s="24">
        <f t="shared" si="23"/>
        <v>3.1452437839707521E-12</v>
      </c>
      <c r="AI122" s="24">
        <f t="shared" si="24"/>
        <v>2.5294497937195747E-7</v>
      </c>
      <c r="AJ122" s="24">
        <f t="shared" si="25"/>
        <v>3.0137345535756232E-12</v>
      </c>
      <c r="AK122" s="24">
        <f t="shared" si="26"/>
        <v>1.2528509507292419E-11</v>
      </c>
      <c r="AL122" s="24">
        <f t="shared" si="27"/>
        <v>3.0023783488184927E-5</v>
      </c>
      <c r="AM122" s="161">
        <f t="shared" si="28"/>
        <v>3.770323345375177E-12</v>
      </c>
      <c r="AN122" s="157">
        <f t="shared" si="29"/>
        <v>1.5673753291263171E-11</v>
      </c>
      <c r="AO122" s="162">
        <f t="shared" si="30"/>
        <v>3.0276728467556885E-5</v>
      </c>
    </row>
    <row r="123" spans="1:41" s="8" customFormat="1" ht="15" customHeight="1" x14ac:dyDescent="0.2">
      <c r="A123" s="68" t="s">
        <v>90</v>
      </c>
      <c r="B123" s="53">
        <v>0</v>
      </c>
      <c r="C123" s="74">
        <v>0</v>
      </c>
      <c r="D123" s="51">
        <v>0</v>
      </c>
      <c r="E123" s="62" t="s">
        <v>1370</v>
      </c>
      <c r="F123" s="62">
        <v>0</v>
      </c>
      <c r="G123" s="2" t="s">
        <v>3</v>
      </c>
      <c r="H123" s="51" t="s">
        <v>6</v>
      </c>
      <c r="I123" s="69">
        <v>2.9999999999999999E-7</v>
      </c>
      <c r="J123" s="51" t="s">
        <v>2</v>
      </c>
      <c r="K123" s="51">
        <v>0</v>
      </c>
      <c r="L123" s="62">
        <v>0</v>
      </c>
      <c r="M123" s="51" t="s">
        <v>3</v>
      </c>
      <c r="N123" s="51" t="s">
        <v>7</v>
      </c>
      <c r="O123" s="69">
        <v>3.0000000000000001E-6</v>
      </c>
      <c r="P123" s="51" t="s">
        <v>2</v>
      </c>
      <c r="Q123" s="51" t="s">
        <v>1371</v>
      </c>
      <c r="R123" s="62">
        <v>0</v>
      </c>
      <c r="S123" s="62">
        <v>0</v>
      </c>
      <c r="T123" s="54" t="s">
        <v>28</v>
      </c>
      <c r="U123" s="127">
        <v>2.5208446330720887E-5</v>
      </c>
      <c r="V123" s="115">
        <v>2.6504960021309262E-7</v>
      </c>
      <c r="W123" s="115">
        <v>1.4222228897488039E-7</v>
      </c>
      <c r="X123" s="115">
        <v>3.170874313501273E-7</v>
      </c>
      <c r="Y123" s="115">
        <v>17.989178582912412</v>
      </c>
      <c r="Z123" s="115">
        <v>290.05086067463066</v>
      </c>
      <c r="AA123" s="132" t="s">
        <v>537</v>
      </c>
      <c r="AB123" s="27">
        <f t="shared" si="43"/>
        <v>2.5199999999999996E-9</v>
      </c>
      <c r="AC123" s="29">
        <f t="shared" si="44"/>
        <v>2.5200000000000001E-8</v>
      </c>
      <c r="AD123" s="135">
        <f t="shared" si="19"/>
        <v>6.7109286435583616E-14</v>
      </c>
      <c r="AE123" s="135">
        <f t="shared" si="20"/>
        <v>8.6585282625602017E-15</v>
      </c>
      <c r="AF123" s="24">
        <f t="shared" si="21"/>
        <v>7.3546144190296315E-6</v>
      </c>
      <c r="AG123" s="24">
        <f t="shared" si="22"/>
        <v>6.3525284753416626E-14</v>
      </c>
      <c r="AH123" s="24">
        <f t="shared" si="23"/>
        <v>6.6792499253699324E-16</v>
      </c>
      <c r="AI123" s="24">
        <f t="shared" si="24"/>
        <v>4.5332730028939271E-8</v>
      </c>
      <c r="AJ123" s="24">
        <f t="shared" si="25"/>
        <v>3.5840016821669863E-15</v>
      </c>
      <c r="AK123" s="24">
        <f t="shared" si="26"/>
        <v>7.9906032700232078E-15</v>
      </c>
      <c r="AL123" s="24">
        <f t="shared" si="27"/>
        <v>7.3092816890006925E-6</v>
      </c>
      <c r="AM123" s="161">
        <f t="shared" si="28"/>
        <v>6.7109286435583616E-14</v>
      </c>
      <c r="AN123" s="157">
        <f t="shared" si="29"/>
        <v>8.6585282625602017E-15</v>
      </c>
      <c r="AO123" s="162">
        <f t="shared" si="30"/>
        <v>7.3546144190296315E-6</v>
      </c>
    </row>
    <row r="124" spans="1:41" s="8" customFormat="1" ht="15" customHeight="1" x14ac:dyDescent="0.2">
      <c r="A124" s="68" t="s">
        <v>379</v>
      </c>
      <c r="B124" s="54" t="s">
        <v>529</v>
      </c>
      <c r="C124" s="51">
        <v>0.75</v>
      </c>
      <c r="D124" s="51" t="s">
        <v>2</v>
      </c>
      <c r="E124" s="62" t="s">
        <v>294</v>
      </c>
      <c r="F124" s="62">
        <v>0</v>
      </c>
      <c r="G124" s="52" t="s">
        <v>380</v>
      </c>
      <c r="H124" s="51" t="s">
        <v>6</v>
      </c>
      <c r="I124" s="51">
        <v>7.5000000000000002E-4</v>
      </c>
      <c r="J124" s="51" t="s">
        <v>2</v>
      </c>
      <c r="K124" s="51">
        <v>0</v>
      </c>
      <c r="L124" s="62">
        <v>0</v>
      </c>
      <c r="M124" s="52" t="s">
        <v>380</v>
      </c>
      <c r="N124" s="51" t="s">
        <v>7</v>
      </c>
      <c r="O124" s="69">
        <v>3.7500000000000007E-3</v>
      </c>
      <c r="P124" s="51" t="s">
        <v>2</v>
      </c>
      <c r="Q124" s="8" t="s">
        <v>562</v>
      </c>
      <c r="R124" s="62">
        <v>0</v>
      </c>
      <c r="S124" s="62">
        <v>0</v>
      </c>
      <c r="T124" s="54" t="s">
        <v>528</v>
      </c>
      <c r="U124" s="127">
        <v>2.9376617915978413E-5</v>
      </c>
      <c r="V124" s="129">
        <v>1.5549232836361298E-6</v>
      </c>
      <c r="W124" s="129">
        <v>1.297252698814143E-4</v>
      </c>
      <c r="X124" s="129">
        <v>6.8664419842856388E-6</v>
      </c>
      <c r="Y124" s="129">
        <v>592.97072899355226</v>
      </c>
      <c r="Z124" s="129">
        <v>81.853308412925216</v>
      </c>
      <c r="AA124" s="133" t="s">
        <v>538</v>
      </c>
      <c r="AB124" s="27">
        <f>$C$45*I124</f>
        <v>1.575E-5</v>
      </c>
      <c r="AC124" s="29">
        <f>$C$45*O124</f>
        <v>7.8750000000000003E-5</v>
      </c>
      <c r="AD124" s="135">
        <f t="shared" si="19"/>
        <v>1.0678546735338038E-8</v>
      </c>
      <c r="AE124" s="135">
        <f t="shared" si="20"/>
        <v>5.6522234797976321E-10</v>
      </c>
      <c r="AF124" s="24">
        <f t="shared" si="21"/>
        <v>1.5785237019166308E-2</v>
      </c>
      <c r="AG124" s="24">
        <f t="shared" si="22"/>
        <v>4.6268173217666002E-10</v>
      </c>
      <c r="AH124" s="24">
        <f t="shared" si="23"/>
        <v>2.4490041717269046E-11</v>
      </c>
      <c r="AI124" s="24">
        <f t="shared" si="24"/>
        <v>9.3392889816484477E-3</v>
      </c>
      <c r="AJ124" s="24">
        <f t="shared" si="25"/>
        <v>1.0215865003161377E-8</v>
      </c>
      <c r="AK124" s="24">
        <f t="shared" si="26"/>
        <v>5.4073230626249411E-10</v>
      </c>
      <c r="AL124" s="24">
        <f t="shared" si="27"/>
        <v>6.4459480375178612E-3</v>
      </c>
      <c r="AM124" s="161">
        <f t="shared" si="28"/>
        <v>1.0678546735338038E-8</v>
      </c>
      <c r="AN124" s="157">
        <f t="shared" si="29"/>
        <v>5.6522234797976321E-10</v>
      </c>
      <c r="AO124" s="162">
        <f t="shared" si="30"/>
        <v>1.5785237019166308E-2</v>
      </c>
    </row>
    <row r="125" spans="1:41" s="8" customFormat="1" ht="15" customHeight="1" x14ac:dyDescent="0.2">
      <c r="A125" s="70" t="s">
        <v>381</v>
      </c>
      <c r="B125" s="54" t="s">
        <v>382</v>
      </c>
      <c r="C125" s="51">
        <v>0.05</v>
      </c>
      <c r="D125" s="51" t="s">
        <v>2</v>
      </c>
      <c r="E125" s="62" t="s">
        <v>294</v>
      </c>
      <c r="F125" s="62">
        <v>0</v>
      </c>
      <c r="G125" s="51" t="s">
        <v>382</v>
      </c>
      <c r="H125" s="54" t="s">
        <v>6</v>
      </c>
      <c r="I125" s="69">
        <v>5.0000000000000002E-5</v>
      </c>
      <c r="J125" s="54" t="s">
        <v>2</v>
      </c>
      <c r="K125" s="51">
        <v>0</v>
      </c>
      <c r="L125" s="62">
        <v>0</v>
      </c>
      <c r="M125" s="51" t="s">
        <v>990</v>
      </c>
      <c r="N125" s="54" t="s">
        <v>7</v>
      </c>
      <c r="O125" s="69">
        <v>2.5000000000000006E-4</v>
      </c>
      <c r="P125" s="51" t="s">
        <v>2</v>
      </c>
      <c r="Q125" s="8" t="s">
        <v>562</v>
      </c>
      <c r="R125" s="62">
        <v>0</v>
      </c>
      <c r="S125" s="62">
        <v>0</v>
      </c>
      <c r="T125" s="54" t="s">
        <v>383</v>
      </c>
      <c r="U125" s="127">
        <v>0</v>
      </c>
      <c r="V125" s="115">
        <v>0</v>
      </c>
      <c r="W125" s="115">
        <v>0</v>
      </c>
      <c r="X125" s="115">
        <v>0</v>
      </c>
      <c r="Y125" s="115">
        <v>13.802967816428488</v>
      </c>
      <c r="Z125" s="115">
        <v>401.06412725859315</v>
      </c>
      <c r="AA125" s="132" t="s">
        <v>537</v>
      </c>
      <c r="AB125" s="27">
        <f>$C$46*I125</f>
        <v>2.1E-7</v>
      </c>
      <c r="AC125" s="29">
        <f>$C$46*O125</f>
        <v>1.0500000000000001E-6</v>
      </c>
      <c r="AD125" s="135">
        <f t="shared" si="19"/>
        <v>0</v>
      </c>
      <c r="AE125" s="135">
        <f t="shared" si="20"/>
        <v>0</v>
      </c>
      <c r="AF125" s="24">
        <f t="shared" si="21"/>
        <v>4.2401595686297283E-4</v>
      </c>
      <c r="AG125" s="24">
        <f t="shared" si="22"/>
        <v>0</v>
      </c>
      <c r="AH125" s="24">
        <f t="shared" si="23"/>
        <v>0</v>
      </c>
      <c r="AI125" s="24">
        <f t="shared" si="24"/>
        <v>2.8986232414499824E-6</v>
      </c>
      <c r="AJ125" s="24">
        <f t="shared" si="25"/>
        <v>0</v>
      </c>
      <c r="AK125" s="24">
        <f t="shared" si="26"/>
        <v>0</v>
      </c>
      <c r="AL125" s="24">
        <f t="shared" si="27"/>
        <v>4.2111733362152286E-4</v>
      </c>
      <c r="AM125" s="161">
        <f t="shared" si="28"/>
        <v>0</v>
      </c>
      <c r="AN125" s="157">
        <f t="shared" si="29"/>
        <v>0</v>
      </c>
      <c r="AO125" s="162">
        <f t="shared" si="30"/>
        <v>4.2401595686297283E-4</v>
      </c>
    </row>
    <row r="126" spans="1:41" s="8" customFormat="1" ht="15" customHeight="1" x14ac:dyDescent="0.2">
      <c r="A126" s="68" t="s">
        <v>384</v>
      </c>
      <c r="B126" s="54" t="s">
        <v>385</v>
      </c>
      <c r="C126" s="51">
        <v>0.75</v>
      </c>
      <c r="D126" s="51" t="s">
        <v>2</v>
      </c>
      <c r="E126" s="62" t="s">
        <v>386</v>
      </c>
      <c r="F126" s="62">
        <v>0</v>
      </c>
      <c r="G126" s="52" t="s">
        <v>387</v>
      </c>
      <c r="H126" s="51" t="s">
        <v>6</v>
      </c>
      <c r="I126" s="51">
        <v>7.5000000000000002E-4</v>
      </c>
      <c r="J126" s="51" t="s">
        <v>2</v>
      </c>
      <c r="K126" s="51">
        <v>0</v>
      </c>
      <c r="L126" s="62">
        <v>0</v>
      </c>
      <c r="M126" s="52" t="s">
        <v>387</v>
      </c>
      <c r="N126" s="51" t="s">
        <v>7</v>
      </c>
      <c r="O126" s="69">
        <v>3.7500000000000007E-3</v>
      </c>
      <c r="P126" s="51" t="s">
        <v>2</v>
      </c>
      <c r="Q126" s="8" t="s">
        <v>562</v>
      </c>
      <c r="R126" s="62">
        <v>0</v>
      </c>
      <c r="S126" s="62">
        <v>0</v>
      </c>
      <c r="T126" s="53" t="s">
        <v>388</v>
      </c>
      <c r="U126" s="127">
        <v>2.3250974052490423E-6</v>
      </c>
      <c r="V126" s="115">
        <v>3.6419621494691573E-7</v>
      </c>
      <c r="W126" s="115">
        <v>1.7961299223192751E-6</v>
      </c>
      <c r="X126" s="115">
        <v>2.8134035063856268E-7</v>
      </c>
      <c r="Y126" s="115">
        <v>10.290742530418507</v>
      </c>
      <c r="Z126" s="115">
        <v>34.995514714186051</v>
      </c>
      <c r="AA126" s="132" t="s">
        <v>538</v>
      </c>
      <c r="AB126" s="27">
        <f>$C$47*I126</f>
        <v>4.7249999999999992E-7</v>
      </c>
      <c r="AC126" s="29">
        <f>$C$47*O126</f>
        <v>2.3625000000000003E-6</v>
      </c>
      <c r="AD126" s="135">
        <f t="shared" si="19"/>
        <v>5.3419654654594603E-12</v>
      </c>
      <c r="AE126" s="135">
        <f t="shared" si="20"/>
        <v>8.3674928994602198E-13</v>
      </c>
      <c r="AF126" s="24">
        <f t="shared" si="21"/>
        <v>8.753927935788729E-5</v>
      </c>
      <c r="AG126" s="24">
        <f t="shared" si="22"/>
        <v>1.0986085239801724E-12</v>
      </c>
      <c r="AH126" s="24">
        <f t="shared" si="23"/>
        <v>1.7208271156241765E-13</v>
      </c>
      <c r="AI126" s="24">
        <f t="shared" si="24"/>
        <v>4.8623758456227435E-6</v>
      </c>
      <c r="AJ126" s="24">
        <f t="shared" si="25"/>
        <v>4.2433569414792881E-12</v>
      </c>
      <c r="AK126" s="24">
        <f t="shared" si="26"/>
        <v>6.6466657838360438E-13</v>
      </c>
      <c r="AL126" s="24">
        <f t="shared" si="27"/>
        <v>8.267690351226455E-5</v>
      </c>
      <c r="AM126" s="161">
        <f t="shared" si="28"/>
        <v>5.3419654654594603E-12</v>
      </c>
      <c r="AN126" s="157">
        <f t="shared" si="29"/>
        <v>8.3674928994602198E-13</v>
      </c>
      <c r="AO126" s="162">
        <f t="shared" si="30"/>
        <v>8.753927935788729E-5</v>
      </c>
    </row>
    <row r="127" spans="1:41" s="8" customFormat="1" ht="15" customHeight="1" x14ac:dyDescent="0.2">
      <c r="A127" s="68" t="s">
        <v>151</v>
      </c>
      <c r="B127" s="54" t="s">
        <v>402</v>
      </c>
      <c r="C127" s="74">
        <v>1</v>
      </c>
      <c r="D127" s="51" t="s">
        <v>2</v>
      </c>
      <c r="E127" s="64">
        <v>1</v>
      </c>
      <c r="F127" s="64">
        <v>0</v>
      </c>
      <c r="G127" s="51" t="s">
        <v>12</v>
      </c>
      <c r="H127" s="54">
        <v>0</v>
      </c>
      <c r="I127" s="69">
        <v>0</v>
      </c>
      <c r="J127" s="51">
        <v>0</v>
      </c>
      <c r="K127" s="51">
        <v>0</v>
      </c>
      <c r="L127" s="64">
        <v>0</v>
      </c>
      <c r="M127" s="53" t="s">
        <v>402</v>
      </c>
      <c r="N127" s="51" t="s">
        <v>7</v>
      </c>
      <c r="O127" s="69">
        <v>0.1</v>
      </c>
      <c r="P127" s="51" t="s">
        <v>2</v>
      </c>
      <c r="Q127" s="51">
        <v>0</v>
      </c>
      <c r="R127" s="64">
        <v>0</v>
      </c>
      <c r="S127" s="64">
        <v>0</v>
      </c>
      <c r="T127" s="54" t="s">
        <v>403</v>
      </c>
      <c r="U127" s="127">
        <v>0</v>
      </c>
      <c r="V127" s="115">
        <v>0</v>
      </c>
      <c r="W127" s="115">
        <v>0</v>
      </c>
      <c r="X127" s="115">
        <v>0</v>
      </c>
      <c r="Y127" s="115">
        <v>22</v>
      </c>
      <c r="Z127" s="115">
        <v>51.7</v>
      </c>
      <c r="AA127" s="132" t="s">
        <v>539</v>
      </c>
      <c r="AB127" s="27">
        <f>$C$48*I127</f>
        <v>0</v>
      </c>
      <c r="AC127" s="29">
        <f>$C$48*O127</f>
        <v>4.2000000000000002E-4</v>
      </c>
      <c r="AD127" s="135">
        <f t="shared" si="19"/>
        <v>0</v>
      </c>
      <c r="AE127" s="135">
        <f t="shared" si="20"/>
        <v>0</v>
      </c>
      <c r="AF127" s="24">
        <f t="shared" si="21"/>
        <v>2.1714000000000001E-2</v>
      </c>
      <c r="AG127" s="24">
        <f t="shared" si="22"/>
        <v>0</v>
      </c>
      <c r="AH127" s="24">
        <f t="shared" si="23"/>
        <v>0</v>
      </c>
      <c r="AI127" s="24">
        <f t="shared" si="24"/>
        <v>0</v>
      </c>
      <c r="AJ127" s="24">
        <f t="shared" si="25"/>
        <v>0</v>
      </c>
      <c r="AK127" s="24">
        <f t="shared" si="26"/>
        <v>0</v>
      </c>
      <c r="AL127" s="24">
        <f t="shared" si="27"/>
        <v>2.1714000000000001E-2</v>
      </c>
      <c r="AM127" s="161">
        <f t="shared" si="28"/>
        <v>0</v>
      </c>
      <c r="AN127" s="157">
        <f t="shared" si="29"/>
        <v>0</v>
      </c>
      <c r="AO127" s="162">
        <f t="shared" si="30"/>
        <v>2.1714000000000001E-2</v>
      </c>
    </row>
    <row r="128" spans="1:41" s="8" customFormat="1" ht="15" customHeight="1" x14ac:dyDescent="0.2">
      <c r="A128" s="70" t="s">
        <v>1045</v>
      </c>
      <c r="B128" s="54" t="s">
        <v>360</v>
      </c>
      <c r="C128" s="51">
        <v>0.5</v>
      </c>
      <c r="D128" s="51" t="s">
        <v>2</v>
      </c>
      <c r="E128" s="65" t="s">
        <v>361</v>
      </c>
      <c r="F128" s="65">
        <v>0</v>
      </c>
      <c r="G128" s="51" t="s">
        <v>12</v>
      </c>
      <c r="H128" s="51">
        <v>0</v>
      </c>
      <c r="I128" s="69">
        <v>0</v>
      </c>
      <c r="J128" s="51">
        <v>0</v>
      </c>
      <c r="K128" s="51" t="s">
        <v>362</v>
      </c>
      <c r="L128" s="65">
        <v>0</v>
      </c>
      <c r="M128" s="51" t="s">
        <v>360</v>
      </c>
      <c r="N128" s="51" t="s">
        <v>7</v>
      </c>
      <c r="O128" s="69">
        <v>2.5000000000000005E-3</v>
      </c>
      <c r="P128" s="51" t="s">
        <v>2</v>
      </c>
      <c r="Q128" s="8" t="s">
        <v>562</v>
      </c>
      <c r="R128" s="65">
        <v>0</v>
      </c>
      <c r="S128" s="65">
        <v>0</v>
      </c>
      <c r="T128" s="53" t="s">
        <v>363</v>
      </c>
      <c r="U128" s="128">
        <v>0</v>
      </c>
      <c r="V128" s="115">
        <v>4.8150971100649583E-7</v>
      </c>
      <c r="W128" s="125">
        <v>0</v>
      </c>
      <c r="X128" s="115">
        <v>3.4017420676238008E-5</v>
      </c>
      <c r="Y128" s="115">
        <v>0.21984397801517921</v>
      </c>
      <c r="Z128" s="115">
        <v>16.35619356945876</v>
      </c>
      <c r="AA128" s="132" t="s">
        <v>538</v>
      </c>
      <c r="AB128" s="27">
        <f>$C$49*I128</f>
        <v>0</v>
      </c>
      <c r="AC128" s="29">
        <f>$C$49*O128</f>
        <v>5.2500000000000008E-4</v>
      </c>
      <c r="AD128" s="135">
        <f t="shared" si="19"/>
        <v>0</v>
      </c>
      <c r="AE128" s="135">
        <f t="shared" si="20"/>
        <v>1.7859145855024956E-8</v>
      </c>
      <c r="AF128" s="24">
        <f t="shared" si="21"/>
        <v>8.5870016239658498E-3</v>
      </c>
      <c r="AG128" s="24">
        <f t="shared" si="22"/>
        <v>0</v>
      </c>
      <c r="AH128" s="24">
        <f t="shared" si="23"/>
        <v>0</v>
      </c>
      <c r="AI128" s="24">
        <f t="shared" si="24"/>
        <v>0</v>
      </c>
      <c r="AJ128" s="24">
        <f t="shared" si="25"/>
        <v>0</v>
      </c>
      <c r="AK128" s="24">
        <f t="shared" si="26"/>
        <v>1.7859145855024956E-8</v>
      </c>
      <c r="AL128" s="24">
        <f t="shared" si="27"/>
        <v>8.5870016239658498E-3</v>
      </c>
      <c r="AM128" s="161">
        <f t="shared" si="28"/>
        <v>0</v>
      </c>
      <c r="AN128" s="157">
        <f t="shared" si="29"/>
        <v>1.7859145855024956E-8</v>
      </c>
      <c r="AO128" s="162">
        <f t="shared" si="30"/>
        <v>8.5870016239658498E-3</v>
      </c>
    </row>
    <row r="129" spans="1:41" s="8" customFormat="1" ht="15" customHeight="1" x14ac:dyDescent="0.2">
      <c r="A129" s="70" t="s">
        <v>1045</v>
      </c>
      <c r="B129" s="54" t="s">
        <v>364</v>
      </c>
      <c r="C129" s="75">
        <v>0.03</v>
      </c>
      <c r="D129" s="54" t="s">
        <v>2</v>
      </c>
      <c r="E129" s="65" t="s">
        <v>294</v>
      </c>
      <c r="F129" s="65">
        <v>0</v>
      </c>
      <c r="G129" s="53" t="s">
        <v>364</v>
      </c>
      <c r="H129" s="54" t="s">
        <v>6</v>
      </c>
      <c r="I129" s="69">
        <v>3.0000000000000001E-5</v>
      </c>
      <c r="J129" s="54" t="s">
        <v>2</v>
      </c>
      <c r="K129" s="51">
        <v>0</v>
      </c>
      <c r="L129" s="65">
        <v>0</v>
      </c>
      <c r="M129" s="53" t="s">
        <v>364</v>
      </c>
      <c r="N129" s="50" t="s">
        <v>7</v>
      </c>
      <c r="O129" s="69">
        <v>3.0000000000000001E-3</v>
      </c>
      <c r="P129" s="54">
        <v>0</v>
      </c>
      <c r="Q129" s="51">
        <v>0</v>
      </c>
      <c r="R129" s="65">
        <v>0</v>
      </c>
      <c r="S129" s="65">
        <v>0</v>
      </c>
      <c r="T129" s="54" t="s">
        <v>365</v>
      </c>
      <c r="U129" s="127">
        <v>0</v>
      </c>
      <c r="V129" s="115">
        <v>0</v>
      </c>
      <c r="W129" s="115">
        <v>0</v>
      </c>
      <c r="X129" s="115">
        <v>0</v>
      </c>
      <c r="Y129" s="115">
        <v>3.6114752306981606</v>
      </c>
      <c r="Z129" s="115">
        <v>293.57375419425159</v>
      </c>
      <c r="AA129" s="132" t="s">
        <v>537</v>
      </c>
      <c r="AB129" s="27">
        <f t="shared" ref="AB129:AB133" si="45">$C$49*I129</f>
        <v>6.2999999999999998E-6</v>
      </c>
      <c r="AC129" s="29">
        <f t="shared" ref="AC129:AC133" si="46">$C$49*O129</f>
        <v>6.3000000000000003E-4</v>
      </c>
      <c r="AD129" s="135">
        <f t="shared" si="19"/>
        <v>0</v>
      </c>
      <c r="AE129" s="135">
        <f t="shared" si="20"/>
        <v>0</v>
      </c>
      <c r="AF129" s="24">
        <f t="shared" si="21"/>
        <v>0.18497421743633191</v>
      </c>
      <c r="AG129" s="24">
        <f t="shared" si="22"/>
        <v>0</v>
      </c>
      <c r="AH129" s="24">
        <f t="shared" si="23"/>
        <v>0</v>
      </c>
      <c r="AI129" s="24">
        <f t="shared" si="24"/>
        <v>2.2752293953398412E-5</v>
      </c>
      <c r="AJ129" s="24">
        <f t="shared" si="25"/>
        <v>0</v>
      </c>
      <c r="AK129" s="24">
        <f t="shared" si="26"/>
        <v>0</v>
      </c>
      <c r="AL129" s="24">
        <f t="shared" si="27"/>
        <v>0.18495146514237851</v>
      </c>
      <c r="AM129" s="161">
        <f t="shared" si="28"/>
        <v>0</v>
      </c>
      <c r="AN129" s="157">
        <f t="shared" si="29"/>
        <v>0</v>
      </c>
      <c r="AO129" s="162">
        <f t="shared" si="30"/>
        <v>0.18497421743633191</v>
      </c>
    </row>
    <row r="130" spans="1:41" s="8" customFormat="1" ht="15" customHeight="1" x14ac:dyDescent="0.2">
      <c r="A130" s="70" t="s">
        <v>1045</v>
      </c>
      <c r="B130" s="54" t="s">
        <v>352</v>
      </c>
      <c r="C130" s="77">
        <v>0</v>
      </c>
      <c r="D130" s="54">
        <v>0</v>
      </c>
      <c r="E130" s="65" t="s">
        <v>353</v>
      </c>
      <c r="F130" s="65">
        <v>0</v>
      </c>
      <c r="G130" s="51" t="s">
        <v>354</v>
      </c>
      <c r="H130" s="54" t="s">
        <v>6</v>
      </c>
      <c r="I130" s="69">
        <v>5.0000000000000002E-5</v>
      </c>
      <c r="J130" s="54" t="s">
        <v>2</v>
      </c>
      <c r="K130" s="51">
        <v>0</v>
      </c>
      <c r="L130" s="65">
        <v>0</v>
      </c>
      <c r="M130" s="51" t="s">
        <v>354</v>
      </c>
      <c r="N130" s="51" t="s">
        <v>7</v>
      </c>
      <c r="O130" s="69">
        <v>5.0000000000000001E-4</v>
      </c>
      <c r="P130" s="51" t="s">
        <v>2</v>
      </c>
      <c r="Q130" s="51" t="s">
        <v>1062</v>
      </c>
      <c r="R130" s="65">
        <v>0</v>
      </c>
      <c r="S130" s="65">
        <v>0</v>
      </c>
      <c r="T130" s="54" t="s">
        <v>355</v>
      </c>
      <c r="U130" s="128">
        <v>0</v>
      </c>
      <c r="V130" s="115">
        <v>5.8729527284859051E-7</v>
      </c>
      <c r="W130" s="125">
        <v>0</v>
      </c>
      <c r="X130" s="115">
        <v>4.9841317466958876E-7</v>
      </c>
      <c r="Y130" s="115">
        <v>0.72430805120024888</v>
      </c>
      <c r="Z130" s="115">
        <v>4.3581145649604585</v>
      </c>
      <c r="AA130" s="132" t="s">
        <v>538</v>
      </c>
      <c r="AB130" s="27">
        <f t="shared" si="45"/>
        <v>1.0499999999999999E-5</v>
      </c>
      <c r="AC130" s="29">
        <f t="shared" si="46"/>
        <v>1.05E-4</v>
      </c>
      <c r="AD130" s="135">
        <f t="shared" si="19"/>
        <v>0</v>
      </c>
      <c r="AE130" s="135">
        <f t="shared" si="20"/>
        <v>5.849998370521702E-11</v>
      </c>
      <c r="AF130" s="24">
        <f t="shared" si="21"/>
        <v>4.6520726385845075E-4</v>
      </c>
      <c r="AG130" s="24">
        <f t="shared" si="22"/>
        <v>0</v>
      </c>
      <c r="AH130" s="24">
        <f t="shared" si="23"/>
        <v>6.1666003649101997E-12</v>
      </c>
      <c r="AI130" s="24">
        <f t="shared" si="24"/>
        <v>7.605234537602613E-6</v>
      </c>
      <c r="AJ130" s="24">
        <f t="shared" si="25"/>
        <v>0</v>
      </c>
      <c r="AK130" s="24">
        <f t="shared" si="26"/>
        <v>5.2333383340306825E-11</v>
      </c>
      <c r="AL130" s="24">
        <f t="shared" si="27"/>
        <v>4.5760202932084815E-4</v>
      </c>
      <c r="AM130" s="161">
        <f t="shared" si="28"/>
        <v>0</v>
      </c>
      <c r="AN130" s="157">
        <f t="shared" si="29"/>
        <v>5.849998370521702E-11</v>
      </c>
      <c r="AO130" s="162">
        <f t="shared" si="30"/>
        <v>4.6520726385845075E-4</v>
      </c>
    </row>
    <row r="131" spans="1:41" s="8" customFormat="1" ht="15" customHeight="1" x14ac:dyDescent="0.2">
      <c r="A131" s="70" t="s">
        <v>1045</v>
      </c>
      <c r="B131" s="54" t="s">
        <v>356</v>
      </c>
      <c r="C131" s="78">
        <v>0</v>
      </c>
      <c r="D131" s="54">
        <v>0</v>
      </c>
      <c r="E131" s="62" t="s">
        <v>1062</v>
      </c>
      <c r="F131" s="62">
        <v>0</v>
      </c>
      <c r="G131" s="54" t="s">
        <v>356</v>
      </c>
      <c r="H131" s="54" t="s">
        <v>6</v>
      </c>
      <c r="I131" s="69">
        <v>5.0000000000000004E-6</v>
      </c>
      <c r="J131" s="54" t="s">
        <v>2</v>
      </c>
      <c r="K131" s="51">
        <v>0</v>
      </c>
      <c r="L131" s="62">
        <v>0</v>
      </c>
      <c r="M131" s="54" t="s">
        <v>356</v>
      </c>
      <c r="N131" s="54" t="s">
        <v>7</v>
      </c>
      <c r="O131" s="69">
        <v>5.0000000000000001E-4</v>
      </c>
      <c r="P131" s="54" t="s">
        <v>2</v>
      </c>
      <c r="Q131" s="51" t="s">
        <v>1062</v>
      </c>
      <c r="R131" s="62">
        <v>0</v>
      </c>
      <c r="S131" s="62">
        <v>0</v>
      </c>
      <c r="T131" s="54" t="s">
        <v>357</v>
      </c>
      <c r="U131" s="127">
        <v>1.2989346582460636E-4</v>
      </c>
      <c r="V131" s="115">
        <v>6.0532463000159839E-8</v>
      </c>
      <c r="W131" s="115">
        <v>4.1441705731287989E-5</v>
      </c>
      <c r="X131" s="115">
        <v>1.9312507391480285E-8</v>
      </c>
      <c r="Y131" s="115">
        <v>16.293115472362601</v>
      </c>
      <c r="Z131" s="115">
        <v>462.56767404636184</v>
      </c>
      <c r="AA131" s="132" t="s">
        <v>539</v>
      </c>
      <c r="AB131" s="27">
        <f t="shared" si="45"/>
        <v>1.0500000000000001E-6</v>
      </c>
      <c r="AC131" s="29">
        <f t="shared" si="46"/>
        <v>1.05E-4</v>
      </c>
      <c r="AD131" s="135">
        <f t="shared" si="19"/>
        <v>4.4877672409010758E-9</v>
      </c>
      <c r="AE131" s="135">
        <f t="shared" si="20"/>
        <v>2.0913723622555976E-12</v>
      </c>
      <c r="AF131" s="24">
        <f t="shared" si="21"/>
        <v>4.8586713546113977E-2</v>
      </c>
      <c r="AG131" s="24">
        <f t="shared" si="22"/>
        <v>1.3638813911583669E-10</v>
      </c>
      <c r="AH131" s="24">
        <f t="shared" si="23"/>
        <v>6.3559086150167836E-14</v>
      </c>
      <c r="AI131" s="24">
        <f t="shared" si="24"/>
        <v>1.7107771245980733E-5</v>
      </c>
      <c r="AJ131" s="24">
        <f t="shared" si="25"/>
        <v>4.351379101785239E-9</v>
      </c>
      <c r="AK131" s="24">
        <f t="shared" si="26"/>
        <v>2.0278132761054298E-12</v>
      </c>
      <c r="AL131" s="24">
        <f t="shared" si="27"/>
        <v>4.8569605774867998E-2</v>
      </c>
      <c r="AM131" s="161">
        <f t="shared" si="28"/>
        <v>4.4877672409010758E-9</v>
      </c>
      <c r="AN131" s="157">
        <f t="shared" si="29"/>
        <v>2.0913723622555976E-12</v>
      </c>
      <c r="AO131" s="162">
        <f t="shared" si="30"/>
        <v>4.8586713546113977E-2</v>
      </c>
    </row>
    <row r="132" spans="1:41" s="8" customFormat="1" ht="15" customHeight="1" x14ac:dyDescent="0.2">
      <c r="A132" s="70" t="s">
        <v>1045</v>
      </c>
      <c r="B132" s="54" t="s">
        <v>358</v>
      </c>
      <c r="C132" s="78">
        <v>0</v>
      </c>
      <c r="D132" s="54">
        <v>0</v>
      </c>
      <c r="E132" s="62" t="s">
        <v>1062</v>
      </c>
      <c r="F132" s="62">
        <v>0</v>
      </c>
      <c r="G132" s="54" t="s">
        <v>358</v>
      </c>
      <c r="H132" s="54" t="s">
        <v>6</v>
      </c>
      <c r="I132" s="69">
        <v>5.0000000000000004E-6</v>
      </c>
      <c r="J132" s="54" t="s">
        <v>2</v>
      </c>
      <c r="K132" s="51">
        <v>0</v>
      </c>
      <c r="L132" s="62">
        <v>0</v>
      </c>
      <c r="M132" s="54" t="s">
        <v>358</v>
      </c>
      <c r="N132" s="54" t="s">
        <v>7</v>
      </c>
      <c r="O132" s="69">
        <v>5.0000000000000001E-4</v>
      </c>
      <c r="P132" s="54" t="s">
        <v>2</v>
      </c>
      <c r="Q132" s="51" t="s">
        <v>1062</v>
      </c>
      <c r="R132" s="62">
        <v>0</v>
      </c>
      <c r="S132" s="62">
        <v>0</v>
      </c>
      <c r="T132" s="54" t="s">
        <v>359</v>
      </c>
      <c r="U132" s="127">
        <v>0</v>
      </c>
      <c r="V132" s="115">
        <v>0</v>
      </c>
      <c r="W132" s="115">
        <v>0</v>
      </c>
      <c r="X132" s="115">
        <v>0</v>
      </c>
      <c r="Y132" s="115">
        <v>22.652229020966026</v>
      </c>
      <c r="Z132" s="115">
        <v>215359.14100115595</v>
      </c>
      <c r="AA132" s="132" t="s">
        <v>537</v>
      </c>
      <c r="AB132" s="27">
        <f t="shared" si="45"/>
        <v>1.0500000000000001E-6</v>
      </c>
      <c r="AC132" s="29">
        <f t="shared" si="46"/>
        <v>1.05E-4</v>
      </c>
      <c r="AD132" s="135">
        <f t="shared" si="19"/>
        <v>0</v>
      </c>
      <c r="AE132" s="135">
        <f t="shared" si="20"/>
        <v>0</v>
      </c>
      <c r="AF132" s="24">
        <f t="shared" si="21"/>
        <v>22.612733589961849</v>
      </c>
      <c r="AG132" s="24">
        <f t="shared" si="22"/>
        <v>0</v>
      </c>
      <c r="AH132" s="24">
        <f t="shared" si="23"/>
        <v>0</v>
      </c>
      <c r="AI132" s="24">
        <f t="shared" si="24"/>
        <v>2.378484047201433E-5</v>
      </c>
      <c r="AJ132" s="24">
        <f t="shared" si="25"/>
        <v>0</v>
      </c>
      <c r="AK132" s="24">
        <f t="shared" si="26"/>
        <v>0</v>
      </c>
      <c r="AL132" s="24">
        <f t="shared" si="27"/>
        <v>22.612709805121376</v>
      </c>
      <c r="AM132" s="161">
        <f t="shared" si="28"/>
        <v>0</v>
      </c>
      <c r="AN132" s="157">
        <f t="shared" si="29"/>
        <v>0</v>
      </c>
      <c r="AO132" s="162">
        <f t="shared" si="30"/>
        <v>22.612733589961849</v>
      </c>
    </row>
    <row r="133" spans="1:41" s="49" customFormat="1" ht="15" customHeight="1" x14ac:dyDescent="0.2">
      <c r="A133" s="136" t="s">
        <v>1045</v>
      </c>
      <c r="B133" s="141" t="s">
        <v>349</v>
      </c>
      <c r="C133" s="173">
        <v>0</v>
      </c>
      <c r="D133" s="141">
        <v>0</v>
      </c>
      <c r="E133" s="174" t="s">
        <v>1372</v>
      </c>
      <c r="F133" s="174">
        <v>0</v>
      </c>
      <c r="G133" s="139" t="s">
        <v>350</v>
      </c>
      <c r="H133" s="141" t="s">
        <v>6</v>
      </c>
      <c r="I133" s="142">
        <v>5.0000000000000004E-6</v>
      </c>
      <c r="J133" s="141" t="s">
        <v>2</v>
      </c>
      <c r="K133" s="139">
        <v>0</v>
      </c>
      <c r="L133" s="174">
        <v>0</v>
      </c>
      <c r="M133" s="139" t="s">
        <v>350</v>
      </c>
      <c r="N133" s="139" t="s">
        <v>7</v>
      </c>
      <c r="O133" s="142">
        <v>5.0000000000000004E-6</v>
      </c>
      <c r="P133" s="139" t="s">
        <v>2</v>
      </c>
      <c r="Q133" s="139" t="s">
        <v>1373</v>
      </c>
      <c r="R133" s="174">
        <v>0</v>
      </c>
      <c r="S133" s="174">
        <v>0</v>
      </c>
      <c r="T133" s="141" t="s">
        <v>351</v>
      </c>
      <c r="U133" s="175">
        <v>0</v>
      </c>
      <c r="V133" s="144">
        <v>2.0329061867301982E-8</v>
      </c>
      <c r="W133" s="176">
        <v>0</v>
      </c>
      <c r="X133" s="144">
        <v>1.6279569562509775E-8</v>
      </c>
      <c r="Y133" s="144">
        <v>0.53651638944850399</v>
      </c>
      <c r="Z133" s="144">
        <v>17.896737771834839</v>
      </c>
      <c r="AA133" s="145" t="s">
        <v>538</v>
      </c>
      <c r="AB133" s="28">
        <f t="shared" si="45"/>
        <v>1.0500000000000001E-6</v>
      </c>
      <c r="AC133" s="146">
        <f t="shared" si="46"/>
        <v>1.0500000000000001E-6</v>
      </c>
      <c r="AD133" s="147">
        <f t="shared" si="19"/>
        <v>0</v>
      </c>
      <c r="AE133" s="147">
        <f t="shared" si="20"/>
        <v>3.8439063001302349E-14</v>
      </c>
      <c r="AF133" s="25">
        <f t="shared" si="21"/>
        <v>1.9354916869347516E-5</v>
      </c>
      <c r="AG133" s="25">
        <f t="shared" si="22"/>
        <v>0</v>
      </c>
      <c r="AH133" s="25">
        <f t="shared" si="23"/>
        <v>2.1345514960667084E-14</v>
      </c>
      <c r="AI133" s="25">
        <f t="shared" si="24"/>
        <v>5.6334220892092924E-7</v>
      </c>
      <c r="AJ133" s="25">
        <f t="shared" si="25"/>
        <v>0</v>
      </c>
      <c r="AK133" s="25">
        <f t="shared" si="26"/>
        <v>1.7093548040635265E-14</v>
      </c>
      <c r="AL133" s="25">
        <f t="shared" si="27"/>
        <v>1.8791574660426585E-5</v>
      </c>
      <c r="AM133" s="163">
        <f t="shared" si="28"/>
        <v>0</v>
      </c>
      <c r="AN133" s="164">
        <f t="shared" si="29"/>
        <v>3.8439063001302349E-14</v>
      </c>
      <c r="AO133" s="165">
        <f t="shared" si="30"/>
        <v>1.9354916869347516E-5</v>
      </c>
    </row>
    <row r="134" spans="1:41" s="8" customFormat="1" ht="15" customHeight="1" x14ac:dyDescent="0.2">
      <c r="A134" s="68" t="s">
        <v>59</v>
      </c>
      <c r="B134" s="54" t="s">
        <v>30</v>
      </c>
      <c r="C134" s="51">
        <v>0.1</v>
      </c>
      <c r="D134" s="51" t="s">
        <v>2</v>
      </c>
      <c r="E134" s="62" t="s">
        <v>294</v>
      </c>
      <c r="F134" s="62">
        <v>0</v>
      </c>
      <c r="G134" s="51" t="s">
        <v>12</v>
      </c>
      <c r="H134" s="51">
        <v>0</v>
      </c>
      <c r="I134" s="51">
        <v>0</v>
      </c>
      <c r="J134" s="51">
        <v>0</v>
      </c>
      <c r="K134" s="51">
        <v>0</v>
      </c>
      <c r="L134" s="62">
        <v>0</v>
      </c>
      <c r="M134" s="51" t="s">
        <v>30</v>
      </c>
      <c r="N134" s="51" t="s">
        <v>7</v>
      </c>
      <c r="O134" s="69">
        <v>9.9000000000000008E-3</v>
      </c>
      <c r="P134" s="51" t="s">
        <v>2</v>
      </c>
      <c r="Q134" s="8" t="s">
        <v>1367</v>
      </c>
      <c r="R134" s="62">
        <v>0</v>
      </c>
      <c r="S134" s="62">
        <v>0</v>
      </c>
      <c r="T134" s="80" t="s">
        <v>34</v>
      </c>
      <c r="U134" s="127">
        <v>0</v>
      </c>
      <c r="V134" s="115">
        <v>0</v>
      </c>
      <c r="W134" s="115">
        <v>0</v>
      </c>
      <c r="X134" s="115">
        <v>0</v>
      </c>
      <c r="Y134" s="129">
        <v>7.06</v>
      </c>
      <c r="Z134" s="129">
        <v>78.599999999999994</v>
      </c>
      <c r="AA134" s="132" t="s">
        <v>539</v>
      </c>
      <c r="AB134" s="27">
        <f t="shared" ref="AB134:AB139" si="47">$C$50*I134</f>
        <v>0</v>
      </c>
      <c r="AC134" s="29">
        <f>$C$50*O134</f>
        <v>2.6730000000000005E-4</v>
      </c>
      <c r="AD134" s="135">
        <f t="shared" si="19"/>
        <v>0</v>
      </c>
      <c r="AE134" s="135">
        <f t="shared" si="20"/>
        <v>0</v>
      </c>
      <c r="AF134" s="24">
        <f t="shared" si="21"/>
        <v>2.1009780000000002E-2</v>
      </c>
      <c r="AG134" s="24">
        <f t="shared" si="22"/>
        <v>0</v>
      </c>
      <c r="AH134" s="24">
        <f t="shared" si="23"/>
        <v>0</v>
      </c>
      <c r="AI134" s="24">
        <f t="shared" si="24"/>
        <v>0</v>
      </c>
      <c r="AJ134" s="24">
        <f t="shared" si="25"/>
        <v>0</v>
      </c>
      <c r="AK134" s="24">
        <f t="shared" si="26"/>
        <v>0</v>
      </c>
      <c r="AL134" s="24">
        <f t="shared" si="27"/>
        <v>2.1009780000000002E-2</v>
      </c>
      <c r="AM134" s="161">
        <f t="shared" si="28"/>
        <v>0</v>
      </c>
      <c r="AN134" s="157">
        <f t="shared" si="29"/>
        <v>0</v>
      </c>
      <c r="AO134" s="162">
        <f t="shared" si="30"/>
        <v>2.1009780000000002E-2</v>
      </c>
    </row>
    <row r="135" spans="1:41" s="8" customFormat="1" ht="15" customHeight="1" x14ac:dyDescent="0.2">
      <c r="A135" s="68" t="s">
        <v>59</v>
      </c>
      <c r="B135" s="54" t="s">
        <v>15</v>
      </c>
      <c r="C135" s="51">
        <v>0.25</v>
      </c>
      <c r="D135" s="51" t="s">
        <v>2</v>
      </c>
      <c r="E135" s="62" t="s">
        <v>294</v>
      </c>
      <c r="F135" s="62">
        <v>0</v>
      </c>
      <c r="G135" s="51" t="s">
        <v>12</v>
      </c>
      <c r="H135" s="51">
        <v>0</v>
      </c>
      <c r="I135" s="69">
        <v>0</v>
      </c>
      <c r="J135" s="51">
        <v>0</v>
      </c>
      <c r="K135" s="51">
        <v>0</v>
      </c>
      <c r="L135" s="62">
        <v>0</v>
      </c>
      <c r="M135" s="51" t="s">
        <v>15</v>
      </c>
      <c r="N135" s="51" t="s">
        <v>7</v>
      </c>
      <c r="O135" s="69">
        <v>2.5000000000000001E-2</v>
      </c>
      <c r="P135" s="51" t="s">
        <v>2</v>
      </c>
      <c r="Q135" s="51">
        <v>0</v>
      </c>
      <c r="R135" s="62">
        <v>0</v>
      </c>
      <c r="S135" s="62">
        <v>0</v>
      </c>
      <c r="T135" s="54" t="s">
        <v>13</v>
      </c>
      <c r="U135" s="127">
        <v>0</v>
      </c>
      <c r="V135" s="115">
        <v>1.2009414857886904E-7</v>
      </c>
      <c r="W135" s="115">
        <v>0</v>
      </c>
      <c r="X135" s="115">
        <v>3.2843909509658706E-7</v>
      </c>
      <c r="Y135" s="115">
        <v>14.526941022240393</v>
      </c>
      <c r="Z135" s="115">
        <v>111.251141519207</v>
      </c>
      <c r="AA135" s="132" t="s">
        <v>538</v>
      </c>
      <c r="AB135" s="27">
        <f t="shared" si="47"/>
        <v>0</v>
      </c>
      <c r="AC135" s="29">
        <f t="shared" ref="AC135:AC139" si="48">$C$50*O135</f>
        <v>6.7500000000000014E-4</v>
      </c>
      <c r="AD135" s="135">
        <f t="shared" si="19"/>
        <v>0</v>
      </c>
      <c r="AE135" s="135">
        <f t="shared" si="20"/>
        <v>2.216963891901963E-10</v>
      </c>
      <c r="AF135" s="24">
        <f t="shared" si="21"/>
        <v>7.5094520525464739E-2</v>
      </c>
      <c r="AG135" s="24">
        <f t="shared" si="22"/>
        <v>0</v>
      </c>
      <c r="AH135" s="24">
        <f t="shared" si="23"/>
        <v>0</v>
      </c>
      <c r="AI135" s="24">
        <f t="shared" si="24"/>
        <v>0</v>
      </c>
      <c r="AJ135" s="24">
        <f t="shared" si="25"/>
        <v>0</v>
      </c>
      <c r="AK135" s="24">
        <f t="shared" si="26"/>
        <v>2.216963891901963E-10</v>
      </c>
      <c r="AL135" s="24">
        <f t="shared" si="27"/>
        <v>7.5094520525464739E-2</v>
      </c>
      <c r="AM135" s="161">
        <f t="shared" si="28"/>
        <v>0</v>
      </c>
      <c r="AN135" s="157">
        <f t="shared" si="29"/>
        <v>2.216963891901963E-10</v>
      </c>
      <c r="AO135" s="162">
        <f t="shared" si="30"/>
        <v>7.5094520525464739E-2</v>
      </c>
    </row>
    <row r="136" spans="1:41" s="8" customFormat="1" ht="15" customHeight="1" x14ac:dyDescent="0.2">
      <c r="A136" s="68" t="s">
        <v>59</v>
      </c>
      <c r="B136" s="54" t="s">
        <v>16</v>
      </c>
      <c r="C136" s="51">
        <v>0.1</v>
      </c>
      <c r="D136" s="51" t="s">
        <v>2</v>
      </c>
      <c r="E136" s="62" t="s">
        <v>294</v>
      </c>
      <c r="F136" s="62">
        <v>0</v>
      </c>
      <c r="G136" s="51" t="s">
        <v>12</v>
      </c>
      <c r="H136" s="51">
        <v>0</v>
      </c>
      <c r="I136" s="69">
        <v>0</v>
      </c>
      <c r="J136" s="51">
        <v>0</v>
      </c>
      <c r="K136" s="51">
        <v>0</v>
      </c>
      <c r="L136" s="62">
        <v>0</v>
      </c>
      <c r="M136" s="51" t="s">
        <v>69</v>
      </c>
      <c r="N136" s="51" t="s">
        <v>7</v>
      </c>
      <c r="O136" s="69">
        <v>1.0000000000000002E-2</v>
      </c>
      <c r="P136" s="51" t="s">
        <v>2</v>
      </c>
      <c r="Q136" s="51">
        <v>0</v>
      </c>
      <c r="R136" s="62">
        <v>0</v>
      </c>
      <c r="S136" s="62">
        <v>0</v>
      </c>
      <c r="T136" s="54" t="s">
        <v>17</v>
      </c>
      <c r="U136" s="127">
        <v>0</v>
      </c>
      <c r="V136" s="115">
        <v>0</v>
      </c>
      <c r="W136" s="115">
        <v>0</v>
      </c>
      <c r="X136" s="115">
        <v>0</v>
      </c>
      <c r="Y136" s="115">
        <v>47</v>
      </c>
      <c r="Z136" s="115">
        <v>913</v>
      </c>
      <c r="AA136" s="132" t="s">
        <v>539</v>
      </c>
      <c r="AB136" s="27">
        <f t="shared" si="47"/>
        <v>0</v>
      </c>
      <c r="AC136" s="29">
        <f t="shared" si="48"/>
        <v>2.7000000000000006E-4</v>
      </c>
      <c r="AD136" s="135">
        <f t="shared" si="19"/>
        <v>0</v>
      </c>
      <c r="AE136" s="135">
        <f t="shared" si="20"/>
        <v>0</v>
      </c>
      <c r="AF136" s="24">
        <f t="shared" si="21"/>
        <v>0.24651000000000006</v>
      </c>
      <c r="AG136" s="24">
        <f t="shared" si="22"/>
        <v>0</v>
      </c>
      <c r="AH136" s="24">
        <f t="shared" si="23"/>
        <v>0</v>
      </c>
      <c r="AI136" s="24">
        <f t="shared" si="24"/>
        <v>0</v>
      </c>
      <c r="AJ136" s="24">
        <f t="shared" si="25"/>
        <v>0</v>
      </c>
      <c r="AK136" s="24">
        <f t="shared" si="26"/>
        <v>0</v>
      </c>
      <c r="AL136" s="24">
        <f t="shared" si="27"/>
        <v>0.24651000000000006</v>
      </c>
      <c r="AM136" s="161">
        <f t="shared" si="28"/>
        <v>0</v>
      </c>
      <c r="AN136" s="157">
        <f t="shared" si="29"/>
        <v>0</v>
      </c>
      <c r="AO136" s="162">
        <f t="shared" si="30"/>
        <v>0.24651000000000006</v>
      </c>
    </row>
    <row r="137" spans="1:41" s="8" customFormat="1" ht="15" customHeight="1" x14ac:dyDescent="0.2">
      <c r="A137" s="68" t="s">
        <v>59</v>
      </c>
      <c r="B137" s="54" t="s">
        <v>18</v>
      </c>
      <c r="C137" s="51">
        <v>0.05</v>
      </c>
      <c r="D137" s="51" t="s">
        <v>2</v>
      </c>
      <c r="E137" s="62" t="s">
        <v>294</v>
      </c>
      <c r="F137" s="62">
        <v>0</v>
      </c>
      <c r="G137" s="51" t="s">
        <v>12</v>
      </c>
      <c r="H137" s="51">
        <v>0</v>
      </c>
      <c r="I137" s="69">
        <v>0</v>
      </c>
      <c r="J137" s="51">
        <v>0</v>
      </c>
      <c r="K137" s="51">
        <v>0</v>
      </c>
      <c r="L137" s="62">
        <v>0</v>
      </c>
      <c r="M137" s="51" t="s">
        <v>18</v>
      </c>
      <c r="N137" s="51" t="s">
        <v>7</v>
      </c>
      <c r="O137" s="69">
        <v>5.000000000000001E-3</v>
      </c>
      <c r="P137" s="51" t="s">
        <v>2</v>
      </c>
      <c r="Q137" s="51">
        <v>0</v>
      </c>
      <c r="R137" s="62">
        <v>0</v>
      </c>
      <c r="S137" s="62">
        <v>0</v>
      </c>
      <c r="T137" s="54" t="s">
        <v>14</v>
      </c>
      <c r="U137" s="127">
        <v>0</v>
      </c>
      <c r="V137" s="115">
        <v>0</v>
      </c>
      <c r="W137" s="115">
        <v>0</v>
      </c>
      <c r="X137" s="115">
        <v>0</v>
      </c>
      <c r="Y137" s="115">
        <v>109.72</v>
      </c>
      <c r="Z137" s="115">
        <v>110</v>
      </c>
      <c r="AA137" s="132" t="s">
        <v>539</v>
      </c>
      <c r="AB137" s="27">
        <f t="shared" si="47"/>
        <v>0</v>
      </c>
      <c r="AC137" s="29">
        <f t="shared" si="48"/>
        <v>1.3500000000000003E-4</v>
      </c>
      <c r="AD137" s="135">
        <f t="shared" si="19"/>
        <v>0</v>
      </c>
      <c r="AE137" s="135">
        <f t="shared" si="20"/>
        <v>0</v>
      </c>
      <c r="AF137" s="24">
        <f t="shared" si="21"/>
        <v>1.4850000000000004E-2</v>
      </c>
      <c r="AG137" s="24">
        <f t="shared" si="22"/>
        <v>0</v>
      </c>
      <c r="AH137" s="24">
        <f t="shared" si="23"/>
        <v>0</v>
      </c>
      <c r="AI137" s="24">
        <f t="shared" si="24"/>
        <v>0</v>
      </c>
      <c r="AJ137" s="24">
        <f t="shared" si="25"/>
        <v>0</v>
      </c>
      <c r="AK137" s="24">
        <f t="shared" si="26"/>
        <v>0</v>
      </c>
      <c r="AL137" s="24">
        <f t="shared" si="27"/>
        <v>1.4850000000000004E-2</v>
      </c>
      <c r="AM137" s="161">
        <f t="shared" si="28"/>
        <v>0</v>
      </c>
      <c r="AN137" s="157">
        <f t="shared" si="29"/>
        <v>0</v>
      </c>
      <c r="AO137" s="162">
        <f t="shared" si="30"/>
        <v>1.4850000000000004E-2</v>
      </c>
    </row>
    <row r="138" spans="1:41" s="8" customFormat="1" ht="15" customHeight="1" x14ac:dyDescent="0.2">
      <c r="A138" s="68" t="s">
        <v>59</v>
      </c>
      <c r="B138" s="50" t="s">
        <v>39</v>
      </c>
      <c r="C138" s="51">
        <v>0</v>
      </c>
      <c r="D138" s="51">
        <v>0</v>
      </c>
      <c r="E138" s="62" t="s">
        <v>1369</v>
      </c>
      <c r="F138" s="62">
        <v>0</v>
      </c>
      <c r="G138" s="51" t="s">
        <v>39</v>
      </c>
      <c r="H138" s="51" t="s">
        <v>6</v>
      </c>
      <c r="I138" s="69">
        <v>1.0000000000000001E-7</v>
      </c>
      <c r="J138" s="51" t="s">
        <v>2</v>
      </c>
      <c r="K138" s="54">
        <v>0</v>
      </c>
      <c r="L138" s="62">
        <v>0</v>
      </c>
      <c r="M138" s="51" t="s">
        <v>39</v>
      </c>
      <c r="N138" s="51" t="s">
        <v>7</v>
      </c>
      <c r="O138" s="69">
        <v>1.0000000000000001E-5</v>
      </c>
      <c r="P138" s="51" t="s">
        <v>2</v>
      </c>
      <c r="Q138" s="54" t="s">
        <v>295</v>
      </c>
      <c r="R138" s="62">
        <v>0</v>
      </c>
      <c r="S138" s="62">
        <v>0</v>
      </c>
      <c r="T138" s="54" t="s">
        <v>60</v>
      </c>
      <c r="U138" s="127">
        <v>1.0252176328593382E-6</v>
      </c>
      <c r="V138" s="115">
        <v>0</v>
      </c>
      <c r="W138" s="115">
        <v>8.6533271568247147E-7</v>
      </c>
      <c r="X138" s="115">
        <v>0</v>
      </c>
      <c r="Y138" s="115">
        <v>0.65406517859613422</v>
      </c>
      <c r="Z138" s="115">
        <v>11.248588270889815</v>
      </c>
      <c r="AA138" s="132" t="s">
        <v>537</v>
      </c>
      <c r="AB138" s="27">
        <f t="shared" si="47"/>
        <v>2.7000000000000006E-9</v>
      </c>
      <c r="AC138" s="29">
        <f t="shared" si="48"/>
        <v>2.7000000000000006E-7</v>
      </c>
      <c r="AD138" s="135">
        <f t="shared" si="19"/>
        <v>2.3640792084298759E-13</v>
      </c>
      <c r="AE138" s="135">
        <f t="shared" si="20"/>
        <v>0</v>
      </c>
      <c r="AF138" s="24">
        <f t="shared" si="21"/>
        <v>3.0388848091224607E-6</v>
      </c>
      <c r="AG138" s="24">
        <f t="shared" si="22"/>
        <v>2.7680876087202136E-15</v>
      </c>
      <c r="AH138" s="24">
        <f t="shared" si="23"/>
        <v>0</v>
      </c>
      <c r="AI138" s="24">
        <f t="shared" si="24"/>
        <v>1.7659759822095628E-9</v>
      </c>
      <c r="AJ138" s="24">
        <f t="shared" si="25"/>
        <v>2.3363983323426735E-13</v>
      </c>
      <c r="AK138" s="24">
        <f t="shared" si="26"/>
        <v>0</v>
      </c>
      <c r="AL138" s="24">
        <f t="shared" si="27"/>
        <v>3.037118833140251E-6</v>
      </c>
      <c r="AM138" s="161">
        <f t="shared" si="28"/>
        <v>2.3640792084298759E-13</v>
      </c>
      <c r="AN138" s="157">
        <f t="shared" si="29"/>
        <v>0</v>
      </c>
      <c r="AO138" s="162">
        <f t="shared" si="30"/>
        <v>3.0388848091224607E-6</v>
      </c>
    </row>
    <row r="139" spans="1:41" s="8" customFormat="1" ht="15" customHeight="1" x14ac:dyDescent="0.2">
      <c r="A139" s="68" t="s">
        <v>59</v>
      </c>
      <c r="B139" s="54" t="s">
        <v>87</v>
      </c>
      <c r="C139" s="51">
        <v>0</v>
      </c>
      <c r="D139" s="51">
        <v>0</v>
      </c>
      <c r="E139" s="62" t="s">
        <v>1370</v>
      </c>
      <c r="F139" s="62">
        <v>0</v>
      </c>
      <c r="G139" s="51" t="s">
        <v>3</v>
      </c>
      <c r="H139" s="51" t="s">
        <v>6</v>
      </c>
      <c r="I139" s="69">
        <v>1.0000000000000001E-7</v>
      </c>
      <c r="J139" s="51" t="s">
        <v>2</v>
      </c>
      <c r="K139" s="51">
        <v>0</v>
      </c>
      <c r="L139" s="62">
        <v>0</v>
      </c>
      <c r="M139" s="51" t="s">
        <v>3</v>
      </c>
      <c r="N139" s="51" t="s">
        <v>7</v>
      </c>
      <c r="O139" s="69">
        <v>1.0000000000000002E-6</v>
      </c>
      <c r="P139" s="51" t="s">
        <v>2</v>
      </c>
      <c r="Q139" s="51" t="s">
        <v>1371</v>
      </c>
      <c r="R139" s="62">
        <v>0</v>
      </c>
      <c r="S139" s="62">
        <v>0</v>
      </c>
      <c r="T139" s="54" t="s">
        <v>28</v>
      </c>
      <c r="U139" s="127">
        <v>2.5208446330720887E-5</v>
      </c>
      <c r="V139" s="115">
        <v>2.6504960021309262E-7</v>
      </c>
      <c r="W139" s="115">
        <v>1.4222228897488039E-7</v>
      </c>
      <c r="X139" s="115">
        <v>3.170874313501273E-7</v>
      </c>
      <c r="Y139" s="115">
        <v>17.989178582912412</v>
      </c>
      <c r="Z139" s="115">
        <v>290.05086067463066</v>
      </c>
      <c r="AA139" s="132" t="s">
        <v>537</v>
      </c>
      <c r="AB139" s="27">
        <f t="shared" si="47"/>
        <v>2.7000000000000006E-9</v>
      </c>
      <c r="AC139" s="29">
        <f t="shared" si="48"/>
        <v>2.7000000000000007E-8</v>
      </c>
      <c r="AD139" s="135">
        <f t="shared" si="19"/>
        <v>7.1902806895268183E-14</v>
      </c>
      <c r="AE139" s="135">
        <f t="shared" si="20"/>
        <v>9.2769945670287894E-15</v>
      </c>
      <c r="AF139" s="24">
        <f t="shared" si="21"/>
        <v>7.8799440203888937E-6</v>
      </c>
      <c r="AG139" s="24">
        <f t="shared" si="22"/>
        <v>6.8062805092946415E-14</v>
      </c>
      <c r="AH139" s="24">
        <f t="shared" si="23"/>
        <v>7.1563392057535022E-16</v>
      </c>
      <c r="AI139" s="24">
        <f t="shared" si="24"/>
        <v>4.8570782173863527E-8</v>
      </c>
      <c r="AJ139" s="24">
        <f t="shared" si="25"/>
        <v>3.840001802321772E-15</v>
      </c>
      <c r="AK139" s="24">
        <f t="shared" si="26"/>
        <v>8.561360646453439E-15</v>
      </c>
      <c r="AL139" s="24">
        <f t="shared" si="27"/>
        <v>7.8313732382150301E-6</v>
      </c>
      <c r="AM139" s="161">
        <f t="shared" si="28"/>
        <v>7.1902806895268183E-14</v>
      </c>
      <c r="AN139" s="157">
        <f t="shared" si="29"/>
        <v>9.2769945670287894E-15</v>
      </c>
      <c r="AO139" s="162">
        <f t="shared" si="30"/>
        <v>7.8799440203888937E-6</v>
      </c>
    </row>
    <row r="140" spans="1:41" s="8" customFormat="1" ht="15" customHeight="1" x14ac:dyDescent="0.2">
      <c r="A140" s="70" t="s">
        <v>308</v>
      </c>
      <c r="B140" s="53" t="s">
        <v>19</v>
      </c>
      <c r="C140" s="74">
        <v>0.3</v>
      </c>
      <c r="D140" s="51" t="s">
        <v>2</v>
      </c>
      <c r="E140" s="62" t="s">
        <v>294</v>
      </c>
      <c r="F140" s="62">
        <v>0</v>
      </c>
      <c r="G140" s="51" t="s">
        <v>65</v>
      </c>
      <c r="H140" s="54" t="s">
        <v>6</v>
      </c>
      <c r="I140" s="69">
        <v>2.9999999999999997E-4</v>
      </c>
      <c r="J140" s="51">
        <v>0</v>
      </c>
      <c r="K140" s="51">
        <v>0</v>
      </c>
      <c r="L140" s="62">
        <v>0</v>
      </c>
      <c r="M140" s="51" t="s">
        <v>65</v>
      </c>
      <c r="N140" s="51" t="s">
        <v>7</v>
      </c>
      <c r="O140" s="69">
        <v>0.03</v>
      </c>
      <c r="P140" s="51" t="s">
        <v>2</v>
      </c>
      <c r="Q140" s="51">
        <v>0</v>
      </c>
      <c r="R140" s="62">
        <v>0</v>
      </c>
      <c r="S140" s="62">
        <v>0</v>
      </c>
      <c r="T140" s="54" t="s">
        <v>20</v>
      </c>
      <c r="U140" s="127">
        <v>0</v>
      </c>
      <c r="V140" s="115">
        <v>2.5624272316803493E-8</v>
      </c>
      <c r="W140" s="115">
        <v>0</v>
      </c>
      <c r="X140" s="115">
        <v>6.1179997974786175E-9</v>
      </c>
      <c r="Y140" s="115">
        <v>95.727827940780713</v>
      </c>
      <c r="Z140" s="115">
        <v>451.93033608164546</v>
      </c>
      <c r="AA140" s="132" t="s">
        <v>538</v>
      </c>
      <c r="AB140" s="27">
        <f>$C$51*I140</f>
        <v>2.1599999999999996E-6</v>
      </c>
      <c r="AC140" s="29">
        <f>$C$51*O140</f>
        <v>2.1599999999999999E-4</v>
      </c>
      <c r="AD140" s="135">
        <f t="shared" si="19"/>
        <v>0</v>
      </c>
      <c r="AE140" s="135">
        <f t="shared" si="20"/>
        <v>1.376836384459677E-12</v>
      </c>
      <c r="AF140" s="24">
        <f t="shared" si="21"/>
        <v>9.7823724701987497E-2</v>
      </c>
      <c r="AG140" s="24">
        <f t="shared" si="22"/>
        <v>0</v>
      </c>
      <c r="AH140" s="24">
        <f t="shared" si="23"/>
        <v>5.5348428204295535E-14</v>
      </c>
      <c r="AI140" s="24">
        <f t="shared" si="24"/>
        <v>2.0677210835208631E-4</v>
      </c>
      <c r="AJ140" s="24">
        <f t="shared" si="25"/>
        <v>0</v>
      </c>
      <c r="AK140" s="24">
        <f t="shared" si="26"/>
        <v>1.3214879562553814E-12</v>
      </c>
      <c r="AL140" s="24">
        <f t="shared" si="27"/>
        <v>9.7616952593635412E-2</v>
      </c>
      <c r="AM140" s="161">
        <f t="shared" si="28"/>
        <v>0</v>
      </c>
      <c r="AN140" s="157">
        <f t="shared" si="29"/>
        <v>1.376836384459677E-12</v>
      </c>
      <c r="AO140" s="162">
        <f t="shared" si="30"/>
        <v>9.7823724701987497E-2</v>
      </c>
    </row>
    <row r="141" spans="1:41" s="8" customFormat="1" ht="15" customHeight="1" x14ac:dyDescent="0.2">
      <c r="A141" s="68" t="s">
        <v>75</v>
      </c>
      <c r="B141" s="54" t="s">
        <v>66</v>
      </c>
      <c r="C141" s="51">
        <v>0.05</v>
      </c>
      <c r="D141" s="51" t="s">
        <v>2</v>
      </c>
      <c r="E141" s="62" t="s">
        <v>294</v>
      </c>
      <c r="F141" s="62">
        <v>0</v>
      </c>
      <c r="G141" s="54" t="s">
        <v>12</v>
      </c>
      <c r="H141" s="51">
        <v>0</v>
      </c>
      <c r="I141" s="69">
        <v>0</v>
      </c>
      <c r="J141" s="51">
        <v>0</v>
      </c>
      <c r="K141" s="51">
        <v>0</v>
      </c>
      <c r="L141" s="62">
        <v>0</v>
      </c>
      <c r="M141" s="51" t="s">
        <v>66</v>
      </c>
      <c r="N141" s="51" t="s">
        <v>7</v>
      </c>
      <c r="O141" s="69">
        <v>5.000000000000001E-3</v>
      </c>
      <c r="P141" s="51" t="s">
        <v>2</v>
      </c>
      <c r="Q141" s="51">
        <v>0</v>
      </c>
      <c r="R141" s="62">
        <v>0</v>
      </c>
      <c r="S141" s="62">
        <v>0</v>
      </c>
      <c r="T141" s="54" t="s">
        <v>61</v>
      </c>
      <c r="U141" s="128">
        <v>0</v>
      </c>
      <c r="V141" s="115">
        <v>3.4962401965755862E-5</v>
      </c>
      <c r="W141" s="125">
        <v>0</v>
      </c>
      <c r="X141" s="115">
        <v>1.4442852689626513E-7</v>
      </c>
      <c r="Y141" s="115">
        <v>1.7253896630384493</v>
      </c>
      <c r="Z141" s="115">
        <v>5.4794308572283885</v>
      </c>
      <c r="AA141" s="132" t="s">
        <v>538</v>
      </c>
      <c r="AB141" s="27">
        <f>$C$52*I141</f>
        <v>0</v>
      </c>
      <c r="AC141" s="29">
        <f>$C$52*O141</f>
        <v>2.7E-6</v>
      </c>
      <c r="AD141" s="135">
        <f t="shared" si="19"/>
        <v>0</v>
      </c>
      <c r="AE141" s="135">
        <f t="shared" si="20"/>
        <v>3.8995702261991586E-13</v>
      </c>
      <c r="AF141" s="24">
        <f t="shared" si="21"/>
        <v>1.479446331451665E-5</v>
      </c>
      <c r="AG141" s="24">
        <f t="shared" si="22"/>
        <v>0</v>
      </c>
      <c r="AH141" s="24">
        <f t="shared" si="23"/>
        <v>0</v>
      </c>
      <c r="AI141" s="24">
        <f t="shared" si="24"/>
        <v>0</v>
      </c>
      <c r="AJ141" s="24">
        <f t="shared" si="25"/>
        <v>0</v>
      </c>
      <c r="AK141" s="24">
        <f t="shared" si="26"/>
        <v>3.8995702261991586E-13</v>
      </c>
      <c r="AL141" s="24">
        <f t="shared" si="27"/>
        <v>1.479446331451665E-5</v>
      </c>
      <c r="AM141" s="161">
        <f t="shared" si="28"/>
        <v>0</v>
      </c>
      <c r="AN141" s="157">
        <f t="shared" si="29"/>
        <v>3.8995702261991586E-13</v>
      </c>
      <c r="AO141" s="162">
        <f t="shared" si="30"/>
        <v>1.479446331451665E-5</v>
      </c>
    </row>
    <row r="142" spans="1:41" s="8" customFormat="1" ht="15" customHeight="1" x14ac:dyDescent="0.2">
      <c r="A142" s="68" t="s">
        <v>75</v>
      </c>
      <c r="B142" s="54" t="s">
        <v>5</v>
      </c>
      <c r="C142" s="51">
        <v>0.02</v>
      </c>
      <c r="D142" s="51" t="s">
        <v>2</v>
      </c>
      <c r="E142" s="62" t="s">
        <v>294</v>
      </c>
      <c r="F142" s="62">
        <v>0</v>
      </c>
      <c r="G142" s="54" t="s">
        <v>12</v>
      </c>
      <c r="H142" s="51">
        <v>0</v>
      </c>
      <c r="I142" s="69">
        <v>0</v>
      </c>
      <c r="J142" s="51">
        <v>0</v>
      </c>
      <c r="K142" s="51">
        <v>0</v>
      </c>
      <c r="L142" s="62">
        <v>0</v>
      </c>
      <c r="M142" s="51" t="s">
        <v>5</v>
      </c>
      <c r="N142" s="51" t="s">
        <v>7</v>
      </c>
      <c r="O142" s="69">
        <v>2E-3</v>
      </c>
      <c r="P142" s="51" t="s">
        <v>2</v>
      </c>
      <c r="Q142" s="51">
        <v>0</v>
      </c>
      <c r="R142" s="62">
        <v>0</v>
      </c>
      <c r="S142" s="62">
        <v>0</v>
      </c>
      <c r="T142" s="54" t="s">
        <v>25</v>
      </c>
      <c r="U142" s="127">
        <v>0</v>
      </c>
      <c r="V142" s="115">
        <v>0</v>
      </c>
      <c r="W142" s="115">
        <v>0</v>
      </c>
      <c r="X142" s="115">
        <v>0</v>
      </c>
      <c r="Y142" s="115">
        <v>164.24</v>
      </c>
      <c r="Z142" s="115">
        <v>400.09</v>
      </c>
      <c r="AA142" s="132" t="s">
        <v>539</v>
      </c>
      <c r="AB142" s="27">
        <f t="shared" ref="AB142:AB145" si="49">$C$52*I142</f>
        <v>0</v>
      </c>
      <c r="AC142" s="29">
        <f t="shared" ref="AC142:AC145" si="50">$C$52*O142</f>
        <v>1.0799999999999998E-6</v>
      </c>
      <c r="AD142" s="135">
        <f t="shared" si="19"/>
        <v>0</v>
      </c>
      <c r="AE142" s="135">
        <f t="shared" si="20"/>
        <v>0</v>
      </c>
      <c r="AF142" s="24">
        <f t="shared" si="21"/>
        <v>4.320971999999999E-4</v>
      </c>
      <c r="AG142" s="24">
        <f t="shared" si="22"/>
        <v>0</v>
      </c>
      <c r="AH142" s="24">
        <f t="shared" si="23"/>
        <v>0</v>
      </c>
      <c r="AI142" s="24">
        <f t="shared" si="24"/>
        <v>0</v>
      </c>
      <c r="AJ142" s="24">
        <f t="shared" si="25"/>
        <v>0</v>
      </c>
      <c r="AK142" s="24">
        <f t="shared" si="26"/>
        <v>0</v>
      </c>
      <c r="AL142" s="24">
        <f t="shared" si="27"/>
        <v>4.320971999999999E-4</v>
      </c>
      <c r="AM142" s="161">
        <f t="shared" si="28"/>
        <v>0</v>
      </c>
      <c r="AN142" s="157">
        <f t="shared" si="29"/>
        <v>0</v>
      </c>
      <c r="AO142" s="162">
        <f t="shared" si="30"/>
        <v>4.320971999999999E-4</v>
      </c>
    </row>
    <row r="143" spans="1:41" s="8" customFormat="1" ht="15" customHeight="1" x14ac:dyDescent="0.2">
      <c r="A143" s="68" t="s">
        <v>75</v>
      </c>
      <c r="B143" s="54" t="s">
        <v>76</v>
      </c>
      <c r="C143" s="51">
        <v>1E-3</v>
      </c>
      <c r="D143" s="51" t="s">
        <v>2</v>
      </c>
      <c r="E143" s="62" t="s">
        <v>294</v>
      </c>
      <c r="F143" s="62">
        <v>0</v>
      </c>
      <c r="G143" s="54" t="s">
        <v>12</v>
      </c>
      <c r="H143" s="51">
        <v>0</v>
      </c>
      <c r="I143" s="69">
        <v>0</v>
      </c>
      <c r="J143" s="51">
        <v>0</v>
      </c>
      <c r="K143" s="51">
        <v>0</v>
      </c>
      <c r="L143" s="62">
        <v>0</v>
      </c>
      <c r="M143" s="51" t="s">
        <v>72</v>
      </c>
      <c r="N143" s="51" t="s">
        <v>7</v>
      </c>
      <c r="O143" s="69">
        <v>1E-4</v>
      </c>
      <c r="P143" s="51" t="s">
        <v>2</v>
      </c>
      <c r="Q143" s="51">
        <v>0</v>
      </c>
      <c r="R143" s="62">
        <v>0</v>
      </c>
      <c r="S143" s="62">
        <v>0</v>
      </c>
      <c r="T143" s="54" t="s">
        <v>81</v>
      </c>
      <c r="U143" s="127">
        <v>0</v>
      </c>
      <c r="V143" s="115">
        <v>0</v>
      </c>
      <c r="W143" s="115">
        <v>0</v>
      </c>
      <c r="X143" s="115">
        <v>0</v>
      </c>
      <c r="Y143" s="115">
        <v>306.24811854656059</v>
      </c>
      <c r="Z143" s="115">
        <v>2239.9292193792821</v>
      </c>
      <c r="AA143" s="132" t="s">
        <v>537</v>
      </c>
      <c r="AB143" s="27">
        <f t="shared" si="49"/>
        <v>0</v>
      </c>
      <c r="AC143" s="29">
        <f t="shared" si="50"/>
        <v>5.3999999999999994E-8</v>
      </c>
      <c r="AD143" s="135">
        <f t="shared" si="19"/>
        <v>0</v>
      </c>
      <c r="AE143" s="135">
        <f t="shared" si="20"/>
        <v>0</v>
      </c>
      <c r="AF143" s="24">
        <f t="shared" si="21"/>
        <v>1.2095617784648122E-4</v>
      </c>
      <c r="AG143" s="24">
        <f t="shared" si="22"/>
        <v>0</v>
      </c>
      <c r="AH143" s="24">
        <f t="shared" si="23"/>
        <v>0</v>
      </c>
      <c r="AI143" s="24">
        <f t="shared" si="24"/>
        <v>0</v>
      </c>
      <c r="AJ143" s="24">
        <f t="shared" si="25"/>
        <v>0</v>
      </c>
      <c r="AK143" s="24">
        <f t="shared" si="26"/>
        <v>0</v>
      </c>
      <c r="AL143" s="24">
        <f t="shared" si="27"/>
        <v>1.2095617784648122E-4</v>
      </c>
      <c r="AM143" s="161">
        <f t="shared" si="28"/>
        <v>0</v>
      </c>
      <c r="AN143" s="157">
        <f t="shared" si="29"/>
        <v>0</v>
      </c>
      <c r="AO143" s="162">
        <f t="shared" si="30"/>
        <v>1.2095617784648122E-4</v>
      </c>
    </row>
    <row r="144" spans="1:41" s="8" customFormat="1" ht="15" customHeight="1" x14ac:dyDescent="0.2">
      <c r="A144" s="68" t="s">
        <v>75</v>
      </c>
      <c r="B144" s="54" t="s">
        <v>77</v>
      </c>
      <c r="C144" s="51">
        <v>1E-3</v>
      </c>
      <c r="D144" s="51" t="s">
        <v>2</v>
      </c>
      <c r="E144" s="62" t="s">
        <v>294</v>
      </c>
      <c r="F144" s="62">
        <v>0</v>
      </c>
      <c r="G144" s="54" t="s">
        <v>12</v>
      </c>
      <c r="H144" s="51">
        <v>0</v>
      </c>
      <c r="I144" s="69">
        <v>0</v>
      </c>
      <c r="J144" s="51">
        <v>0</v>
      </c>
      <c r="K144" s="51">
        <v>0</v>
      </c>
      <c r="L144" s="62">
        <v>0</v>
      </c>
      <c r="M144" s="51" t="s">
        <v>71</v>
      </c>
      <c r="N144" s="51" t="s">
        <v>7</v>
      </c>
      <c r="O144" s="69">
        <v>1E-4</v>
      </c>
      <c r="P144" s="51" t="s">
        <v>2</v>
      </c>
      <c r="Q144" s="54">
        <v>0</v>
      </c>
      <c r="R144" s="62">
        <v>0</v>
      </c>
      <c r="S144" s="62">
        <v>0</v>
      </c>
      <c r="T144" s="54" t="s">
        <v>95</v>
      </c>
      <c r="U144" s="127">
        <v>0</v>
      </c>
      <c r="V144" s="115">
        <v>0</v>
      </c>
      <c r="W144" s="115">
        <v>0</v>
      </c>
      <c r="X144" s="115">
        <v>0</v>
      </c>
      <c r="Y144" s="115">
        <v>6089.5109426939807</v>
      </c>
      <c r="Z144" s="115">
        <v>54476.932420915044</v>
      </c>
      <c r="AA144" s="132" t="s">
        <v>537</v>
      </c>
      <c r="AB144" s="27">
        <f t="shared" si="49"/>
        <v>0</v>
      </c>
      <c r="AC144" s="29">
        <f t="shared" si="50"/>
        <v>5.3999999999999994E-8</v>
      </c>
      <c r="AD144" s="135">
        <f t="shared" si="19"/>
        <v>0</v>
      </c>
      <c r="AE144" s="135">
        <f t="shared" si="20"/>
        <v>0</v>
      </c>
      <c r="AF144" s="24">
        <f t="shared" si="21"/>
        <v>2.9417543507294121E-3</v>
      </c>
      <c r="AG144" s="24">
        <f t="shared" si="22"/>
        <v>0</v>
      </c>
      <c r="AH144" s="24">
        <f t="shared" si="23"/>
        <v>0</v>
      </c>
      <c r="AI144" s="24">
        <f t="shared" si="24"/>
        <v>0</v>
      </c>
      <c r="AJ144" s="24">
        <f t="shared" si="25"/>
        <v>0</v>
      </c>
      <c r="AK144" s="24">
        <f t="shared" si="26"/>
        <v>0</v>
      </c>
      <c r="AL144" s="24">
        <f t="shared" si="27"/>
        <v>2.9417543507294121E-3</v>
      </c>
      <c r="AM144" s="161">
        <f t="shared" si="28"/>
        <v>0</v>
      </c>
      <c r="AN144" s="157">
        <f t="shared" si="29"/>
        <v>0</v>
      </c>
      <c r="AO144" s="162">
        <f t="shared" si="30"/>
        <v>2.9417543507294121E-3</v>
      </c>
    </row>
    <row r="145" spans="1:41" s="8" customFormat="1" ht="15" customHeight="1" x14ac:dyDescent="0.2">
      <c r="A145" s="68" t="s">
        <v>75</v>
      </c>
      <c r="B145" s="54" t="s">
        <v>70</v>
      </c>
      <c r="C145" s="51">
        <v>1E-3</v>
      </c>
      <c r="D145" s="51" t="s">
        <v>2</v>
      </c>
      <c r="E145" s="62" t="s">
        <v>294</v>
      </c>
      <c r="F145" s="62">
        <v>0</v>
      </c>
      <c r="G145" s="54" t="s">
        <v>12</v>
      </c>
      <c r="H145" s="51">
        <v>0</v>
      </c>
      <c r="I145" s="69">
        <v>0</v>
      </c>
      <c r="J145" s="51">
        <v>0</v>
      </c>
      <c r="K145" s="51">
        <v>0</v>
      </c>
      <c r="L145" s="62">
        <v>0</v>
      </c>
      <c r="M145" s="51" t="s">
        <v>70</v>
      </c>
      <c r="N145" s="51" t="s">
        <v>7</v>
      </c>
      <c r="O145" s="69">
        <v>1E-4</v>
      </c>
      <c r="P145" s="51" t="s">
        <v>2</v>
      </c>
      <c r="Q145" s="51">
        <v>0</v>
      </c>
      <c r="R145" s="62">
        <v>0</v>
      </c>
      <c r="S145" s="62">
        <v>0</v>
      </c>
      <c r="T145" s="54" t="s">
        <v>96</v>
      </c>
      <c r="U145" s="127">
        <v>0</v>
      </c>
      <c r="V145" s="115">
        <v>0</v>
      </c>
      <c r="W145" s="115">
        <v>0</v>
      </c>
      <c r="X145" s="115">
        <v>0</v>
      </c>
      <c r="Y145" s="115">
        <v>15653.997644153058</v>
      </c>
      <c r="Z145" s="115">
        <v>184815.26625319294</v>
      </c>
      <c r="AA145" s="132" t="s">
        <v>537</v>
      </c>
      <c r="AB145" s="27">
        <f t="shared" si="49"/>
        <v>0</v>
      </c>
      <c r="AC145" s="29">
        <f t="shared" si="50"/>
        <v>5.3999999999999994E-8</v>
      </c>
      <c r="AD145" s="135">
        <f t="shared" si="19"/>
        <v>0</v>
      </c>
      <c r="AE145" s="135">
        <f t="shared" si="20"/>
        <v>0</v>
      </c>
      <c r="AF145" s="24">
        <f t="shared" si="21"/>
        <v>9.9800243776724182E-3</v>
      </c>
      <c r="AG145" s="24">
        <f t="shared" si="22"/>
        <v>0</v>
      </c>
      <c r="AH145" s="24">
        <f t="shared" si="23"/>
        <v>0</v>
      </c>
      <c r="AI145" s="24">
        <f t="shared" si="24"/>
        <v>0</v>
      </c>
      <c r="AJ145" s="24">
        <f t="shared" si="25"/>
        <v>0</v>
      </c>
      <c r="AK145" s="24">
        <f t="shared" si="26"/>
        <v>0</v>
      </c>
      <c r="AL145" s="24">
        <f t="shared" si="27"/>
        <v>9.9800243776724182E-3</v>
      </c>
      <c r="AM145" s="161">
        <f t="shared" si="28"/>
        <v>0</v>
      </c>
      <c r="AN145" s="157">
        <f t="shared" si="29"/>
        <v>0</v>
      </c>
      <c r="AO145" s="162">
        <f t="shared" si="30"/>
        <v>9.9800243776724182E-3</v>
      </c>
    </row>
    <row r="146" spans="1:41" s="8" customFormat="1" ht="15" customHeight="1" x14ac:dyDescent="0.2">
      <c r="A146" s="68" t="s">
        <v>55</v>
      </c>
      <c r="B146" s="54" t="s">
        <v>79</v>
      </c>
      <c r="C146" s="74">
        <v>1</v>
      </c>
      <c r="D146" s="51" t="s">
        <v>2</v>
      </c>
      <c r="E146" s="64">
        <v>1</v>
      </c>
      <c r="F146" s="64">
        <v>0</v>
      </c>
      <c r="G146" s="51" t="s">
        <v>12</v>
      </c>
      <c r="H146" s="51">
        <v>0</v>
      </c>
      <c r="I146" s="69">
        <v>0</v>
      </c>
      <c r="J146" s="51">
        <v>0</v>
      </c>
      <c r="K146" s="51" t="s">
        <v>297</v>
      </c>
      <c r="L146" s="64">
        <v>0</v>
      </c>
      <c r="M146" s="51" t="s">
        <v>79</v>
      </c>
      <c r="N146" s="51" t="s">
        <v>7</v>
      </c>
      <c r="O146" s="69">
        <v>0.1</v>
      </c>
      <c r="P146" s="51" t="s">
        <v>2</v>
      </c>
      <c r="Q146" s="51">
        <v>0</v>
      </c>
      <c r="R146" s="64">
        <v>0</v>
      </c>
      <c r="S146" s="64">
        <v>0</v>
      </c>
      <c r="T146" s="54" t="s">
        <v>80</v>
      </c>
      <c r="U146" s="127">
        <v>0</v>
      </c>
      <c r="V146" s="115">
        <v>0</v>
      </c>
      <c r="W146" s="115">
        <v>0</v>
      </c>
      <c r="X146" s="115">
        <v>0</v>
      </c>
      <c r="Y146" s="115">
        <v>31</v>
      </c>
      <c r="Z146" s="115">
        <v>73.7</v>
      </c>
      <c r="AA146" s="132" t="s">
        <v>539</v>
      </c>
      <c r="AB146" s="27">
        <f>$C$53*I146</f>
        <v>0</v>
      </c>
      <c r="AC146" s="29">
        <f>$C$53*O146</f>
        <v>9.0000000000000006E-5</v>
      </c>
      <c r="AD146" s="135">
        <f t="shared" si="19"/>
        <v>0</v>
      </c>
      <c r="AE146" s="135">
        <f t="shared" si="20"/>
        <v>0</v>
      </c>
      <c r="AF146" s="24">
        <f t="shared" si="21"/>
        <v>6.6330000000000009E-3</v>
      </c>
      <c r="AG146" s="24">
        <f t="shared" si="22"/>
        <v>0</v>
      </c>
      <c r="AH146" s="24">
        <f t="shared" si="23"/>
        <v>0</v>
      </c>
      <c r="AI146" s="24">
        <f t="shared" si="24"/>
        <v>0</v>
      </c>
      <c r="AJ146" s="24">
        <f t="shared" si="25"/>
        <v>0</v>
      </c>
      <c r="AK146" s="24">
        <f t="shared" si="26"/>
        <v>0</v>
      </c>
      <c r="AL146" s="24">
        <f t="shared" si="27"/>
        <v>6.6330000000000009E-3</v>
      </c>
      <c r="AM146" s="161">
        <f t="shared" si="28"/>
        <v>0</v>
      </c>
      <c r="AN146" s="157">
        <f t="shared" si="29"/>
        <v>0</v>
      </c>
      <c r="AO146" s="162">
        <f t="shared" si="30"/>
        <v>6.6330000000000009E-3</v>
      </c>
    </row>
    <row r="147" spans="1:41" s="8" customFormat="1" ht="15" customHeight="1" x14ac:dyDescent="0.2">
      <c r="A147" s="73" t="s">
        <v>429</v>
      </c>
      <c r="B147" s="54" t="s">
        <v>0</v>
      </c>
      <c r="C147" s="74">
        <v>1</v>
      </c>
      <c r="D147" s="51" t="s">
        <v>2</v>
      </c>
      <c r="E147" s="64">
        <v>1</v>
      </c>
      <c r="F147" s="64">
        <v>0</v>
      </c>
      <c r="G147" s="54" t="s">
        <v>0</v>
      </c>
      <c r="H147" s="51" t="s">
        <v>6</v>
      </c>
      <c r="I147" s="69">
        <v>1E-3</v>
      </c>
      <c r="J147" s="51" t="s">
        <v>2</v>
      </c>
      <c r="K147" s="51">
        <v>0</v>
      </c>
      <c r="L147" s="64">
        <v>0</v>
      </c>
      <c r="M147" s="51" t="s">
        <v>0</v>
      </c>
      <c r="N147" s="51" t="s">
        <v>7</v>
      </c>
      <c r="O147" s="69">
        <v>0.1</v>
      </c>
      <c r="P147" s="51" t="s">
        <v>2</v>
      </c>
      <c r="Q147" s="51">
        <v>0</v>
      </c>
      <c r="R147" s="64">
        <v>0</v>
      </c>
      <c r="S147" s="64">
        <v>0</v>
      </c>
      <c r="T147" s="54" t="s">
        <v>21</v>
      </c>
      <c r="U147" s="127">
        <v>0</v>
      </c>
      <c r="V147" s="115">
        <v>0</v>
      </c>
      <c r="W147" s="115">
        <v>0</v>
      </c>
      <c r="X147" s="115">
        <v>0</v>
      </c>
      <c r="Y147" s="115">
        <v>2.8072892978694037</v>
      </c>
      <c r="Z147" s="115">
        <v>44.680467206809801</v>
      </c>
      <c r="AA147" s="132" t="s">
        <v>537</v>
      </c>
      <c r="AB147" s="27">
        <f>$C$54*I147</f>
        <v>5.3999999999999991E-6</v>
      </c>
      <c r="AC147" s="29">
        <f>$C$54*O147</f>
        <v>5.4000000000000001E-4</v>
      </c>
      <c r="AD147" s="135">
        <f t="shared" si="19"/>
        <v>0</v>
      </c>
      <c r="AE147" s="135">
        <f t="shared" si="20"/>
        <v>0</v>
      </c>
      <c r="AF147" s="24">
        <f t="shared" si="21"/>
        <v>2.4142611653885787E-2</v>
      </c>
      <c r="AG147" s="24">
        <f t="shared" si="22"/>
        <v>0</v>
      </c>
      <c r="AH147" s="24">
        <f t="shared" si="23"/>
        <v>0</v>
      </c>
      <c r="AI147" s="24">
        <f t="shared" si="24"/>
        <v>1.5159362208494778E-5</v>
      </c>
      <c r="AJ147" s="24">
        <f t="shared" si="25"/>
        <v>0</v>
      </c>
      <c r="AK147" s="24">
        <f t="shared" si="26"/>
        <v>0</v>
      </c>
      <c r="AL147" s="24">
        <f t="shared" si="27"/>
        <v>2.4127452291677294E-2</v>
      </c>
      <c r="AM147" s="161">
        <f t="shared" si="28"/>
        <v>0</v>
      </c>
      <c r="AN147" s="157">
        <f t="shared" si="29"/>
        <v>0</v>
      </c>
      <c r="AO147" s="162">
        <f t="shared" si="30"/>
        <v>2.4142611653885787E-2</v>
      </c>
    </row>
    <row r="148" spans="1:41" s="8" customFormat="1" ht="15" customHeight="1" x14ac:dyDescent="0.2">
      <c r="A148" s="68" t="s">
        <v>1049</v>
      </c>
      <c r="B148" s="54" t="s">
        <v>527</v>
      </c>
      <c r="C148" s="51">
        <v>0.6</v>
      </c>
      <c r="D148" s="51" t="s">
        <v>2</v>
      </c>
      <c r="E148" s="62" t="s">
        <v>294</v>
      </c>
      <c r="F148" s="62">
        <v>0</v>
      </c>
      <c r="G148" s="54" t="s">
        <v>12</v>
      </c>
      <c r="H148" s="51">
        <v>0</v>
      </c>
      <c r="I148" s="51">
        <v>0</v>
      </c>
      <c r="J148" s="51">
        <v>0</v>
      </c>
      <c r="K148" s="51">
        <v>0</v>
      </c>
      <c r="L148" s="62">
        <v>0</v>
      </c>
      <c r="M148" s="51" t="s">
        <v>68</v>
      </c>
      <c r="N148" s="51" t="s">
        <v>7</v>
      </c>
      <c r="O148" s="69">
        <v>0.06</v>
      </c>
      <c r="P148" s="51" t="s">
        <v>2</v>
      </c>
      <c r="Q148" s="51">
        <v>0</v>
      </c>
      <c r="R148" s="62">
        <v>0</v>
      </c>
      <c r="S148" s="62">
        <v>0</v>
      </c>
      <c r="T148" s="54" t="s">
        <v>526</v>
      </c>
      <c r="U148" s="127">
        <v>0</v>
      </c>
      <c r="V148" s="115">
        <v>1.6437731647150863E-6</v>
      </c>
      <c r="W148" s="115">
        <v>0</v>
      </c>
      <c r="X148" s="115">
        <v>9.8891167609639291E-6</v>
      </c>
      <c r="Y148" s="115">
        <v>25539.178143122717</v>
      </c>
      <c r="Z148" s="115">
        <v>766743.80504211958</v>
      </c>
      <c r="AA148" s="132" t="s">
        <v>538</v>
      </c>
      <c r="AB148" s="27">
        <f>$C$55*I148</f>
        <v>0</v>
      </c>
      <c r="AC148" s="29">
        <f>$C$55*O148</f>
        <v>1.6199999999999998E-4</v>
      </c>
      <c r="AD148" s="135">
        <f t="shared" ref="AD148:AD167" si="51">AB148*U148+AC148*W148</f>
        <v>0</v>
      </c>
      <c r="AE148" s="135">
        <f t="shared" ref="AE148:AE167" si="52">AB148*V148+AC148*X148</f>
        <v>1.6020369152761563E-9</v>
      </c>
      <c r="AF148" s="24">
        <f t="shared" ref="AF148:AF167" si="53">AB148*Y148+AC148*Z148</f>
        <v>124.21249641682336</v>
      </c>
      <c r="AG148" s="24">
        <f t="shared" ref="AG148:AG167" si="54">AB148*U148</f>
        <v>0</v>
      </c>
      <c r="AH148" s="24">
        <f t="shared" ref="AH148:AH167" si="55">AB148*V148</f>
        <v>0</v>
      </c>
      <c r="AI148" s="24">
        <f t="shared" ref="AI148:AI167" si="56">AB148*Y148</f>
        <v>0</v>
      </c>
      <c r="AJ148" s="24">
        <f t="shared" ref="AJ148:AJ167" si="57">AC148*W148</f>
        <v>0</v>
      </c>
      <c r="AK148" s="24">
        <f t="shared" ref="AK148:AK167" si="58">AC148*X148</f>
        <v>1.6020369152761563E-9</v>
      </c>
      <c r="AL148" s="24">
        <f t="shared" ref="AL148:AL167" si="59">AC148*Z148</f>
        <v>124.21249641682336</v>
      </c>
      <c r="AM148" s="161">
        <f t="shared" ref="AM148:AM167" si="60">AG148+AJ148</f>
        <v>0</v>
      </c>
      <c r="AN148" s="157">
        <f t="shared" ref="AN148:AN167" si="61">AH148+AK148</f>
        <v>1.6020369152761563E-9</v>
      </c>
      <c r="AO148" s="162">
        <f t="shared" ref="AO148:AO167" si="62">AI148+AL148</f>
        <v>124.21249641682336</v>
      </c>
    </row>
    <row r="149" spans="1:41" s="8" customFormat="1" ht="15" customHeight="1" x14ac:dyDescent="0.2">
      <c r="A149" s="68" t="s">
        <v>1049</v>
      </c>
      <c r="B149" s="54" t="s">
        <v>84</v>
      </c>
      <c r="C149" s="51">
        <v>0.2</v>
      </c>
      <c r="D149" s="51" t="s">
        <v>2</v>
      </c>
      <c r="E149" s="62" t="s">
        <v>294</v>
      </c>
      <c r="F149" s="62">
        <v>0</v>
      </c>
      <c r="G149" s="51" t="s">
        <v>84</v>
      </c>
      <c r="H149" s="51" t="s">
        <v>6</v>
      </c>
      <c r="I149" s="69">
        <v>2.0000000000000001E-4</v>
      </c>
      <c r="J149" s="51" t="s">
        <v>2</v>
      </c>
      <c r="K149" s="51">
        <v>0</v>
      </c>
      <c r="L149" s="62">
        <v>0</v>
      </c>
      <c r="M149" s="51" t="s">
        <v>73</v>
      </c>
      <c r="N149" s="51" t="s">
        <v>7</v>
      </c>
      <c r="O149" s="69">
        <v>2.0000000000000004E-2</v>
      </c>
      <c r="P149" s="51" t="s">
        <v>2</v>
      </c>
      <c r="Q149" s="51">
        <v>0</v>
      </c>
      <c r="R149" s="62">
        <v>0</v>
      </c>
      <c r="S149" s="62">
        <v>0</v>
      </c>
      <c r="T149" s="54" t="s">
        <v>62</v>
      </c>
      <c r="U149" s="127">
        <v>3.1027213023718394E-8</v>
      </c>
      <c r="V149" s="115">
        <v>0</v>
      </c>
      <c r="W149" s="115">
        <v>1.7206281348183625E-8</v>
      </c>
      <c r="X149" s="116">
        <v>0</v>
      </c>
      <c r="Y149" s="115">
        <v>2.6323079574736696</v>
      </c>
      <c r="Z149" s="115">
        <v>191.63613931032927</v>
      </c>
      <c r="AA149" s="132" t="s">
        <v>537</v>
      </c>
      <c r="AB149" s="27">
        <f t="shared" ref="AB149:AB151" si="63">$C$55*I149</f>
        <v>5.4000000000000002E-7</v>
      </c>
      <c r="AC149" s="29">
        <f t="shared" ref="AC149:AC151" si="64">$C$55*O149</f>
        <v>5.4000000000000005E-5</v>
      </c>
      <c r="AD149" s="135">
        <f t="shared" si="51"/>
        <v>9.4589388783472375E-13</v>
      </c>
      <c r="AE149" s="135">
        <f t="shared" si="52"/>
        <v>0</v>
      </c>
      <c r="AF149" s="24">
        <f t="shared" si="53"/>
        <v>1.0349772969054817E-2</v>
      </c>
      <c r="AG149" s="24">
        <f t="shared" si="54"/>
        <v>1.6754695032807935E-14</v>
      </c>
      <c r="AH149" s="24">
        <f t="shared" si="55"/>
        <v>0</v>
      </c>
      <c r="AI149" s="24">
        <f t="shared" si="56"/>
        <v>1.4214462970357816E-6</v>
      </c>
      <c r="AJ149" s="24">
        <f t="shared" si="57"/>
        <v>9.2913919280191587E-13</v>
      </c>
      <c r="AK149" s="24">
        <f t="shared" si="58"/>
        <v>0</v>
      </c>
      <c r="AL149" s="24">
        <f t="shared" si="59"/>
        <v>1.0348351522757782E-2</v>
      </c>
      <c r="AM149" s="161">
        <f t="shared" si="60"/>
        <v>9.4589388783472375E-13</v>
      </c>
      <c r="AN149" s="157">
        <f t="shared" si="61"/>
        <v>0</v>
      </c>
      <c r="AO149" s="162">
        <f t="shared" si="62"/>
        <v>1.0349772969054817E-2</v>
      </c>
    </row>
    <row r="150" spans="1:41" s="8" customFormat="1" ht="15" customHeight="1" x14ac:dyDescent="0.2">
      <c r="A150" s="68" t="s">
        <v>1049</v>
      </c>
      <c r="B150" s="54" t="s">
        <v>85</v>
      </c>
      <c r="C150" s="51">
        <v>0.1</v>
      </c>
      <c r="D150" s="51" t="s">
        <v>2</v>
      </c>
      <c r="E150" s="62" t="s">
        <v>294</v>
      </c>
      <c r="F150" s="62">
        <v>0</v>
      </c>
      <c r="G150" s="51" t="s">
        <v>43</v>
      </c>
      <c r="H150" s="51" t="s">
        <v>6</v>
      </c>
      <c r="I150" s="69">
        <v>1E-4</v>
      </c>
      <c r="J150" s="51" t="s">
        <v>2</v>
      </c>
      <c r="K150" s="51">
        <v>0</v>
      </c>
      <c r="L150" s="62">
        <v>0</v>
      </c>
      <c r="M150" s="51" t="s">
        <v>43</v>
      </c>
      <c r="N150" s="51" t="s">
        <v>7</v>
      </c>
      <c r="O150" s="69">
        <v>1.0000000000000002E-2</v>
      </c>
      <c r="P150" s="51" t="s">
        <v>2</v>
      </c>
      <c r="Q150" s="51">
        <v>0</v>
      </c>
      <c r="R150" s="62">
        <v>0</v>
      </c>
      <c r="S150" s="62">
        <v>0</v>
      </c>
      <c r="T150" s="54" t="s">
        <v>92</v>
      </c>
      <c r="U150" s="127">
        <v>0</v>
      </c>
      <c r="V150" s="115">
        <v>0</v>
      </c>
      <c r="W150" s="115">
        <v>0</v>
      </c>
      <c r="X150" s="115">
        <v>0</v>
      </c>
      <c r="Y150" s="129">
        <v>63</v>
      </c>
      <c r="Z150" s="129">
        <v>2910</v>
      </c>
      <c r="AA150" s="132" t="s">
        <v>539</v>
      </c>
      <c r="AB150" s="27">
        <f t="shared" si="63"/>
        <v>2.7000000000000001E-7</v>
      </c>
      <c r="AC150" s="29">
        <f t="shared" si="64"/>
        <v>2.7000000000000002E-5</v>
      </c>
      <c r="AD150" s="135">
        <f t="shared" si="51"/>
        <v>0</v>
      </c>
      <c r="AE150" s="135">
        <f t="shared" si="52"/>
        <v>0</v>
      </c>
      <c r="AF150" s="24">
        <f t="shared" si="53"/>
        <v>7.8587009999999999E-2</v>
      </c>
      <c r="AG150" s="24">
        <f t="shared" si="54"/>
        <v>0</v>
      </c>
      <c r="AH150" s="24">
        <f t="shared" si="55"/>
        <v>0</v>
      </c>
      <c r="AI150" s="24">
        <f t="shared" si="56"/>
        <v>1.7010000000000001E-5</v>
      </c>
      <c r="AJ150" s="24">
        <f t="shared" si="57"/>
        <v>0</v>
      </c>
      <c r="AK150" s="24">
        <f t="shared" si="58"/>
        <v>0</v>
      </c>
      <c r="AL150" s="24">
        <f t="shared" si="59"/>
        <v>7.8570000000000001E-2</v>
      </c>
      <c r="AM150" s="161">
        <f t="shared" si="60"/>
        <v>0</v>
      </c>
      <c r="AN150" s="157">
        <f t="shared" si="61"/>
        <v>0</v>
      </c>
      <c r="AO150" s="162">
        <f t="shared" si="62"/>
        <v>7.8587009999999999E-2</v>
      </c>
    </row>
    <row r="151" spans="1:41" s="8" customFormat="1" ht="15" customHeight="1" x14ac:dyDescent="0.2">
      <c r="A151" s="68" t="s">
        <v>1049</v>
      </c>
      <c r="B151" s="50" t="s">
        <v>67</v>
      </c>
      <c r="C151" s="51">
        <v>0</v>
      </c>
      <c r="D151" s="51">
        <v>0</v>
      </c>
      <c r="E151" s="62" t="s">
        <v>301</v>
      </c>
      <c r="F151" s="62">
        <v>0</v>
      </c>
      <c r="G151" s="8" t="s">
        <v>12</v>
      </c>
      <c r="H151" s="51">
        <v>0</v>
      </c>
      <c r="I151" s="69">
        <v>0</v>
      </c>
      <c r="J151" s="51">
        <v>0</v>
      </c>
      <c r="K151" s="51">
        <v>0</v>
      </c>
      <c r="L151" s="62">
        <v>0</v>
      </c>
      <c r="M151" s="51" t="s">
        <v>67</v>
      </c>
      <c r="N151" s="51" t="s">
        <v>7</v>
      </c>
      <c r="O151" s="69">
        <v>1.0000000000000001E-5</v>
      </c>
      <c r="P151" s="51" t="s">
        <v>2</v>
      </c>
      <c r="Q151" s="51" t="s">
        <v>1366</v>
      </c>
      <c r="R151" s="62">
        <v>0</v>
      </c>
      <c r="S151" s="62">
        <v>0</v>
      </c>
      <c r="T151" s="54" t="s">
        <v>94</v>
      </c>
      <c r="U151" s="127">
        <v>0</v>
      </c>
      <c r="V151" s="115">
        <v>0</v>
      </c>
      <c r="W151" s="115">
        <v>0</v>
      </c>
      <c r="X151" s="115">
        <v>0</v>
      </c>
      <c r="Y151" s="115">
        <v>63.500038841149426</v>
      </c>
      <c r="Z151" s="115">
        <v>10848.472578502809</v>
      </c>
      <c r="AA151" s="132" t="s">
        <v>537</v>
      </c>
      <c r="AB151" s="27">
        <f t="shared" si="63"/>
        <v>0</v>
      </c>
      <c r="AC151" s="29">
        <f t="shared" si="64"/>
        <v>2.7E-8</v>
      </c>
      <c r="AD151" s="135">
        <f t="shared" si="51"/>
        <v>0</v>
      </c>
      <c r="AE151" s="135">
        <f t="shared" si="52"/>
        <v>0</v>
      </c>
      <c r="AF151" s="24">
        <f t="shared" si="53"/>
        <v>2.9290875961957588E-4</v>
      </c>
      <c r="AG151" s="24">
        <f t="shared" si="54"/>
        <v>0</v>
      </c>
      <c r="AH151" s="24">
        <f t="shared" si="55"/>
        <v>0</v>
      </c>
      <c r="AI151" s="24">
        <f t="shared" si="56"/>
        <v>0</v>
      </c>
      <c r="AJ151" s="24">
        <f t="shared" si="57"/>
        <v>0</v>
      </c>
      <c r="AK151" s="24">
        <f t="shared" si="58"/>
        <v>0</v>
      </c>
      <c r="AL151" s="24">
        <f t="shared" si="59"/>
        <v>2.9290875961957588E-4</v>
      </c>
      <c r="AM151" s="161">
        <f t="shared" si="60"/>
        <v>0</v>
      </c>
      <c r="AN151" s="157">
        <f t="shared" si="61"/>
        <v>0</v>
      </c>
      <c r="AO151" s="162">
        <f t="shared" si="62"/>
        <v>2.9290875961957588E-4</v>
      </c>
    </row>
    <row r="152" spans="1:41" s="8" customFormat="1" ht="15" customHeight="1" x14ac:dyDescent="0.2">
      <c r="A152" s="70" t="s">
        <v>389</v>
      </c>
      <c r="B152" s="54" t="s">
        <v>392</v>
      </c>
      <c r="C152" s="75">
        <v>0.1</v>
      </c>
      <c r="D152" s="54" t="s">
        <v>2</v>
      </c>
      <c r="E152" s="62" t="s">
        <v>294</v>
      </c>
      <c r="F152" s="62">
        <v>0</v>
      </c>
      <c r="G152" s="52" t="s">
        <v>392</v>
      </c>
      <c r="H152" s="54" t="s">
        <v>6</v>
      </c>
      <c r="I152" s="69">
        <v>1E-4</v>
      </c>
      <c r="J152" s="54" t="s">
        <v>2</v>
      </c>
      <c r="K152" s="51">
        <v>0</v>
      </c>
      <c r="L152" s="62">
        <v>0</v>
      </c>
      <c r="M152" s="52" t="s">
        <v>392</v>
      </c>
      <c r="N152" s="54" t="s">
        <v>7</v>
      </c>
      <c r="O152" s="69">
        <v>1.0000000000000002E-2</v>
      </c>
      <c r="P152" s="54" t="s">
        <v>2</v>
      </c>
      <c r="Q152" s="51">
        <v>0</v>
      </c>
      <c r="R152" s="62">
        <v>0</v>
      </c>
      <c r="S152" s="62">
        <v>0</v>
      </c>
      <c r="T152" s="53" t="s">
        <v>17</v>
      </c>
      <c r="U152" s="127">
        <v>0</v>
      </c>
      <c r="V152" s="115">
        <v>0</v>
      </c>
      <c r="W152" s="115">
        <v>0</v>
      </c>
      <c r="X152" s="115">
        <v>0</v>
      </c>
      <c r="Y152" s="115">
        <v>47</v>
      </c>
      <c r="Z152" s="115">
        <v>913</v>
      </c>
      <c r="AA152" s="132" t="s">
        <v>539</v>
      </c>
      <c r="AB152" s="27">
        <f>$C$56*I152</f>
        <v>5.4000000000000002E-7</v>
      </c>
      <c r="AC152" s="29">
        <f>$C$56*O152</f>
        <v>5.4000000000000005E-5</v>
      </c>
      <c r="AD152" s="135">
        <f t="shared" si="51"/>
        <v>0</v>
      </c>
      <c r="AE152" s="135">
        <f t="shared" si="52"/>
        <v>0</v>
      </c>
      <c r="AF152" s="24">
        <f t="shared" si="53"/>
        <v>4.9327380000000004E-2</v>
      </c>
      <c r="AG152" s="24">
        <f t="shared" si="54"/>
        <v>0</v>
      </c>
      <c r="AH152" s="24">
        <f t="shared" si="55"/>
        <v>0</v>
      </c>
      <c r="AI152" s="24">
        <f t="shared" si="56"/>
        <v>2.5380000000000001E-5</v>
      </c>
      <c r="AJ152" s="24">
        <f t="shared" si="57"/>
        <v>0</v>
      </c>
      <c r="AK152" s="24">
        <f t="shared" si="58"/>
        <v>0</v>
      </c>
      <c r="AL152" s="24">
        <f t="shared" si="59"/>
        <v>4.9302000000000006E-2</v>
      </c>
      <c r="AM152" s="161">
        <f t="shared" si="60"/>
        <v>0</v>
      </c>
      <c r="AN152" s="157">
        <f t="shared" si="61"/>
        <v>0</v>
      </c>
      <c r="AO152" s="162">
        <f t="shared" si="62"/>
        <v>4.9327380000000004E-2</v>
      </c>
    </row>
    <row r="153" spans="1:41" s="8" customFormat="1" ht="15" customHeight="1" x14ac:dyDescent="0.2">
      <c r="A153" s="70" t="s">
        <v>389</v>
      </c>
      <c r="B153" s="54" t="s">
        <v>390</v>
      </c>
      <c r="C153" s="51">
        <v>0.2</v>
      </c>
      <c r="D153" s="51" t="s">
        <v>2</v>
      </c>
      <c r="E153" s="62" t="s">
        <v>294</v>
      </c>
      <c r="F153" s="62">
        <v>0</v>
      </c>
      <c r="G153" s="52" t="s">
        <v>390</v>
      </c>
      <c r="H153" s="51" t="s">
        <v>6</v>
      </c>
      <c r="I153" s="69">
        <v>2.0000000000000001E-4</v>
      </c>
      <c r="J153" s="51" t="s">
        <v>2</v>
      </c>
      <c r="K153" s="51">
        <v>0</v>
      </c>
      <c r="L153" s="62">
        <v>0</v>
      </c>
      <c r="M153" s="52" t="s">
        <v>390</v>
      </c>
      <c r="N153" s="51" t="s">
        <v>7</v>
      </c>
      <c r="O153" s="69">
        <v>2.0000000000000004E-2</v>
      </c>
      <c r="P153" s="51" t="s">
        <v>2</v>
      </c>
      <c r="Q153" s="51">
        <v>0</v>
      </c>
      <c r="R153" s="62">
        <v>0</v>
      </c>
      <c r="S153" s="62">
        <v>0</v>
      </c>
      <c r="T153" s="54" t="s">
        <v>391</v>
      </c>
      <c r="U153" s="127">
        <v>0</v>
      </c>
      <c r="V153" s="115">
        <v>0</v>
      </c>
      <c r="W153" s="115">
        <v>0</v>
      </c>
      <c r="X153" s="115">
        <v>0</v>
      </c>
      <c r="Y153" s="115">
        <v>53</v>
      </c>
      <c r="Z153" s="115">
        <v>687</v>
      </c>
      <c r="AA153" s="132" t="s">
        <v>539</v>
      </c>
      <c r="AB153" s="27">
        <f>$C$56*I153</f>
        <v>1.08E-6</v>
      </c>
      <c r="AC153" s="29">
        <f>$C$56*O153</f>
        <v>1.0800000000000001E-4</v>
      </c>
      <c r="AD153" s="135">
        <f t="shared" si="51"/>
        <v>0</v>
      </c>
      <c r="AE153" s="135">
        <f t="shared" si="52"/>
        <v>0</v>
      </c>
      <c r="AF153" s="24">
        <f t="shared" si="53"/>
        <v>7.4253240000000012E-2</v>
      </c>
      <c r="AG153" s="24">
        <f t="shared" si="54"/>
        <v>0</v>
      </c>
      <c r="AH153" s="24">
        <f t="shared" si="55"/>
        <v>0</v>
      </c>
      <c r="AI153" s="24">
        <f t="shared" si="56"/>
        <v>5.7240000000000001E-5</v>
      </c>
      <c r="AJ153" s="24">
        <f t="shared" si="57"/>
        <v>0</v>
      </c>
      <c r="AK153" s="24">
        <f t="shared" si="58"/>
        <v>0</v>
      </c>
      <c r="AL153" s="24">
        <f t="shared" si="59"/>
        <v>7.4196000000000012E-2</v>
      </c>
      <c r="AM153" s="161">
        <f t="shared" si="60"/>
        <v>0</v>
      </c>
      <c r="AN153" s="157">
        <f t="shared" si="61"/>
        <v>0</v>
      </c>
      <c r="AO153" s="162">
        <f t="shared" si="62"/>
        <v>7.4253240000000012E-2</v>
      </c>
    </row>
    <row r="154" spans="1:41" s="8" customFormat="1" ht="15" customHeight="1" x14ac:dyDescent="0.2">
      <c r="A154" s="68" t="s">
        <v>148</v>
      </c>
      <c r="B154" s="54" t="s">
        <v>393</v>
      </c>
      <c r="C154" s="74">
        <v>1</v>
      </c>
      <c r="D154" s="51" t="s">
        <v>2</v>
      </c>
      <c r="E154" s="64">
        <v>1</v>
      </c>
      <c r="F154" s="64">
        <v>0</v>
      </c>
      <c r="G154" s="51" t="s">
        <v>12</v>
      </c>
      <c r="H154" s="51">
        <v>0</v>
      </c>
      <c r="I154" s="69">
        <v>0</v>
      </c>
      <c r="J154" s="51">
        <v>0</v>
      </c>
      <c r="K154" s="51">
        <v>0</v>
      </c>
      <c r="L154" s="64">
        <v>0</v>
      </c>
      <c r="M154" s="51" t="s">
        <v>393</v>
      </c>
      <c r="N154" s="51" t="s">
        <v>7</v>
      </c>
      <c r="O154" s="69">
        <v>0.1</v>
      </c>
      <c r="P154" s="51" t="s">
        <v>2</v>
      </c>
      <c r="Q154" s="51">
        <v>0</v>
      </c>
      <c r="R154" s="64">
        <v>0</v>
      </c>
      <c r="S154" s="64">
        <v>0</v>
      </c>
      <c r="T154" s="54" t="s">
        <v>394</v>
      </c>
      <c r="U154" s="127">
        <v>0</v>
      </c>
      <c r="V154" s="115">
        <v>0</v>
      </c>
      <c r="W154" s="115">
        <v>0</v>
      </c>
      <c r="X154" s="115">
        <v>0</v>
      </c>
      <c r="Y154" s="129">
        <v>4.9000000000000004</v>
      </c>
      <c r="Z154" s="129">
        <v>100</v>
      </c>
      <c r="AA154" s="132" t="s">
        <v>539</v>
      </c>
      <c r="AB154" s="27">
        <f>$C$57*I154</f>
        <v>0</v>
      </c>
      <c r="AC154" s="29">
        <f>$C$57*O154</f>
        <v>3.6000000000000002E-4</v>
      </c>
      <c r="AD154" s="135">
        <f t="shared" si="51"/>
        <v>0</v>
      </c>
      <c r="AE154" s="135">
        <f t="shared" si="52"/>
        <v>0</v>
      </c>
      <c r="AF154" s="24">
        <f t="shared" si="53"/>
        <v>3.6000000000000004E-2</v>
      </c>
      <c r="AG154" s="24">
        <f t="shared" si="54"/>
        <v>0</v>
      </c>
      <c r="AH154" s="24">
        <f t="shared" si="55"/>
        <v>0</v>
      </c>
      <c r="AI154" s="24">
        <f t="shared" si="56"/>
        <v>0</v>
      </c>
      <c r="AJ154" s="24">
        <f t="shared" si="57"/>
        <v>0</v>
      </c>
      <c r="AK154" s="24">
        <f t="shared" si="58"/>
        <v>0</v>
      </c>
      <c r="AL154" s="24">
        <f t="shared" si="59"/>
        <v>3.6000000000000004E-2</v>
      </c>
      <c r="AM154" s="161">
        <f t="shared" si="60"/>
        <v>0</v>
      </c>
      <c r="AN154" s="157">
        <f t="shared" si="61"/>
        <v>0</v>
      </c>
      <c r="AO154" s="162">
        <f t="shared" si="62"/>
        <v>3.6000000000000004E-2</v>
      </c>
    </row>
    <row r="155" spans="1:41" s="8" customFormat="1" ht="15" customHeight="1" x14ac:dyDescent="0.2">
      <c r="A155" s="70" t="s">
        <v>149</v>
      </c>
      <c r="B155" s="54" t="s">
        <v>1</v>
      </c>
      <c r="C155" s="74">
        <v>1</v>
      </c>
      <c r="D155" s="51" t="s">
        <v>2</v>
      </c>
      <c r="E155" s="64">
        <v>1</v>
      </c>
      <c r="F155" s="64">
        <v>0</v>
      </c>
      <c r="G155" s="51" t="s">
        <v>1</v>
      </c>
      <c r="H155" s="51" t="s">
        <v>6</v>
      </c>
      <c r="I155" s="69">
        <v>1E-3</v>
      </c>
      <c r="J155" s="51" t="s">
        <v>2</v>
      </c>
      <c r="K155" s="51">
        <v>0</v>
      </c>
      <c r="L155" s="64">
        <v>0</v>
      </c>
      <c r="M155" s="51" t="s">
        <v>1</v>
      </c>
      <c r="N155" s="51" t="s">
        <v>7</v>
      </c>
      <c r="O155" s="69">
        <v>1.0000000000000002E-2</v>
      </c>
      <c r="P155" s="51" t="s">
        <v>2</v>
      </c>
      <c r="Q155" s="8" t="s">
        <v>1365</v>
      </c>
      <c r="R155" s="64">
        <v>0</v>
      </c>
      <c r="S155" s="64">
        <v>0</v>
      </c>
      <c r="T155" s="54" t="s">
        <v>23</v>
      </c>
      <c r="U155" s="127">
        <v>0</v>
      </c>
      <c r="V155" s="115">
        <v>0</v>
      </c>
      <c r="W155" s="115">
        <v>0</v>
      </c>
      <c r="X155" s="115">
        <v>0</v>
      </c>
      <c r="Y155" s="117">
        <v>222</v>
      </c>
      <c r="Z155" s="117">
        <v>53200</v>
      </c>
      <c r="AA155" s="132" t="s">
        <v>539</v>
      </c>
      <c r="AB155" s="27">
        <f>$C$58*I155</f>
        <v>5.3999999999999991E-6</v>
      </c>
      <c r="AC155" s="29">
        <f>$C$58*O155</f>
        <v>5.4000000000000005E-5</v>
      </c>
      <c r="AD155" s="135">
        <f t="shared" si="51"/>
        <v>0</v>
      </c>
      <c r="AE155" s="135">
        <f t="shared" si="52"/>
        <v>0</v>
      </c>
      <c r="AF155" s="24">
        <f t="shared" si="53"/>
        <v>2.8739988000000003</v>
      </c>
      <c r="AG155" s="24">
        <f t="shared" si="54"/>
        <v>0</v>
      </c>
      <c r="AH155" s="24">
        <f t="shared" si="55"/>
        <v>0</v>
      </c>
      <c r="AI155" s="24">
        <f t="shared" si="56"/>
        <v>1.1987999999999999E-3</v>
      </c>
      <c r="AJ155" s="24">
        <f t="shared" si="57"/>
        <v>0</v>
      </c>
      <c r="AK155" s="24">
        <f t="shared" si="58"/>
        <v>0</v>
      </c>
      <c r="AL155" s="24">
        <f t="shared" si="59"/>
        <v>2.8728000000000002</v>
      </c>
      <c r="AM155" s="161">
        <f t="shared" si="60"/>
        <v>0</v>
      </c>
      <c r="AN155" s="157">
        <f t="shared" si="61"/>
        <v>0</v>
      </c>
      <c r="AO155" s="162">
        <f t="shared" si="62"/>
        <v>2.8739988000000003</v>
      </c>
    </row>
    <row r="156" spans="1:41" s="8" customFormat="1" ht="15" customHeight="1" x14ac:dyDescent="0.2">
      <c r="A156" s="68" t="s">
        <v>395</v>
      </c>
      <c r="B156" s="54" t="s">
        <v>396</v>
      </c>
      <c r="C156" s="74">
        <v>1</v>
      </c>
      <c r="D156" s="51" t="s">
        <v>2</v>
      </c>
      <c r="E156" s="62" t="s">
        <v>397</v>
      </c>
      <c r="F156" s="62">
        <v>0</v>
      </c>
      <c r="G156" s="51" t="s">
        <v>396</v>
      </c>
      <c r="H156" s="51" t="s">
        <v>6</v>
      </c>
      <c r="I156" s="69">
        <v>1E-3</v>
      </c>
      <c r="J156" s="51" t="s">
        <v>2</v>
      </c>
      <c r="K156" s="51">
        <v>0</v>
      </c>
      <c r="L156" s="62">
        <v>0</v>
      </c>
      <c r="M156" s="51" t="s">
        <v>396</v>
      </c>
      <c r="N156" s="51" t="s">
        <v>7</v>
      </c>
      <c r="O156" s="69">
        <v>5.000000000000001E-3</v>
      </c>
      <c r="P156" s="51" t="s">
        <v>2</v>
      </c>
      <c r="Q156" s="8" t="s">
        <v>562</v>
      </c>
      <c r="R156" s="62">
        <v>0</v>
      </c>
      <c r="S156" s="62">
        <v>0</v>
      </c>
      <c r="T156" s="54" t="s">
        <v>398</v>
      </c>
      <c r="U156" s="127">
        <v>0</v>
      </c>
      <c r="V156" s="115">
        <v>0</v>
      </c>
      <c r="W156" s="115">
        <v>0</v>
      </c>
      <c r="X156" s="115">
        <v>0</v>
      </c>
      <c r="Y156" s="115">
        <v>279.49742748859956</v>
      </c>
      <c r="Z156" s="115">
        <v>35.171294449245522</v>
      </c>
      <c r="AA156" s="132" t="s">
        <v>538</v>
      </c>
      <c r="AB156" s="27">
        <f>$C$59*I156</f>
        <v>1.0799999999999999E-7</v>
      </c>
      <c r="AC156" s="29">
        <f>$C$59*O156</f>
        <v>5.4000000000000002E-7</v>
      </c>
      <c r="AD156" s="135">
        <f t="shared" si="51"/>
        <v>0</v>
      </c>
      <c r="AE156" s="135">
        <f t="shared" si="52"/>
        <v>0</v>
      </c>
      <c r="AF156" s="24">
        <f t="shared" si="53"/>
        <v>4.9178221171361332E-5</v>
      </c>
      <c r="AG156" s="24">
        <f t="shared" si="54"/>
        <v>0</v>
      </c>
      <c r="AH156" s="24">
        <f t="shared" si="55"/>
        <v>0</v>
      </c>
      <c r="AI156" s="24">
        <f t="shared" si="56"/>
        <v>3.0185722168768748E-5</v>
      </c>
      <c r="AJ156" s="24">
        <f t="shared" si="57"/>
        <v>0</v>
      </c>
      <c r="AK156" s="24">
        <f t="shared" si="58"/>
        <v>0</v>
      </c>
      <c r="AL156" s="24">
        <f t="shared" si="59"/>
        <v>1.8992499002592584E-5</v>
      </c>
      <c r="AM156" s="161">
        <f t="shared" si="60"/>
        <v>0</v>
      </c>
      <c r="AN156" s="157">
        <f t="shared" si="61"/>
        <v>0</v>
      </c>
      <c r="AO156" s="162">
        <f t="shared" si="62"/>
        <v>4.9178221171361332E-5</v>
      </c>
    </row>
    <row r="157" spans="1:41" s="8" customFormat="1" ht="15" customHeight="1" x14ac:dyDescent="0.2">
      <c r="A157" s="70" t="s">
        <v>399</v>
      </c>
      <c r="B157" s="54" t="s">
        <v>400</v>
      </c>
      <c r="C157" s="74">
        <v>1</v>
      </c>
      <c r="D157" s="51" t="s">
        <v>2</v>
      </c>
      <c r="E157" s="62" t="s">
        <v>397</v>
      </c>
      <c r="F157" s="62">
        <v>0</v>
      </c>
      <c r="G157" s="51" t="s">
        <v>400</v>
      </c>
      <c r="H157" s="51" t="s">
        <v>6</v>
      </c>
      <c r="I157" s="69">
        <v>1E-3</v>
      </c>
      <c r="J157" s="51" t="s">
        <v>2</v>
      </c>
      <c r="K157" s="51">
        <v>0</v>
      </c>
      <c r="L157" s="62">
        <v>0</v>
      </c>
      <c r="M157" s="51" t="s">
        <v>400</v>
      </c>
      <c r="N157" s="51" t="s">
        <v>7</v>
      </c>
      <c r="O157" s="69">
        <v>5.000000000000001E-3</v>
      </c>
      <c r="P157" s="51" t="s">
        <v>2</v>
      </c>
      <c r="Q157" s="8" t="s">
        <v>562</v>
      </c>
      <c r="R157" s="62">
        <v>0</v>
      </c>
      <c r="S157" s="62">
        <v>0</v>
      </c>
      <c r="T157" s="54" t="s">
        <v>401</v>
      </c>
      <c r="U157" s="127">
        <v>0</v>
      </c>
      <c r="V157" s="115">
        <v>4.7523947982961088E-7</v>
      </c>
      <c r="W157" s="115">
        <v>0</v>
      </c>
      <c r="X157" s="115">
        <v>5.9553870155211211E-7</v>
      </c>
      <c r="Y157" s="115">
        <v>174.02319075927511</v>
      </c>
      <c r="Z157" s="115">
        <v>462.56767404636184</v>
      </c>
      <c r="AA157" s="132" t="s">
        <v>538</v>
      </c>
      <c r="AB157" s="27">
        <f>$C$60*I157</f>
        <v>2.3399999999999996E-6</v>
      </c>
      <c r="AC157" s="29">
        <f>$C$60*O157</f>
        <v>1.17E-5</v>
      </c>
      <c r="AD157" s="135">
        <f t="shared" si="51"/>
        <v>0</v>
      </c>
      <c r="AE157" s="135">
        <f t="shared" si="52"/>
        <v>8.0798631909610013E-12</v>
      </c>
      <c r="AF157" s="24">
        <f t="shared" si="53"/>
        <v>5.8192560527191373E-3</v>
      </c>
      <c r="AG157" s="24">
        <f t="shared" si="54"/>
        <v>0</v>
      </c>
      <c r="AH157" s="24">
        <f t="shared" si="55"/>
        <v>1.1120603828012892E-12</v>
      </c>
      <c r="AI157" s="24">
        <f t="shared" si="56"/>
        <v>4.0721426637670372E-4</v>
      </c>
      <c r="AJ157" s="24">
        <f t="shared" si="57"/>
        <v>0</v>
      </c>
      <c r="AK157" s="24">
        <f t="shared" si="58"/>
        <v>6.9678028081597113E-12</v>
      </c>
      <c r="AL157" s="24">
        <f t="shared" si="59"/>
        <v>5.4120417863424333E-3</v>
      </c>
      <c r="AM157" s="161">
        <f t="shared" si="60"/>
        <v>0</v>
      </c>
      <c r="AN157" s="157">
        <f t="shared" si="61"/>
        <v>8.0798631909610013E-12</v>
      </c>
      <c r="AO157" s="162">
        <f t="shared" si="62"/>
        <v>5.8192560527191373E-3</v>
      </c>
    </row>
    <row r="158" spans="1:41" s="8" customFormat="1" ht="15" customHeight="1" x14ac:dyDescent="0.2">
      <c r="A158" s="54" t="s">
        <v>47</v>
      </c>
      <c r="B158" s="54" t="s">
        <v>5</v>
      </c>
      <c r="C158" s="74">
        <v>1</v>
      </c>
      <c r="D158" s="51" t="s">
        <v>2</v>
      </c>
      <c r="E158" s="64">
        <v>1</v>
      </c>
      <c r="F158" s="64">
        <v>0</v>
      </c>
      <c r="G158" s="51" t="s">
        <v>12</v>
      </c>
      <c r="H158" s="51">
        <v>0</v>
      </c>
      <c r="I158" s="69">
        <v>0</v>
      </c>
      <c r="J158" s="51">
        <v>0</v>
      </c>
      <c r="K158" s="51" t="s">
        <v>297</v>
      </c>
      <c r="L158" s="64">
        <v>0</v>
      </c>
      <c r="M158" s="51" t="s">
        <v>5</v>
      </c>
      <c r="N158" s="51" t="s">
        <v>7</v>
      </c>
      <c r="O158" s="69">
        <v>0.1</v>
      </c>
      <c r="P158" s="51" t="s">
        <v>2</v>
      </c>
      <c r="Q158" s="51">
        <v>0</v>
      </c>
      <c r="R158" s="64">
        <v>0</v>
      </c>
      <c r="S158" s="64">
        <v>0</v>
      </c>
      <c r="T158" s="54" t="s">
        <v>25</v>
      </c>
      <c r="U158" s="127">
        <v>0</v>
      </c>
      <c r="V158" s="115">
        <v>0</v>
      </c>
      <c r="W158" s="115">
        <v>0</v>
      </c>
      <c r="X158" s="115">
        <v>0</v>
      </c>
      <c r="Y158" s="115">
        <v>164.24</v>
      </c>
      <c r="Z158" s="115">
        <v>400.09</v>
      </c>
      <c r="AA158" s="132" t="s">
        <v>539</v>
      </c>
      <c r="AB158" s="27">
        <f>$C$61*I158</f>
        <v>0</v>
      </c>
      <c r="AC158" s="29">
        <f>$C$61*O158</f>
        <v>9.0000000000000006E-5</v>
      </c>
      <c r="AD158" s="135">
        <f t="shared" si="51"/>
        <v>0</v>
      </c>
      <c r="AE158" s="135">
        <f t="shared" si="52"/>
        <v>0</v>
      </c>
      <c r="AF158" s="24">
        <f t="shared" si="53"/>
        <v>3.6008100000000001E-2</v>
      </c>
      <c r="AG158" s="24">
        <f t="shared" si="54"/>
        <v>0</v>
      </c>
      <c r="AH158" s="24">
        <f t="shared" si="55"/>
        <v>0</v>
      </c>
      <c r="AI158" s="24">
        <f t="shared" si="56"/>
        <v>0</v>
      </c>
      <c r="AJ158" s="24">
        <f t="shared" si="57"/>
        <v>0</v>
      </c>
      <c r="AK158" s="24">
        <f t="shared" si="58"/>
        <v>0</v>
      </c>
      <c r="AL158" s="24">
        <f t="shared" si="59"/>
        <v>3.6008100000000001E-2</v>
      </c>
      <c r="AM158" s="161">
        <f t="shared" si="60"/>
        <v>0</v>
      </c>
      <c r="AN158" s="157">
        <f t="shared" si="61"/>
        <v>0</v>
      </c>
      <c r="AO158" s="162">
        <f t="shared" si="62"/>
        <v>3.6008100000000001E-2</v>
      </c>
    </row>
    <row r="159" spans="1:41" s="8" customFormat="1" ht="15" customHeight="1" x14ac:dyDescent="0.2">
      <c r="A159" s="70" t="s">
        <v>51</v>
      </c>
      <c r="B159" s="54" t="s">
        <v>82</v>
      </c>
      <c r="C159" s="74">
        <v>0.9</v>
      </c>
      <c r="D159" s="51" t="s">
        <v>2</v>
      </c>
      <c r="E159" s="62" t="s">
        <v>294</v>
      </c>
      <c r="F159" s="62">
        <v>0</v>
      </c>
      <c r="G159" s="51" t="s">
        <v>12</v>
      </c>
      <c r="H159" s="51">
        <v>0</v>
      </c>
      <c r="I159" s="69">
        <v>0</v>
      </c>
      <c r="J159" s="51">
        <v>0</v>
      </c>
      <c r="K159" s="51">
        <v>0</v>
      </c>
      <c r="L159" s="62">
        <v>0</v>
      </c>
      <c r="M159" s="51" t="s">
        <v>82</v>
      </c>
      <c r="N159" s="54" t="s">
        <v>7</v>
      </c>
      <c r="O159" s="69">
        <v>9.0000000000000011E-2</v>
      </c>
      <c r="P159" s="54" t="s">
        <v>2</v>
      </c>
      <c r="Q159" s="54">
        <v>0</v>
      </c>
      <c r="R159" s="62">
        <v>0</v>
      </c>
      <c r="S159" s="62">
        <v>0</v>
      </c>
      <c r="T159" s="54" t="s">
        <v>302</v>
      </c>
      <c r="U159" s="127">
        <v>0</v>
      </c>
      <c r="V159" s="115">
        <v>0</v>
      </c>
      <c r="W159" s="115">
        <v>0</v>
      </c>
      <c r="X159" s="115">
        <v>0</v>
      </c>
      <c r="Y159" s="129">
        <v>52.575000000000003</v>
      </c>
      <c r="Z159" s="129">
        <v>125.31</v>
      </c>
      <c r="AA159" s="133" t="s">
        <v>539</v>
      </c>
      <c r="AB159" s="27">
        <f>$C$62*I159</f>
        <v>0</v>
      </c>
      <c r="AC159" s="29">
        <f>$C$62*O159</f>
        <v>8.1000000000000004E-5</v>
      </c>
      <c r="AD159" s="135">
        <f t="shared" si="51"/>
        <v>0</v>
      </c>
      <c r="AE159" s="135">
        <f t="shared" si="52"/>
        <v>0</v>
      </c>
      <c r="AF159" s="24">
        <f t="shared" si="53"/>
        <v>1.015011E-2</v>
      </c>
      <c r="AG159" s="24">
        <f t="shared" si="54"/>
        <v>0</v>
      </c>
      <c r="AH159" s="24">
        <f t="shared" si="55"/>
        <v>0</v>
      </c>
      <c r="AI159" s="24">
        <f t="shared" si="56"/>
        <v>0</v>
      </c>
      <c r="AJ159" s="24">
        <f t="shared" si="57"/>
        <v>0</v>
      </c>
      <c r="AK159" s="24">
        <f t="shared" si="58"/>
        <v>0</v>
      </c>
      <c r="AL159" s="24">
        <f t="shared" si="59"/>
        <v>1.015011E-2</v>
      </c>
      <c r="AM159" s="161">
        <f t="shared" si="60"/>
        <v>0</v>
      </c>
      <c r="AN159" s="157">
        <f t="shared" si="61"/>
        <v>0</v>
      </c>
      <c r="AO159" s="162">
        <f t="shared" si="62"/>
        <v>1.015011E-2</v>
      </c>
    </row>
    <row r="160" spans="1:41" s="8" customFormat="1" ht="15" customHeight="1" x14ac:dyDescent="0.2">
      <c r="A160" s="70" t="s">
        <v>51</v>
      </c>
      <c r="B160" s="130" t="s">
        <v>83</v>
      </c>
      <c r="C160" s="75">
        <v>0.08</v>
      </c>
      <c r="D160" s="54" t="s">
        <v>2</v>
      </c>
      <c r="E160" s="62" t="s">
        <v>294</v>
      </c>
      <c r="F160" s="62">
        <v>0</v>
      </c>
      <c r="G160" s="52" t="s">
        <v>12</v>
      </c>
      <c r="H160" s="54">
        <v>0</v>
      </c>
      <c r="I160" s="69">
        <v>0</v>
      </c>
      <c r="J160" s="54">
        <v>0</v>
      </c>
      <c r="K160" s="51">
        <v>0</v>
      </c>
      <c r="L160" s="62">
        <v>0</v>
      </c>
      <c r="M160" s="52" t="s">
        <v>83</v>
      </c>
      <c r="N160" s="54" t="s">
        <v>7</v>
      </c>
      <c r="O160" s="69">
        <v>8.0000000000000002E-3</v>
      </c>
      <c r="P160" s="54" t="s">
        <v>2</v>
      </c>
      <c r="Q160" s="54">
        <v>0</v>
      </c>
      <c r="R160" s="62">
        <v>0</v>
      </c>
      <c r="S160" s="62">
        <v>0</v>
      </c>
      <c r="T160" s="50" t="s">
        <v>300</v>
      </c>
      <c r="U160" s="127">
        <v>0</v>
      </c>
      <c r="V160" s="115">
        <v>0</v>
      </c>
      <c r="W160" s="115">
        <v>0</v>
      </c>
      <c r="X160" s="115">
        <v>0</v>
      </c>
      <c r="Y160" s="115">
        <v>6.0401999999999996</v>
      </c>
      <c r="Z160" s="115">
        <v>126.48</v>
      </c>
      <c r="AA160" s="132" t="s">
        <v>539</v>
      </c>
      <c r="AB160" s="27">
        <f t="shared" ref="AB160:AB162" si="65">$C$62*I160</f>
        <v>0</v>
      </c>
      <c r="AC160" s="29">
        <f t="shared" ref="AC160:AC162" si="66">$C$62*O160</f>
        <v>7.1999999999999997E-6</v>
      </c>
      <c r="AD160" s="135">
        <f t="shared" si="51"/>
        <v>0</v>
      </c>
      <c r="AE160" s="135">
        <f t="shared" si="52"/>
        <v>0</v>
      </c>
      <c r="AF160" s="24">
        <f t="shared" si="53"/>
        <v>9.1065600000000003E-4</v>
      </c>
      <c r="AG160" s="24">
        <f t="shared" si="54"/>
        <v>0</v>
      </c>
      <c r="AH160" s="24">
        <f t="shared" si="55"/>
        <v>0</v>
      </c>
      <c r="AI160" s="24">
        <f t="shared" si="56"/>
        <v>0</v>
      </c>
      <c r="AJ160" s="24">
        <f t="shared" si="57"/>
        <v>0</v>
      </c>
      <c r="AK160" s="24">
        <f t="shared" si="58"/>
        <v>0</v>
      </c>
      <c r="AL160" s="24">
        <f t="shared" si="59"/>
        <v>9.1065600000000003E-4</v>
      </c>
      <c r="AM160" s="161">
        <f t="shared" si="60"/>
        <v>0</v>
      </c>
      <c r="AN160" s="157">
        <f t="shared" si="61"/>
        <v>0</v>
      </c>
      <c r="AO160" s="162">
        <f t="shared" si="62"/>
        <v>9.1065600000000003E-4</v>
      </c>
    </row>
    <row r="161" spans="1:41" s="8" customFormat="1" ht="15" customHeight="1" x14ac:dyDescent="0.2">
      <c r="A161" s="70" t="s">
        <v>51</v>
      </c>
      <c r="B161" s="54" t="s">
        <v>79</v>
      </c>
      <c r="C161" s="51">
        <v>0.02</v>
      </c>
      <c r="D161" s="51" t="s">
        <v>2</v>
      </c>
      <c r="E161" s="62" t="s">
        <v>294</v>
      </c>
      <c r="F161" s="62">
        <v>0</v>
      </c>
      <c r="G161" s="54" t="s">
        <v>12</v>
      </c>
      <c r="H161" s="51">
        <v>0</v>
      </c>
      <c r="I161" s="69">
        <v>0</v>
      </c>
      <c r="J161" s="51">
        <v>0</v>
      </c>
      <c r="K161" s="51" t="s">
        <v>297</v>
      </c>
      <c r="L161" s="62">
        <v>0</v>
      </c>
      <c r="M161" s="51" t="s">
        <v>79</v>
      </c>
      <c r="N161" s="51" t="s">
        <v>7</v>
      </c>
      <c r="O161" s="69">
        <v>2E-3</v>
      </c>
      <c r="P161" s="51" t="s">
        <v>2</v>
      </c>
      <c r="Q161" s="51">
        <v>0</v>
      </c>
      <c r="R161" s="62">
        <v>0</v>
      </c>
      <c r="S161" s="62">
        <v>0</v>
      </c>
      <c r="T161" s="54" t="s">
        <v>80</v>
      </c>
      <c r="U161" s="127">
        <v>0</v>
      </c>
      <c r="V161" s="115">
        <v>0</v>
      </c>
      <c r="W161" s="115">
        <v>0</v>
      </c>
      <c r="X161" s="115">
        <v>0</v>
      </c>
      <c r="Y161" s="115">
        <v>31</v>
      </c>
      <c r="Z161" s="115">
        <v>73.7</v>
      </c>
      <c r="AA161" s="132" t="s">
        <v>539</v>
      </c>
      <c r="AB161" s="27">
        <f t="shared" si="65"/>
        <v>0</v>
      </c>
      <c r="AC161" s="29">
        <f t="shared" si="66"/>
        <v>1.7999999999999999E-6</v>
      </c>
      <c r="AD161" s="135">
        <f t="shared" si="51"/>
        <v>0</v>
      </c>
      <c r="AE161" s="135">
        <f t="shared" si="52"/>
        <v>0</v>
      </c>
      <c r="AF161" s="24">
        <f t="shared" si="53"/>
        <v>1.3265999999999999E-4</v>
      </c>
      <c r="AG161" s="24">
        <f t="shared" si="54"/>
        <v>0</v>
      </c>
      <c r="AH161" s="24">
        <f t="shared" si="55"/>
        <v>0</v>
      </c>
      <c r="AI161" s="24">
        <f t="shared" si="56"/>
        <v>0</v>
      </c>
      <c r="AJ161" s="24">
        <f t="shared" si="57"/>
        <v>0</v>
      </c>
      <c r="AK161" s="24">
        <f t="shared" si="58"/>
        <v>0</v>
      </c>
      <c r="AL161" s="24">
        <f t="shared" si="59"/>
        <v>1.3265999999999999E-4</v>
      </c>
      <c r="AM161" s="161">
        <f t="shared" si="60"/>
        <v>0</v>
      </c>
      <c r="AN161" s="157">
        <f t="shared" si="61"/>
        <v>0</v>
      </c>
      <c r="AO161" s="162">
        <f t="shared" si="62"/>
        <v>1.3265999999999999E-4</v>
      </c>
    </row>
    <row r="162" spans="1:41" s="8" customFormat="1" ht="15" customHeight="1" x14ac:dyDescent="0.2">
      <c r="A162" s="70" t="s">
        <v>51</v>
      </c>
      <c r="B162" s="54" t="s">
        <v>87</v>
      </c>
      <c r="C162" s="51">
        <v>0</v>
      </c>
      <c r="D162" s="51">
        <v>0</v>
      </c>
      <c r="E162" s="62" t="s">
        <v>294</v>
      </c>
      <c r="F162" s="62">
        <v>0</v>
      </c>
      <c r="G162" s="51" t="s">
        <v>12</v>
      </c>
      <c r="H162" s="51">
        <v>0</v>
      </c>
      <c r="I162" s="69">
        <v>0</v>
      </c>
      <c r="J162" s="51">
        <v>0</v>
      </c>
      <c r="K162" s="51" t="s">
        <v>297</v>
      </c>
      <c r="L162" s="62">
        <v>0</v>
      </c>
      <c r="M162" s="51" t="s">
        <v>42</v>
      </c>
      <c r="N162" s="51" t="s">
        <v>7</v>
      </c>
      <c r="O162" s="69">
        <v>9.0000000000000019E-5</v>
      </c>
      <c r="P162" s="51" t="s">
        <v>2</v>
      </c>
      <c r="Q162" s="51" t="s">
        <v>1366</v>
      </c>
      <c r="R162" s="62">
        <v>0</v>
      </c>
      <c r="S162" s="62">
        <v>0</v>
      </c>
      <c r="T162" s="54" t="s">
        <v>93</v>
      </c>
      <c r="U162" s="127">
        <v>0</v>
      </c>
      <c r="V162" s="115">
        <v>0</v>
      </c>
      <c r="W162" s="115">
        <v>0</v>
      </c>
      <c r="X162" s="115">
        <v>0</v>
      </c>
      <c r="Y162" s="117">
        <v>13</v>
      </c>
      <c r="Z162" s="117">
        <v>31.7</v>
      </c>
      <c r="AA162" s="132" t="s">
        <v>539</v>
      </c>
      <c r="AB162" s="27">
        <f t="shared" si="65"/>
        <v>0</v>
      </c>
      <c r="AC162" s="29">
        <f t="shared" si="66"/>
        <v>8.1000000000000011E-8</v>
      </c>
      <c r="AD162" s="135">
        <f t="shared" si="51"/>
        <v>0</v>
      </c>
      <c r="AE162" s="135">
        <f t="shared" si="52"/>
        <v>0</v>
      </c>
      <c r="AF162" s="24">
        <f t="shared" si="53"/>
        <v>2.5677000000000004E-6</v>
      </c>
      <c r="AG162" s="24">
        <f t="shared" si="54"/>
        <v>0</v>
      </c>
      <c r="AH162" s="24">
        <f t="shared" si="55"/>
        <v>0</v>
      </c>
      <c r="AI162" s="24">
        <f t="shared" si="56"/>
        <v>0</v>
      </c>
      <c r="AJ162" s="24">
        <f t="shared" si="57"/>
        <v>0</v>
      </c>
      <c r="AK162" s="24">
        <f t="shared" si="58"/>
        <v>0</v>
      </c>
      <c r="AL162" s="24">
        <f t="shared" si="59"/>
        <v>2.5677000000000004E-6</v>
      </c>
      <c r="AM162" s="161">
        <f t="shared" si="60"/>
        <v>0</v>
      </c>
      <c r="AN162" s="157">
        <f t="shared" si="61"/>
        <v>0</v>
      </c>
      <c r="AO162" s="162">
        <f t="shared" si="62"/>
        <v>2.5677000000000004E-6</v>
      </c>
    </row>
    <row r="163" spans="1:41" s="8" customFormat="1" ht="15" customHeight="1" x14ac:dyDescent="0.2">
      <c r="A163" s="68" t="s">
        <v>151</v>
      </c>
      <c r="B163" s="54" t="s">
        <v>402</v>
      </c>
      <c r="C163" s="74">
        <v>1</v>
      </c>
      <c r="D163" s="51" t="s">
        <v>2</v>
      </c>
      <c r="E163" s="64">
        <v>1</v>
      </c>
      <c r="F163" s="64">
        <v>0</v>
      </c>
      <c r="G163" s="51" t="s">
        <v>12</v>
      </c>
      <c r="H163" s="54">
        <v>0</v>
      </c>
      <c r="I163" s="69">
        <v>0</v>
      </c>
      <c r="J163" s="51">
        <v>0</v>
      </c>
      <c r="K163" s="51">
        <v>0</v>
      </c>
      <c r="L163" s="64">
        <v>0</v>
      </c>
      <c r="M163" s="53" t="s">
        <v>402</v>
      </c>
      <c r="N163" s="51" t="s">
        <v>7</v>
      </c>
      <c r="O163" s="69">
        <v>0.1</v>
      </c>
      <c r="P163" s="51" t="s">
        <v>2</v>
      </c>
      <c r="Q163" s="51">
        <v>0</v>
      </c>
      <c r="R163" s="64">
        <v>0</v>
      </c>
      <c r="S163" s="64">
        <v>0</v>
      </c>
      <c r="T163" s="54" t="s">
        <v>403</v>
      </c>
      <c r="U163" s="127">
        <v>0</v>
      </c>
      <c r="V163" s="115">
        <v>0</v>
      </c>
      <c r="W163" s="115">
        <v>0</v>
      </c>
      <c r="X163" s="115">
        <v>0</v>
      </c>
      <c r="Y163" s="115">
        <v>22</v>
      </c>
      <c r="Z163" s="115">
        <v>51.7</v>
      </c>
      <c r="AA163" s="132" t="s">
        <v>539</v>
      </c>
      <c r="AB163" s="27">
        <f>$C$63*I163</f>
        <v>0</v>
      </c>
      <c r="AC163" s="29">
        <f>$C$63*O163</f>
        <v>3.6000000000000002E-4</v>
      </c>
      <c r="AD163" s="135">
        <f t="shared" si="51"/>
        <v>0</v>
      </c>
      <c r="AE163" s="135">
        <f t="shared" si="52"/>
        <v>0</v>
      </c>
      <c r="AF163" s="24">
        <f t="shared" si="53"/>
        <v>1.8612000000000004E-2</v>
      </c>
      <c r="AG163" s="24">
        <f t="shared" si="54"/>
        <v>0</v>
      </c>
      <c r="AH163" s="24">
        <f t="shared" si="55"/>
        <v>0</v>
      </c>
      <c r="AI163" s="24">
        <f t="shared" si="56"/>
        <v>0</v>
      </c>
      <c r="AJ163" s="24">
        <f t="shared" si="57"/>
        <v>0</v>
      </c>
      <c r="AK163" s="24">
        <f t="shared" si="58"/>
        <v>0</v>
      </c>
      <c r="AL163" s="24">
        <f t="shared" si="59"/>
        <v>1.8612000000000004E-2</v>
      </c>
      <c r="AM163" s="161">
        <f t="shared" si="60"/>
        <v>0</v>
      </c>
      <c r="AN163" s="157">
        <f t="shared" si="61"/>
        <v>0</v>
      </c>
      <c r="AO163" s="162">
        <f t="shared" si="62"/>
        <v>1.8612000000000004E-2</v>
      </c>
    </row>
    <row r="164" spans="1:41" s="8" customFormat="1" ht="15" customHeight="1" x14ac:dyDescent="0.2">
      <c r="A164" s="68" t="s">
        <v>59</v>
      </c>
      <c r="B164" s="54" t="s">
        <v>30</v>
      </c>
      <c r="C164" s="51">
        <v>0.1</v>
      </c>
      <c r="D164" s="51" t="s">
        <v>2</v>
      </c>
      <c r="E164" s="62" t="s">
        <v>294</v>
      </c>
      <c r="F164" s="62">
        <v>0</v>
      </c>
      <c r="G164" s="52" t="s">
        <v>12</v>
      </c>
      <c r="H164" s="51">
        <v>0</v>
      </c>
      <c r="I164" s="69">
        <v>0</v>
      </c>
      <c r="J164" s="51">
        <v>0</v>
      </c>
      <c r="K164" s="51">
        <v>0</v>
      </c>
      <c r="L164" s="62">
        <v>0</v>
      </c>
      <c r="M164" s="52" t="s">
        <v>30</v>
      </c>
      <c r="N164" s="51" t="s">
        <v>7</v>
      </c>
      <c r="O164" s="69">
        <v>9.9000000000000008E-3</v>
      </c>
      <c r="P164" s="51" t="s">
        <v>2</v>
      </c>
      <c r="Q164" s="51" t="s">
        <v>1367</v>
      </c>
      <c r="R164" s="62">
        <v>0</v>
      </c>
      <c r="S164" s="62">
        <v>0</v>
      </c>
      <c r="T164" s="54" t="s">
        <v>34</v>
      </c>
      <c r="U164" s="127">
        <v>0</v>
      </c>
      <c r="V164" s="115">
        <v>0</v>
      </c>
      <c r="W164" s="115">
        <v>0</v>
      </c>
      <c r="X164" s="115">
        <v>0</v>
      </c>
      <c r="Y164" s="115">
        <v>7.06</v>
      </c>
      <c r="Z164" s="115">
        <v>78.599999999999994</v>
      </c>
      <c r="AA164" s="132" t="s">
        <v>539</v>
      </c>
      <c r="AB164" s="27">
        <f t="shared" ref="AB164:AB169" si="67">$C$64*I164</f>
        <v>0</v>
      </c>
      <c r="AC164" s="29">
        <f t="shared" ref="AC164:AC169" si="68">$C$64*O164</f>
        <v>3.5640000000000004E-5</v>
      </c>
      <c r="AD164" s="135">
        <f t="shared" si="51"/>
        <v>0</v>
      </c>
      <c r="AE164" s="135">
        <f t="shared" si="52"/>
        <v>0</v>
      </c>
      <c r="AF164" s="24">
        <f t="shared" si="53"/>
        <v>2.8013040000000001E-3</v>
      </c>
      <c r="AG164" s="24">
        <f t="shared" si="54"/>
        <v>0</v>
      </c>
      <c r="AH164" s="24">
        <f t="shared" si="55"/>
        <v>0</v>
      </c>
      <c r="AI164" s="24">
        <f t="shared" si="56"/>
        <v>0</v>
      </c>
      <c r="AJ164" s="24">
        <f t="shared" si="57"/>
        <v>0</v>
      </c>
      <c r="AK164" s="24">
        <f t="shared" si="58"/>
        <v>0</v>
      </c>
      <c r="AL164" s="24">
        <f t="shared" si="59"/>
        <v>2.8013040000000001E-3</v>
      </c>
      <c r="AM164" s="161">
        <f t="shared" si="60"/>
        <v>0</v>
      </c>
      <c r="AN164" s="157">
        <f t="shared" si="61"/>
        <v>0</v>
      </c>
      <c r="AO164" s="162">
        <f t="shared" si="62"/>
        <v>2.8013040000000001E-3</v>
      </c>
    </row>
    <row r="165" spans="1:41" s="8" customFormat="1" ht="15" customHeight="1" x14ac:dyDescent="0.2">
      <c r="A165" s="68" t="s">
        <v>59</v>
      </c>
      <c r="B165" s="54" t="s">
        <v>15</v>
      </c>
      <c r="C165" s="75">
        <v>0.25</v>
      </c>
      <c r="D165" s="54" t="s">
        <v>2</v>
      </c>
      <c r="E165" s="62" t="s">
        <v>294</v>
      </c>
      <c r="F165" s="62">
        <v>0</v>
      </c>
      <c r="G165" s="52" t="s">
        <v>12</v>
      </c>
      <c r="H165" s="54">
        <v>0</v>
      </c>
      <c r="I165" s="69">
        <v>0</v>
      </c>
      <c r="J165" s="54">
        <v>0</v>
      </c>
      <c r="K165" s="51">
        <v>0</v>
      </c>
      <c r="L165" s="62">
        <v>0</v>
      </c>
      <c r="M165" s="52" t="s">
        <v>15</v>
      </c>
      <c r="N165" s="54" t="s">
        <v>7</v>
      </c>
      <c r="O165" s="69">
        <v>2.5000000000000001E-2</v>
      </c>
      <c r="P165" s="54" t="s">
        <v>2</v>
      </c>
      <c r="Q165" s="51">
        <v>0</v>
      </c>
      <c r="R165" s="62">
        <v>0</v>
      </c>
      <c r="S165" s="62">
        <v>0</v>
      </c>
      <c r="T165" s="53" t="s">
        <v>13</v>
      </c>
      <c r="U165" s="127">
        <v>0</v>
      </c>
      <c r="V165" s="115">
        <v>1.2009414857886904E-7</v>
      </c>
      <c r="W165" s="115">
        <v>0</v>
      </c>
      <c r="X165" s="115">
        <v>3.2843909509658706E-7</v>
      </c>
      <c r="Y165" s="115">
        <v>14.526941022240393</v>
      </c>
      <c r="Z165" s="115">
        <v>111.251141519207</v>
      </c>
      <c r="AA165" s="132" t="s">
        <v>538</v>
      </c>
      <c r="AB165" s="27">
        <f t="shared" si="67"/>
        <v>0</v>
      </c>
      <c r="AC165" s="29">
        <f t="shared" si="68"/>
        <v>9.0000000000000006E-5</v>
      </c>
      <c r="AD165" s="135">
        <f t="shared" si="51"/>
        <v>0</v>
      </c>
      <c r="AE165" s="135">
        <f t="shared" si="52"/>
        <v>2.9559518558692835E-11</v>
      </c>
      <c r="AF165" s="24">
        <f t="shared" si="53"/>
        <v>1.001260273672863E-2</v>
      </c>
      <c r="AG165" s="24">
        <f t="shared" si="54"/>
        <v>0</v>
      </c>
      <c r="AH165" s="24">
        <f t="shared" si="55"/>
        <v>0</v>
      </c>
      <c r="AI165" s="24">
        <f t="shared" si="56"/>
        <v>0</v>
      </c>
      <c r="AJ165" s="24">
        <f t="shared" si="57"/>
        <v>0</v>
      </c>
      <c r="AK165" s="24">
        <f t="shared" si="58"/>
        <v>2.9559518558692835E-11</v>
      </c>
      <c r="AL165" s="24">
        <f t="shared" si="59"/>
        <v>1.001260273672863E-2</v>
      </c>
      <c r="AM165" s="161">
        <f t="shared" si="60"/>
        <v>0</v>
      </c>
      <c r="AN165" s="157">
        <f t="shared" si="61"/>
        <v>2.9559518558692835E-11</v>
      </c>
      <c r="AO165" s="162">
        <f t="shared" si="62"/>
        <v>1.001260273672863E-2</v>
      </c>
    </row>
    <row r="166" spans="1:41" s="8" customFormat="1" ht="15" customHeight="1" x14ac:dyDescent="0.2">
      <c r="A166" s="68" t="s">
        <v>59</v>
      </c>
      <c r="B166" s="53" t="s">
        <v>16</v>
      </c>
      <c r="C166" s="74">
        <v>0.1</v>
      </c>
      <c r="D166" s="51" t="s">
        <v>2</v>
      </c>
      <c r="E166" s="62" t="s">
        <v>294</v>
      </c>
      <c r="F166" s="62">
        <v>0</v>
      </c>
      <c r="G166" s="51" t="s">
        <v>12</v>
      </c>
      <c r="H166" s="51">
        <v>0</v>
      </c>
      <c r="I166" s="69">
        <v>0</v>
      </c>
      <c r="J166" s="51">
        <v>0</v>
      </c>
      <c r="K166" s="51">
        <v>0</v>
      </c>
      <c r="L166" s="62">
        <v>0</v>
      </c>
      <c r="M166" s="51" t="s">
        <v>69</v>
      </c>
      <c r="N166" s="51" t="s">
        <v>7</v>
      </c>
      <c r="O166" s="69">
        <v>1.0000000000000002E-2</v>
      </c>
      <c r="P166" s="51" t="s">
        <v>2</v>
      </c>
      <c r="Q166" s="51">
        <v>0</v>
      </c>
      <c r="R166" s="62">
        <v>0</v>
      </c>
      <c r="S166" s="62">
        <v>0</v>
      </c>
      <c r="T166" s="81" t="s">
        <v>17</v>
      </c>
      <c r="U166" s="127">
        <v>0</v>
      </c>
      <c r="V166" s="115">
        <v>0</v>
      </c>
      <c r="W166" s="115">
        <v>0</v>
      </c>
      <c r="X166" s="115">
        <v>0</v>
      </c>
      <c r="Y166" s="115">
        <v>47</v>
      </c>
      <c r="Z166" s="115">
        <v>913</v>
      </c>
      <c r="AA166" s="132" t="s">
        <v>539</v>
      </c>
      <c r="AB166" s="27">
        <f t="shared" si="67"/>
        <v>0</v>
      </c>
      <c r="AC166" s="29">
        <f t="shared" si="68"/>
        <v>3.6000000000000008E-5</v>
      </c>
      <c r="AD166" s="135">
        <f t="shared" si="51"/>
        <v>0</v>
      </c>
      <c r="AE166" s="135">
        <f t="shared" si="52"/>
        <v>0</v>
      </c>
      <c r="AF166" s="24">
        <f t="shared" si="53"/>
        <v>3.2868000000000008E-2</v>
      </c>
      <c r="AG166" s="24">
        <f t="shared" si="54"/>
        <v>0</v>
      </c>
      <c r="AH166" s="24">
        <f t="shared" si="55"/>
        <v>0</v>
      </c>
      <c r="AI166" s="24">
        <f t="shared" si="56"/>
        <v>0</v>
      </c>
      <c r="AJ166" s="24">
        <f t="shared" si="57"/>
        <v>0</v>
      </c>
      <c r="AK166" s="24">
        <f t="shared" si="58"/>
        <v>0</v>
      </c>
      <c r="AL166" s="24">
        <f t="shared" si="59"/>
        <v>3.2868000000000008E-2</v>
      </c>
      <c r="AM166" s="161">
        <f t="shared" si="60"/>
        <v>0</v>
      </c>
      <c r="AN166" s="157">
        <f t="shared" si="61"/>
        <v>0</v>
      </c>
      <c r="AO166" s="162">
        <f t="shared" si="62"/>
        <v>3.2868000000000008E-2</v>
      </c>
    </row>
    <row r="167" spans="1:41" s="8" customFormat="1" ht="15" customHeight="1" x14ac:dyDescent="0.2">
      <c r="A167" s="68" t="s">
        <v>59</v>
      </c>
      <c r="B167" s="53" t="s">
        <v>18</v>
      </c>
      <c r="C167" s="74">
        <v>0.05</v>
      </c>
      <c r="D167" s="51" t="s">
        <v>2</v>
      </c>
      <c r="E167" s="62" t="s">
        <v>294</v>
      </c>
      <c r="F167" s="62">
        <v>0</v>
      </c>
      <c r="G167" s="51" t="s">
        <v>12</v>
      </c>
      <c r="H167" s="51">
        <v>0</v>
      </c>
      <c r="I167" s="69">
        <v>0</v>
      </c>
      <c r="J167" s="51">
        <v>0</v>
      </c>
      <c r="K167" s="51">
        <v>0</v>
      </c>
      <c r="L167" s="62">
        <v>0</v>
      </c>
      <c r="M167" s="51" t="s">
        <v>18</v>
      </c>
      <c r="N167" s="51" t="s">
        <v>7</v>
      </c>
      <c r="O167" s="69">
        <v>5.000000000000001E-3</v>
      </c>
      <c r="P167" s="51" t="s">
        <v>2</v>
      </c>
      <c r="Q167" s="51">
        <v>0</v>
      </c>
      <c r="R167" s="62">
        <v>0</v>
      </c>
      <c r="S167" s="62">
        <v>0</v>
      </c>
      <c r="T167" s="81" t="s">
        <v>14</v>
      </c>
      <c r="U167" s="127">
        <v>0</v>
      </c>
      <c r="V167" s="115">
        <v>0</v>
      </c>
      <c r="W167" s="115">
        <v>0</v>
      </c>
      <c r="X167" s="115">
        <v>0</v>
      </c>
      <c r="Y167" s="115">
        <v>109.72</v>
      </c>
      <c r="Z167" s="115">
        <v>110</v>
      </c>
      <c r="AA167" s="132" t="s">
        <v>539</v>
      </c>
      <c r="AB167" s="27">
        <f t="shared" si="67"/>
        <v>0</v>
      </c>
      <c r="AC167" s="29">
        <f t="shared" si="68"/>
        <v>1.8000000000000004E-5</v>
      </c>
      <c r="AD167" s="135">
        <f t="shared" si="51"/>
        <v>0</v>
      </c>
      <c r="AE167" s="135">
        <f t="shared" si="52"/>
        <v>0</v>
      </c>
      <c r="AF167" s="24">
        <f t="shared" si="53"/>
        <v>1.9800000000000004E-3</v>
      </c>
      <c r="AG167" s="24">
        <f t="shared" si="54"/>
        <v>0</v>
      </c>
      <c r="AH167" s="24">
        <f t="shared" si="55"/>
        <v>0</v>
      </c>
      <c r="AI167" s="24">
        <f t="shared" si="56"/>
        <v>0</v>
      </c>
      <c r="AJ167" s="24">
        <f t="shared" si="57"/>
        <v>0</v>
      </c>
      <c r="AK167" s="24">
        <f t="shared" si="58"/>
        <v>0</v>
      </c>
      <c r="AL167" s="24">
        <f t="shared" si="59"/>
        <v>1.9800000000000004E-3</v>
      </c>
      <c r="AM167" s="161">
        <f t="shared" si="60"/>
        <v>0</v>
      </c>
      <c r="AN167" s="157">
        <f t="shared" si="61"/>
        <v>0</v>
      </c>
      <c r="AO167" s="162">
        <f t="shared" si="62"/>
        <v>1.9800000000000004E-3</v>
      </c>
    </row>
    <row r="168" spans="1:41" s="8" customFormat="1" ht="15" customHeight="1" x14ac:dyDescent="0.2">
      <c r="A168" s="68" t="s">
        <v>59</v>
      </c>
      <c r="B168" s="53" t="s">
        <v>39</v>
      </c>
      <c r="C168" s="74">
        <v>0</v>
      </c>
      <c r="D168" s="51">
        <v>0</v>
      </c>
      <c r="E168" s="62" t="s">
        <v>1369</v>
      </c>
      <c r="F168" s="62">
        <v>0</v>
      </c>
      <c r="G168" s="51" t="s">
        <v>39</v>
      </c>
      <c r="H168" s="51" t="s">
        <v>6</v>
      </c>
      <c r="I168" s="69">
        <v>1.0000000000000001E-7</v>
      </c>
      <c r="J168" s="51" t="s">
        <v>2</v>
      </c>
      <c r="K168" s="51">
        <v>0</v>
      </c>
      <c r="L168" s="62">
        <v>0</v>
      </c>
      <c r="M168" s="51" t="s">
        <v>39</v>
      </c>
      <c r="N168" s="51" t="s">
        <v>7</v>
      </c>
      <c r="O168" s="69">
        <v>1.0000000000000001E-5</v>
      </c>
      <c r="P168" s="51" t="s">
        <v>2</v>
      </c>
      <c r="Q168" s="51" t="s">
        <v>295</v>
      </c>
      <c r="R168" s="62">
        <v>0</v>
      </c>
      <c r="S168" s="62">
        <v>0</v>
      </c>
      <c r="T168" s="81" t="s">
        <v>60</v>
      </c>
      <c r="U168" s="127">
        <v>1.0252176328593382E-6</v>
      </c>
      <c r="V168" s="115">
        <v>0</v>
      </c>
      <c r="W168" s="115">
        <v>8.6533271568247147E-7</v>
      </c>
      <c r="X168" s="115">
        <v>0</v>
      </c>
      <c r="Y168" s="115">
        <v>0.65406517859613422</v>
      </c>
      <c r="Z168" s="115">
        <v>11.248588270889815</v>
      </c>
      <c r="AA168" s="132" t="s">
        <v>537</v>
      </c>
      <c r="AB168" s="27">
        <f t="shared" si="67"/>
        <v>3.6E-10</v>
      </c>
      <c r="AC168" s="29">
        <f t="shared" si="68"/>
        <v>3.6000000000000005E-8</v>
      </c>
      <c r="AD168" s="135"/>
      <c r="AE168" s="135"/>
      <c r="AF168" s="24"/>
      <c r="AG168" s="24"/>
      <c r="AH168" s="24"/>
      <c r="AI168" s="24"/>
      <c r="AJ168" s="24"/>
      <c r="AK168" s="24"/>
      <c r="AL168" s="24"/>
      <c r="AM168" s="161"/>
      <c r="AN168" s="157"/>
      <c r="AO168" s="162"/>
    </row>
    <row r="169" spans="1:41" s="8" customFormat="1" ht="15" customHeight="1" x14ac:dyDescent="0.2">
      <c r="A169" s="68" t="s">
        <v>59</v>
      </c>
      <c r="B169" s="53" t="s">
        <v>87</v>
      </c>
      <c r="C169" s="74">
        <v>0</v>
      </c>
      <c r="D169" s="51">
        <v>0</v>
      </c>
      <c r="E169" s="62" t="s">
        <v>1370</v>
      </c>
      <c r="F169" s="62">
        <v>0</v>
      </c>
      <c r="G169" s="51" t="s">
        <v>3</v>
      </c>
      <c r="H169" s="51" t="s">
        <v>6</v>
      </c>
      <c r="I169" s="69">
        <v>1.0000000000000001E-7</v>
      </c>
      <c r="J169" s="51" t="s">
        <v>2</v>
      </c>
      <c r="K169" s="51">
        <v>0</v>
      </c>
      <c r="L169" s="62">
        <v>0</v>
      </c>
      <c r="M169" s="51" t="s">
        <v>3</v>
      </c>
      <c r="N169" s="51" t="s">
        <v>7</v>
      </c>
      <c r="O169" s="69">
        <v>1.0000000000000002E-6</v>
      </c>
      <c r="P169" s="51" t="s">
        <v>2</v>
      </c>
      <c r="Q169" s="51" t="s">
        <v>1371</v>
      </c>
      <c r="R169" s="62">
        <v>0</v>
      </c>
      <c r="S169" s="62">
        <v>0</v>
      </c>
      <c r="T169" s="81" t="s">
        <v>28</v>
      </c>
      <c r="U169" s="127">
        <v>2.5208446330720887E-5</v>
      </c>
      <c r="V169" s="115">
        <v>2.6504960021309262E-7</v>
      </c>
      <c r="W169" s="115">
        <v>1.4222228897488039E-7</v>
      </c>
      <c r="X169" s="115">
        <v>3.170874313501273E-7</v>
      </c>
      <c r="Y169" s="115">
        <v>17.989178582912412</v>
      </c>
      <c r="Z169" s="115">
        <v>290.05086067463066</v>
      </c>
      <c r="AA169" s="132" t="s">
        <v>537</v>
      </c>
      <c r="AB169" s="27">
        <f t="shared" si="67"/>
        <v>3.6E-10</v>
      </c>
      <c r="AC169" s="29">
        <f t="shared" si="68"/>
        <v>3.6000000000000004E-9</v>
      </c>
      <c r="AD169" s="135"/>
      <c r="AE169" s="135"/>
      <c r="AF169" s="24"/>
      <c r="AG169" s="24"/>
      <c r="AH169" s="24"/>
      <c r="AI169" s="24"/>
      <c r="AJ169" s="24"/>
      <c r="AK169" s="24"/>
      <c r="AL169" s="24"/>
      <c r="AM169" s="161"/>
      <c r="AN169" s="157"/>
      <c r="AO169" s="162"/>
    </row>
    <row r="170" spans="1:41" s="8" customFormat="1" ht="15" customHeight="1" x14ac:dyDescent="0.2">
      <c r="A170" s="70" t="s">
        <v>299</v>
      </c>
      <c r="B170" s="53" t="s">
        <v>36</v>
      </c>
      <c r="C170" s="74">
        <v>0.2</v>
      </c>
      <c r="D170" s="51" t="s">
        <v>2</v>
      </c>
      <c r="E170" s="62" t="s">
        <v>294</v>
      </c>
      <c r="F170" s="62">
        <v>0</v>
      </c>
      <c r="G170" s="51" t="s">
        <v>12</v>
      </c>
      <c r="H170" s="51">
        <v>0</v>
      </c>
      <c r="I170" s="69">
        <v>0</v>
      </c>
      <c r="J170" s="51">
        <v>0</v>
      </c>
      <c r="K170" s="51">
        <v>0</v>
      </c>
      <c r="L170" s="62">
        <v>0</v>
      </c>
      <c r="M170" s="51" t="s">
        <v>36</v>
      </c>
      <c r="N170" s="51" t="s">
        <v>7</v>
      </c>
      <c r="O170" s="69">
        <v>1.0000000000000002E-3</v>
      </c>
      <c r="P170" s="51" t="s">
        <v>2</v>
      </c>
      <c r="Q170" s="51" t="s">
        <v>562</v>
      </c>
      <c r="R170" s="62">
        <v>0</v>
      </c>
      <c r="S170" s="62">
        <v>0</v>
      </c>
      <c r="T170" s="81" t="s">
        <v>37</v>
      </c>
      <c r="U170" s="127">
        <v>0</v>
      </c>
      <c r="V170" s="115">
        <v>0</v>
      </c>
      <c r="W170" s="115">
        <v>0</v>
      </c>
      <c r="X170" s="115">
        <v>0</v>
      </c>
      <c r="Y170" s="115">
        <v>9.2999999999999999E-2</v>
      </c>
      <c r="Z170" s="115">
        <v>33.799999999999997</v>
      </c>
      <c r="AA170" s="132" t="s">
        <v>539</v>
      </c>
      <c r="AB170" s="27">
        <f t="shared" ref="AB170:AB171" si="69">$C$65*I170</f>
        <v>0</v>
      </c>
      <c r="AC170" s="29">
        <f t="shared" ref="AC170:AC171" si="70">$C$65*O170</f>
        <v>3.6000000000000008E-5</v>
      </c>
      <c r="AD170" s="135"/>
      <c r="AE170" s="135"/>
      <c r="AF170" s="24"/>
      <c r="AG170" s="24"/>
      <c r="AH170" s="24"/>
      <c r="AI170" s="24"/>
      <c r="AJ170" s="24"/>
      <c r="AK170" s="24"/>
      <c r="AL170" s="24"/>
      <c r="AM170" s="161"/>
      <c r="AN170" s="157"/>
      <c r="AO170" s="162"/>
    </row>
    <row r="171" spans="1:41" s="49" customFormat="1" ht="15" customHeight="1" x14ac:dyDescent="0.2">
      <c r="A171" s="136" t="s">
        <v>299</v>
      </c>
      <c r="B171" s="137" t="s">
        <v>26</v>
      </c>
      <c r="C171" s="169">
        <v>0.03</v>
      </c>
      <c r="D171" s="139" t="s">
        <v>2</v>
      </c>
      <c r="E171" s="140" t="s">
        <v>294</v>
      </c>
      <c r="F171" s="140">
        <v>0</v>
      </c>
      <c r="G171" s="139" t="s">
        <v>12</v>
      </c>
      <c r="H171" s="139">
        <v>0</v>
      </c>
      <c r="I171" s="142">
        <v>0</v>
      </c>
      <c r="J171" s="139">
        <v>0</v>
      </c>
      <c r="K171" s="139">
        <v>0</v>
      </c>
      <c r="L171" s="140">
        <v>0</v>
      </c>
      <c r="M171" s="139" t="s">
        <v>26</v>
      </c>
      <c r="N171" s="139" t="s">
        <v>7</v>
      </c>
      <c r="O171" s="142">
        <v>1.5000000000000001E-4</v>
      </c>
      <c r="P171" s="139" t="s">
        <v>2</v>
      </c>
      <c r="Q171" s="139" t="s">
        <v>562</v>
      </c>
      <c r="R171" s="140">
        <v>0</v>
      </c>
      <c r="S171" s="140">
        <v>0</v>
      </c>
      <c r="T171" s="178" t="s">
        <v>27</v>
      </c>
      <c r="U171" s="143">
        <v>0</v>
      </c>
      <c r="V171" s="144">
        <v>0</v>
      </c>
      <c r="W171" s="144">
        <v>0</v>
      </c>
      <c r="X171" s="144">
        <v>0</v>
      </c>
      <c r="Y171" s="144">
        <v>0.92690099117499369</v>
      </c>
      <c r="Z171" s="144">
        <v>47.139947928233759</v>
      </c>
      <c r="AA171" s="145" t="s">
        <v>537</v>
      </c>
      <c r="AB171" s="28">
        <f t="shared" si="69"/>
        <v>0</v>
      </c>
      <c r="AC171" s="146">
        <f t="shared" si="70"/>
        <v>5.4E-6</v>
      </c>
      <c r="AD171" s="147"/>
      <c r="AE171" s="147"/>
      <c r="AF171" s="25"/>
      <c r="AG171" s="25"/>
      <c r="AH171" s="25"/>
      <c r="AI171" s="25"/>
      <c r="AJ171" s="25"/>
      <c r="AK171" s="25"/>
      <c r="AL171" s="25"/>
      <c r="AM171" s="163"/>
      <c r="AN171" s="164"/>
      <c r="AO171" s="165"/>
    </row>
    <row r="172" spans="1:41" x14ac:dyDescent="0.2">
      <c r="AD172" s="177">
        <f>SUM(AD72:AD171)</f>
        <v>2.038219618608706E-8</v>
      </c>
      <c r="AE172" s="177">
        <f t="shared" ref="AE172:AF172" si="71">SUM(AE72:AE171)</f>
        <v>3.0188570690881803E-8</v>
      </c>
      <c r="AF172" s="177">
        <f t="shared" si="71"/>
        <v>393.67365118551265</v>
      </c>
    </row>
    <row r="175" spans="1:41" x14ac:dyDescent="0.2">
      <c r="A175" s="183" t="s">
        <v>634</v>
      </c>
      <c r="B175" s="184" t="s">
        <v>140</v>
      </c>
      <c r="C175" s="184" t="s">
        <v>595</v>
      </c>
      <c r="D175" s="184" t="s">
        <v>596</v>
      </c>
      <c r="E175" s="184" t="s">
        <v>128</v>
      </c>
      <c r="F175" s="184"/>
      <c r="G175" s="184" t="s">
        <v>113</v>
      </c>
      <c r="H175" s="184" t="s">
        <v>103</v>
      </c>
      <c r="I175" s="185" t="s">
        <v>673</v>
      </c>
    </row>
    <row r="176" spans="1:41" x14ac:dyDescent="0.2">
      <c r="A176" s="36" t="s">
        <v>597</v>
      </c>
      <c r="B176" s="3">
        <v>2.9255844577693311</v>
      </c>
      <c r="C176" s="3">
        <v>11.487592414864132</v>
      </c>
      <c r="D176" s="3">
        <v>0.54798092855734037</v>
      </c>
      <c r="E176" s="3">
        <v>1.8069412255075703</v>
      </c>
      <c r="F176" s="3"/>
      <c r="G176" s="3">
        <v>0.33505147456360213</v>
      </c>
      <c r="H176" s="3">
        <f>SUM(B176:G176)</f>
        <v>17.103150501261975</v>
      </c>
      <c r="I176" s="10">
        <f>SUM(B176:C176)</f>
        <v>14.413176872633462</v>
      </c>
      <c r="L176" s="3"/>
      <c r="R176" s="3"/>
      <c r="S176" s="3"/>
    </row>
    <row r="177" spans="1:19" x14ac:dyDescent="0.2">
      <c r="A177" s="36" t="s">
        <v>598</v>
      </c>
      <c r="B177" s="3">
        <v>2.4230297410227951E-4</v>
      </c>
      <c r="C177" s="3">
        <v>1.7817162729442974E-3</v>
      </c>
      <c r="D177" s="3">
        <v>1.1532395915419694E-4</v>
      </c>
      <c r="E177" s="3">
        <v>3.3596131389433367E-4</v>
      </c>
      <c r="F177" s="3"/>
      <c r="G177" s="3">
        <v>-5.3394394897439677E-5</v>
      </c>
      <c r="H177" s="3">
        <f t="shared" ref="H177:H185" si="72">SUM(B177:G177)</f>
        <v>2.421910125197668E-3</v>
      </c>
      <c r="I177" s="10">
        <f t="shared" ref="I177:I185" si="73">SUM(B177:C177)</f>
        <v>2.0240192470465769E-3</v>
      </c>
      <c r="L177" s="3"/>
      <c r="R177" s="3"/>
      <c r="S177" s="3"/>
    </row>
    <row r="178" spans="1:19" x14ac:dyDescent="0.2">
      <c r="A178" s="36" t="s">
        <v>599</v>
      </c>
      <c r="B178" s="3">
        <v>1.483470598498467E-2</v>
      </c>
      <c r="C178" s="3">
        <v>6.7791443671292514E-2</v>
      </c>
      <c r="D178" s="3">
        <v>4.4836540490644505E-3</v>
      </c>
      <c r="E178" s="3">
        <v>8.8554336292179636E-3</v>
      </c>
      <c r="F178" s="3"/>
      <c r="G178" s="3">
        <v>-5.0960382347825474E-4</v>
      </c>
      <c r="H178" s="3">
        <f t="shared" si="72"/>
        <v>9.5455633511081342E-2</v>
      </c>
      <c r="I178" s="10">
        <f t="shared" si="73"/>
        <v>8.2626149656277181E-2</v>
      </c>
      <c r="L178" s="3"/>
      <c r="R178" s="3"/>
      <c r="S178" s="3"/>
    </row>
    <row r="179" spans="1:19" x14ac:dyDescent="0.2">
      <c r="A179" s="36" t="s">
        <v>600</v>
      </c>
      <c r="B179" s="3">
        <v>8.910067735939612E-3</v>
      </c>
      <c r="C179" s="3">
        <v>2.4874013952377601E-2</v>
      </c>
      <c r="D179" s="3">
        <v>3.3230795262777458E-3</v>
      </c>
      <c r="E179" s="3">
        <v>7.9859042277940755E-3</v>
      </c>
      <c r="F179" s="3"/>
      <c r="G179" s="3">
        <v>-2.4599601156619506E-4</v>
      </c>
      <c r="H179" s="3">
        <f t="shared" si="72"/>
        <v>4.4847069430822839E-2</v>
      </c>
      <c r="I179" s="10">
        <f t="shared" si="73"/>
        <v>3.3784081688317216E-2</v>
      </c>
      <c r="L179" s="3"/>
      <c r="R179" s="3"/>
      <c r="S179" s="3"/>
    </row>
    <row r="180" spans="1:19" x14ac:dyDescent="0.2">
      <c r="A180" s="36" t="s">
        <v>601</v>
      </c>
      <c r="B180" s="3">
        <v>622.4506277480981</v>
      </c>
      <c r="C180" s="3">
        <v>4.5079212979239811</v>
      </c>
      <c r="D180" s="3">
        <v>1.5435764383883287E-3</v>
      </c>
      <c r="E180" s="3">
        <v>1.625474551073788E-3</v>
      </c>
      <c r="F180" s="3"/>
      <c r="G180" s="3">
        <v>-5.7148258728996601E-4</v>
      </c>
      <c r="H180" s="3">
        <f t="shared" si="72"/>
        <v>626.96114661442425</v>
      </c>
      <c r="I180" s="10">
        <f t="shared" si="73"/>
        <v>626.95854904602209</v>
      </c>
      <c r="L180" s="3"/>
      <c r="R180" s="3"/>
      <c r="S180" s="3"/>
    </row>
    <row r="181" spans="1:19" x14ac:dyDescent="0.2">
      <c r="A181" s="36" t="s">
        <v>602</v>
      </c>
      <c r="B181" s="3">
        <v>0.58829306685064164</v>
      </c>
      <c r="C181" s="3">
        <v>0.40841464001187067</v>
      </c>
      <c r="D181" s="3">
        <v>2.1846941799483179E-2</v>
      </c>
      <c r="E181" s="3">
        <v>3.9746015605250644E-2</v>
      </c>
      <c r="F181" s="3"/>
      <c r="G181" s="3">
        <v>-0.14238836602646202</v>
      </c>
      <c r="H181" s="3">
        <f t="shared" si="72"/>
        <v>0.91591229824078413</v>
      </c>
      <c r="I181" s="10">
        <f t="shared" si="73"/>
        <v>0.99670770686251231</v>
      </c>
      <c r="L181" s="3"/>
      <c r="R181" s="3"/>
      <c r="S181" s="3"/>
    </row>
    <row r="182" spans="1:19" x14ac:dyDescent="0.2">
      <c r="A182" s="36" t="s">
        <v>603</v>
      </c>
      <c r="B182" s="3">
        <v>1.6739766431904984E-7</v>
      </c>
      <c r="C182" s="3">
        <v>1.855063349115895E-6</v>
      </c>
      <c r="D182" s="3">
        <v>1.584794131431988E-7</v>
      </c>
      <c r="E182" s="3">
        <v>5.2528907803048043E-7</v>
      </c>
      <c r="F182" s="3"/>
      <c r="G182" s="3">
        <v>-2.550371212996076E-7</v>
      </c>
      <c r="H182" s="3">
        <f t="shared" si="72"/>
        <v>2.4511923833090166E-6</v>
      </c>
      <c r="I182" s="10">
        <f t="shared" si="73"/>
        <v>2.0224610134349447E-6</v>
      </c>
      <c r="L182" s="3"/>
      <c r="R182" s="3"/>
      <c r="S182" s="3"/>
    </row>
    <row r="183" spans="1:19" s="378" customFormat="1" x14ac:dyDescent="0.2">
      <c r="A183" s="381" t="s">
        <v>604</v>
      </c>
      <c r="B183" s="380">
        <v>8.3351322255436781E-8</v>
      </c>
      <c r="C183" s="380">
        <v>3.6217082116843984E-7</v>
      </c>
      <c r="D183" s="380">
        <v>3.7306142533806366E-8</v>
      </c>
      <c r="E183" s="380">
        <v>1.1762022665011793E-7</v>
      </c>
      <c r="F183" s="380"/>
      <c r="G183" s="380">
        <v>-4.4476192339348202E-8</v>
      </c>
      <c r="H183" s="380">
        <f t="shared" si="72"/>
        <v>5.5597232026845282E-7</v>
      </c>
      <c r="I183" s="382">
        <f t="shared" si="73"/>
        <v>4.4552214342387665E-7</v>
      </c>
      <c r="L183" s="380"/>
      <c r="R183" s="380"/>
      <c r="S183" s="380"/>
    </row>
    <row r="184" spans="1:19" s="378" customFormat="1" x14ac:dyDescent="0.2">
      <c r="A184" s="381" t="s">
        <v>605</v>
      </c>
      <c r="B184" s="380">
        <v>7.5849007725247066</v>
      </c>
      <c r="C184" s="380">
        <v>34.577276767263442</v>
      </c>
      <c r="D184" s="380">
        <v>3.8192530299539706</v>
      </c>
      <c r="E184" s="380">
        <v>44.603176318636265</v>
      </c>
      <c r="F184" s="380"/>
      <c r="G184" s="380">
        <v>-29.100840158932279</v>
      </c>
      <c r="H184" s="380">
        <f t="shared" si="72"/>
        <v>61.483766729446096</v>
      </c>
      <c r="I184" s="382">
        <f t="shared" si="73"/>
        <v>42.162177539788146</v>
      </c>
      <c r="L184" s="380"/>
      <c r="M184" s="378">
        <f>H184*0.2</f>
        <v>12.29675334588922</v>
      </c>
      <c r="N184" s="378">
        <f>H184*0.28</f>
        <v>17.215454684244907</v>
      </c>
      <c r="O184" s="378">
        <f>M184+N184</f>
        <v>29.512208030134126</v>
      </c>
      <c r="P184" s="378">
        <f>H184*0.07</f>
        <v>4.3038636710612268</v>
      </c>
      <c r="R184" s="380"/>
      <c r="S184" s="380"/>
    </row>
    <row r="185" spans="1:19" s="378" customFormat="1" x14ac:dyDescent="0.2">
      <c r="A185" s="239" t="s">
        <v>606</v>
      </c>
      <c r="B185" s="238">
        <v>40.670901320109635</v>
      </c>
      <c r="C185" s="238">
        <v>84.019137866415605</v>
      </c>
      <c r="D185" s="238">
        <v>8.7832948566890892</v>
      </c>
      <c r="E185" s="238">
        <v>25.99739388282752</v>
      </c>
      <c r="F185" s="238"/>
      <c r="G185" s="238">
        <v>-1.3067416707614199</v>
      </c>
      <c r="H185" s="238">
        <f t="shared" si="72"/>
        <v>158.16398625528041</v>
      </c>
      <c r="I185" s="383">
        <f t="shared" si="73"/>
        <v>124.69003918652524</v>
      </c>
      <c r="L185" s="238"/>
      <c r="R185" s="238"/>
      <c r="S185" s="238"/>
    </row>
    <row r="189" spans="1:19" ht="15" x14ac:dyDescent="0.25">
      <c r="B189" s="189" t="s">
        <v>140</v>
      </c>
      <c r="C189" s="189" t="s">
        <v>681</v>
      </c>
      <c r="D189" s="189" t="s">
        <v>682</v>
      </c>
      <c r="E189" s="189" t="s">
        <v>596</v>
      </c>
      <c r="F189" s="189"/>
      <c r="G189" s="189" t="s">
        <v>683</v>
      </c>
      <c r="H189" s="189" t="s">
        <v>684</v>
      </c>
      <c r="I189" s="189" t="s">
        <v>113</v>
      </c>
      <c r="J189" s="190" t="s">
        <v>103</v>
      </c>
      <c r="L189" s="189"/>
      <c r="R189" s="189"/>
      <c r="S189" s="189"/>
    </row>
    <row r="190" spans="1:19" x14ac:dyDescent="0.2">
      <c r="B190">
        <f>B184</f>
        <v>7.5849007725247066</v>
      </c>
      <c r="C190">
        <f>C184*2/5</f>
        <v>13.830910706905376</v>
      </c>
      <c r="D190">
        <f>C184*3/5</f>
        <v>20.746366060358064</v>
      </c>
      <c r="E190">
        <f>D184</f>
        <v>3.8192530299539706</v>
      </c>
      <c r="G190">
        <f>E184*0.97</f>
        <v>43.265081029077173</v>
      </c>
      <c r="H190">
        <f>E184*0.03</f>
        <v>1.3380952895590879</v>
      </c>
      <c r="I190">
        <f>G184</f>
        <v>-29.100840158932279</v>
      </c>
      <c r="J190">
        <f>SUM(B190:I190)</f>
        <v>61.48376672944611</v>
      </c>
    </row>
    <row r="191" spans="1:19" x14ac:dyDescent="0.2">
      <c r="C191" s="5">
        <f>I39</f>
        <v>393.67365118551265</v>
      </c>
    </row>
    <row r="192" spans="1:19" x14ac:dyDescent="0.2">
      <c r="B192">
        <f>B190</f>
        <v>7.5849007725247066</v>
      </c>
      <c r="C192">
        <f>SUM(C190:C191)</f>
        <v>407.50456189241805</v>
      </c>
      <c r="D192">
        <f t="shared" ref="D192:I192" si="74">D190</f>
        <v>20.746366060358064</v>
      </c>
      <c r="E192">
        <f t="shared" si="74"/>
        <v>3.8192530299539706</v>
      </c>
      <c r="G192">
        <f t="shared" si="74"/>
        <v>43.265081029077173</v>
      </c>
      <c r="H192">
        <f t="shared" si="74"/>
        <v>1.3380952895590879</v>
      </c>
      <c r="I192">
        <f t="shared" si="74"/>
        <v>-29.100840158932279</v>
      </c>
      <c r="J192">
        <f>SUM(B192:I192)</f>
        <v>455.15741791495878</v>
      </c>
    </row>
    <row r="194" spans="9:9" x14ac:dyDescent="0.2">
      <c r="I194" t="s">
        <v>685</v>
      </c>
    </row>
    <row r="195" spans="9:9" x14ac:dyDescent="0.2">
      <c r="I195" s="5">
        <f>C191</f>
        <v>393.67365118551265</v>
      </c>
    </row>
  </sheetData>
  <pageMargins left="0.7" right="0.7" top="0.75" bottom="0.75" header="0.3" footer="0.3"/>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Q92"/>
  <sheetViews>
    <sheetView zoomScale="60" zoomScaleNormal="60" workbookViewId="0">
      <selection activeCell="AB56" sqref="AB56"/>
    </sheetView>
  </sheetViews>
  <sheetFormatPr defaultRowHeight="12.75" x14ac:dyDescent="0.2"/>
  <cols>
    <col min="1" max="1" width="55.85546875" customWidth="1"/>
    <col min="2" max="2" width="22.42578125" customWidth="1"/>
    <col min="3" max="3" width="11.140625" customWidth="1"/>
    <col min="5" max="5" width="9.140625" customWidth="1"/>
    <col min="6" max="6" width="1.7109375" customWidth="1"/>
    <col min="7" max="11" width="9.140625" customWidth="1"/>
    <col min="12" max="12" width="1.7109375" customWidth="1"/>
    <col min="13" max="17" width="9.140625" customWidth="1"/>
    <col min="18" max="19" width="1.7109375" customWidth="1"/>
    <col min="20" max="27" width="9.140625" customWidth="1"/>
    <col min="32" max="32" width="9.28515625" bestFit="1" customWidth="1"/>
  </cols>
  <sheetData>
    <row r="1" spans="1:27" x14ac:dyDescent="0.2">
      <c r="A1" s="20" t="s">
        <v>181</v>
      </c>
      <c r="B1" s="19" t="s">
        <v>253</v>
      </c>
      <c r="C1" s="21" t="s">
        <v>11</v>
      </c>
      <c r="U1" s="58" t="s">
        <v>674</v>
      </c>
      <c r="V1" s="58"/>
      <c r="W1" s="58"/>
      <c r="X1" s="58" t="s">
        <v>676</v>
      </c>
      <c r="Y1" s="58" t="s">
        <v>677</v>
      </c>
      <c r="Z1" s="58" t="s">
        <v>678</v>
      </c>
      <c r="AA1" s="58" t="s">
        <v>679</v>
      </c>
    </row>
    <row r="2" spans="1:27" x14ac:dyDescent="0.2">
      <c r="A2" s="15" t="s">
        <v>610</v>
      </c>
      <c r="B2" s="6">
        <v>1</v>
      </c>
      <c r="C2" s="26" t="s">
        <v>2</v>
      </c>
      <c r="U2" s="34" t="s">
        <v>260</v>
      </c>
      <c r="X2" s="60"/>
      <c r="Y2" s="60">
        <v>9.8751605272440912</v>
      </c>
      <c r="AA2" s="60">
        <v>7.4144287567801808</v>
      </c>
    </row>
    <row r="3" spans="1:27" x14ac:dyDescent="0.2">
      <c r="A3" s="36" t="s">
        <v>187</v>
      </c>
      <c r="B3" s="3"/>
      <c r="C3" s="10"/>
      <c r="U3" s="34" t="s">
        <v>261</v>
      </c>
      <c r="X3" s="60"/>
      <c r="Y3" s="60">
        <v>3.294476224280295E-3</v>
      </c>
      <c r="AA3" s="60">
        <v>2.011497848623521E-3</v>
      </c>
    </row>
    <row r="4" spans="1:27" x14ac:dyDescent="0.2">
      <c r="A4" s="9" t="s">
        <v>247</v>
      </c>
      <c r="B4" s="3">
        <v>0.64</v>
      </c>
      <c r="C4" s="10" t="s">
        <v>2</v>
      </c>
      <c r="U4" s="34" t="s">
        <v>262</v>
      </c>
      <c r="X4" s="60"/>
      <c r="Y4" s="60">
        <v>9.3691728047688355E-2</v>
      </c>
      <c r="AA4" s="60">
        <v>7.6009432671606342E-2</v>
      </c>
    </row>
    <row r="5" spans="1:27" x14ac:dyDescent="0.2">
      <c r="A5" s="9" t="s">
        <v>575</v>
      </c>
      <c r="B5" s="3">
        <v>0.59</v>
      </c>
      <c r="C5" s="10" t="s">
        <v>2</v>
      </c>
      <c r="U5" s="34" t="s">
        <v>263</v>
      </c>
      <c r="X5" s="60"/>
      <c r="Y5" s="60">
        <v>4.0713782895266115E-2</v>
      </c>
      <c r="AA5" s="60">
        <v>2.5619271930071779E-2</v>
      </c>
    </row>
    <row r="6" spans="1:27" x14ac:dyDescent="0.2">
      <c r="A6" s="9" t="s">
        <v>433</v>
      </c>
      <c r="B6" s="3">
        <v>0.59</v>
      </c>
      <c r="C6" s="10" t="s">
        <v>2</v>
      </c>
      <c r="U6" s="34" t="s">
        <v>264</v>
      </c>
      <c r="X6" s="60"/>
      <c r="Y6" s="60">
        <v>3712.9019184811095</v>
      </c>
      <c r="AA6" s="60">
        <v>3712.8383152945289</v>
      </c>
    </row>
    <row r="7" spans="1:27" ht="15" x14ac:dyDescent="0.2">
      <c r="A7" s="9" t="s">
        <v>248</v>
      </c>
      <c r="B7" s="3">
        <v>1.18</v>
      </c>
      <c r="C7" s="10" t="s">
        <v>2</v>
      </c>
      <c r="U7" s="34" t="s">
        <v>675</v>
      </c>
      <c r="X7" s="60"/>
      <c r="Y7" s="60">
        <v>10.041299902036473</v>
      </c>
      <c r="AA7" s="60">
        <v>3.6100685020364738</v>
      </c>
    </row>
    <row r="8" spans="1:27" x14ac:dyDescent="0.2">
      <c r="A8" s="9" t="s">
        <v>565</v>
      </c>
      <c r="B8" s="3">
        <v>1.18</v>
      </c>
      <c r="C8" s="10" t="s">
        <v>2</v>
      </c>
      <c r="U8" s="34" t="s">
        <v>266</v>
      </c>
      <c r="X8" s="60"/>
      <c r="Y8" s="60">
        <v>4.0388558917827175E-6</v>
      </c>
      <c r="AA8" s="60">
        <v>1.3233844474544773E-6</v>
      </c>
    </row>
    <row r="9" spans="1:27" x14ac:dyDescent="0.2">
      <c r="A9" s="9" t="s">
        <v>608</v>
      </c>
      <c r="B9" s="3">
        <v>1.1599999999999999</v>
      </c>
      <c r="C9" s="10" t="s">
        <v>2</v>
      </c>
      <c r="D9" t="s">
        <v>559</v>
      </c>
      <c r="H9" s="166" t="s">
        <v>633</v>
      </c>
      <c r="U9" s="34" t="s">
        <v>267</v>
      </c>
      <c r="X9" s="60"/>
      <c r="Y9" s="60">
        <v>5.136451789897683E-7</v>
      </c>
      <c r="AA9" s="60">
        <v>2.6555686408279822E-7</v>
      </c>
    </row>
    <row r="10" spans="1:27" x14ac:dyDescent="0.2">
      <c r="A10" s="9" t="s">
        <v>557</v>
      </c>
      <c r="B10" s="3">
        <v>0.57999999999999996</v>
      </c>
      <c r="C10" s="10" t="s">
        <v>2</v>
      </c>
      <c r="H10" s="13" t="s">
        <v>103</v>
      </c>
      <c r="I10" s="13" t="s">
        <v>31</v>
      </c>
      <c r="J10" s="13" t="s">
        <v>32</v>
      </c>
      <c r="K10" s="14" t="s">
        <v>33</v>
      </c>
      <c r="U10" s="34" t="s">
        <v>268</v>
      </c>
      <c r="X10" s="4">
        <v>47.719759090801183</v>
      </c>
      <c r="Y10" s="4">
        <f>X10+I26</f>
        <v>272.67768042333171</v>
      </c>
      <c r="Z10" s="4">
        <v>34.807040971669061</v>
      </c>
      <c r="AA10" s="4">
        <f>Z10+I26</f>
        <v>259.76496230419957</v>
      </c>
    </row>
    <row r="11" spans="1:27" x14ac:dyDescent="0.2">
      <c r="A11" s="9" t="s">
        <v>568</v>
      </c>
      <c r="B11" s="3">
        <v>0.57999999999999996</v>
      </c>
      <c r="C11" s="10" t="s">
        <v>2</v>
      </c>
      <c r="I11" s="4">
        <f>AD68</f>
        <v>2.2930565374633025E-10</v>
      </c>
      <c r="J11" s="4">
        <f t="shared" ref="J11:K11" si="0">AE68</f>
        <v>4.5476915974938335E-9</v>
      </c>
      <c r="K11" s="4">
        <f t="shared" si="0"/>
        <v>224.95792133253053</v>
      </c>
      <c r="U11" s="59" t="s">
        <v>269</v>
      </c>
      <c r="V11" s="59"/>
      <c r="W11" s="59"/>
      <c r="X11" s="61"/>
      <c r="Y11" s="61">
        <v>112.09058047295369</v>
      </c>
      <c r="Z11" s="61"/>
      <c r="AA11" s="61">
        <v>76.104080472953697</v>
      </c>
    </row>
    <row r="12" spans="1:27" x14ac:dyDescent="0.2">
      <c r="A12" s="9" t="s">
        <v>609</v>
      </c>
      <c r="B12" s="3">
        <v>1</v>
      </c>
      <c r="C12" s="10" t="s">
        <v>2</v>
      </c>
      <c r="H12" s="3"/>
      <c r="I12" s="3"/>
    </row>
    <row r="13" spans="1:27" x14ac:dyDescent="0.2">
      <c r="A13" s="11" t="s">
        <v>251</v>
      </c>
      <c r="B13" s="7">
        <v>0.75</v>
      </c>
      <c r="C13" s="12" t="s">
        <v>252</v>
      </c>
      <c r="H13" s="3"/>
      <c r="I13" s="3"/>
    </row>
    <row r="14" spans="1:27" x14ac:dyDescent="0.2">
      <c r="H14" s="1" t="s">
        <v>635</v>
      </c>
      <c r="I14" s="3"/>
    </row>
    <row r="15" spans="1:27" x14ac:dyDescent="0.2">
      <c r="H15" s="18" t="s">
        <v>542</v>
      </c>
      <c r="I15" s="3"/>
    </row>
    <row r="16" spans="1:27" x14ac:dyDescent="0.2">
      <c r="A16" s="20" t="s">
        <v>540</v>
      </c>
      <c r="B16" s="19" t="s">
        <v>99</v>
      </c>
      <c r="C16" s="19" t="s">
        <v>611</v>
      </c>
      <c r="D16" s="19" t="s">
        <v>104</v>
      </c>
      <c r="E16" s="21" t="s">
        <v>11</v>
      </c>
      <c r="F16" s="18"/>
      <c r="H16" s="18" t="s">
        <v>543</v>
      </c>
      <c r="I16" s="3"/>
      <c r="L16" s="18"/>
      <c r="R16" s="18"/>
      <c r="S16" s="18"/>
    </row>
    <row r="17" spans="1:43" x14ac:dyDescent="0.2">
      <c r="A17" s="15" t="s">
        <v>59</v>
      </c>
      <c r="B17" s="6" t="s">
        <v>608</v>
      </c>
      <c r="C17" s="6">
        <f>D17*1*1.2</f>
        <v>0.12</v>
      </c>
      <c r="D17" s="6">
        <v>0.1</v>
      </c>
      <c r="E17" s="26" t="s">
        <v>2</v>
      </c>
      <c r="F17" s="3"/>
      <c r="L17" s="3"/>
      <c r="R17" s="3"/>
      <c r="S17" s="3"/>
    </row>
    <row r="18" spans="1:43" x14ac:dyDescent="0.2">
      <c r="A18" s="180" t="s">
        <v>9</v>
      </c>
      <c r="B18" s="3" t="s">
        <v>608</v>
      </c>
      <c r="C18" s="3">
        <f t="shared" ref="C18:C29" si="1">D18*1*1.2</f>
        <v>1.2E-2</v>
      </c>
      <c r="D18" s="3">
        <v>0.01</v>
      </c>
      <c r="E18" s="10" t="s">
        <v>2</v>
      </c>
      <c r="F18" s="3"/>
      <c r="H18" s="3"/>
      <c r="I18" s="3"/>
      <c r="L18" s="3"/>
      <c r="R18" s="3"/>
      <c r="S18" s="3"/>
    </row>
    <row r="19" spans="1:43" x14ac:dyDescent="0.2">
      <c r="A19" s="9" t="s">
        <v>303</v>
      </c>
      <c r="B19" s="3" t="s">
        <v>608</v>
      </c>
      <c r="C19" s="3">
        <f t="shared" si="1"/>
        <v>4.7999999999999996E-3</v>
      </c>
      <c r="D19" s="3">
        <v>4.0000000000000001E-3</v>
      </c>
      <c r="E19" s="10" t="s">
        <v>2</v>
      </c>
      <c r="F19" s="3"/>
      <c r="H19" s="18" t="s">
        <v>134</v>
      </c>
      <c r="I19" s="3"/>
      <c r="L19" s="3"/>
      <c r="R19" s="3"/>
      <c r="S19" s="3"/>
    </row>
    <row r="20" spans="1:43" x14ac:dyDescent="0.2">
      <c r="A20" s="9" t="s">
        <v>308</v>
      </c>
      <c r="B20" s="3" t="s">
        <v>608</v>
      </c>
      <c r="C20" s="3">
        <f t="shared" si="1"/>
        <v>7.1999999999999998E-3</v>
      </c>
      <c r="D20" s="3">
        <v>6.0000000000000001E-3</v>
      </c>
      <c r="E20" s="10" t="s">
        <v>2</v>
      </c>
      <c r="F20" s="3"/>
      <c r="H20" s="3"/>
      <c r="I20" s="3"/>
      <c r="L20" s="3"/>
      <c r="R20" s="3"/>
      <c r="S20" s="3"/>
    </row>
    <row r="21" spans="1:43" x14ac:dyDescent="0.2">
      <c r="A21" s="9" t="s">
        <v>47</v>
      </c>
      <c r="B21" s="3" t="s">
        <v>608</v>
      </c>
      <c r="C21" s="3">
        <f t="shared" si="1"/>
        <v>1.44E-2</v>
      </c>
      <c r="D21" s="3">
        <v>1.2E-2</v>
      </c>
      <c r="E21" s="10" t="s">
        <v>2</v>
      </c>
      <c r="F21" s="3"/>
      <c r="H21" s="3" t="s">
        <v>107</v>
      </c>
      <c r="I21" s="3"/>
      <c r="L21" s="3"/>
      <c r="R21" s="3"/>
      <c r="S21" s="3"/>
    </row>
    <row r="22" spans="1:43" x14ac:dyDescent="0.2">
      <c r="A22" s="9" t="s">
        <v>428</v>
      </c>
      <c r="B22" s="3" t="s">
        <v>608</v>
      </c>
      <c r="C22" s="3">
        <f t="shared" si="1"/>
        <v>6.2399999999999997E-2</v>
      </c>
      <c r="D22" s="3">
        <v>5.1999999999999998E-2</v>
      </c>
      <c r="E22" s="10" t="s">
        <v>2</v>
      </c>
      <c r="F22" s="3"/>
      <c r="J22" t="s">
        <v>632</v>
      </c>
      <c r="L22" s="3"/>
      <c r="O22" s="1"/>
      <c r="P22" s="1"/>
      <c r="Q22" s="1"/>
      <c r="R22" s="3"/>
      <c r="S22" s="3"/>
      <c r="T22" s="1"/>
    </row>
    <row r="23" spans="1:43" x14ac:dyDescent="0.2">
      <c r="A23" s="9" t="s">
        <v>172</v>
      </c>
      <c r="B23" s="3" t="s">
        <v>608</v>
      </c>
      <c r="C23" s="3">
        <f t="shared" si="1"/>
        <v>9.6000000000000002E-2</v>
      </c>
      <c r="D23" s="3">
        <v>0.08</v>
      </c>
      <c r="E23" s="10" t="s">
        <v>2</v>
      </c>
      <c r="F23" s="3"/>
      <c r="I23" s="1" t="s">
        <v>103</v>
      </c>
      <c r="L23" s="3"/>
      <c r="M23" t="s">
        <v>119</v>
      </c>
      <c r="N23" t="s">
        <v>613</v>
      </c>
      <c r="O23" t="s">
        <v>117</v>
      </c>
      <c r="P23" t="s">
        <v>118</v>
      </c>
      <c r="Q23" t="s">
        <v>116</v>
      </c>
      <c r="R23" s="3"/>
      <c r="S23" s="3"/>
      <c r="T23" t="s">
        <v>614</v>
      </c>
      <c r="U23" t="s">
        <v>109</v>
      </c>
      <c r="V23" t="s">
        <v>615</v>
      </c>
      <c r="W23" t="s">
        <v>616</v>
      </c>
      <c r="X23" t="s">
        <v>113</v>
      </c>
    </row>
    <row r="24" spans="1:43" x14ac:dyDescent="0.2">
      <c r="A24" s="9" t="s">
        <v>90</v>
      </c>
      <c r="B24" s="3" t="s">
        <v>608</v>
      </c>
      <c r="C24" s="3">
        <f t="shared" si="1"/>
        <v>4.8000000000000001E-2</v>
      </c>
      <c r="D24" s="3">
        <v>0.04</v>
      </c>
      <c r="E24" s="10" t="s">
        <v>2</v>
      </c>
      <c r="F24" s="3"/>
      <c r="H24" t="s">
        <v>133</v>
      </c>
      <c r="I24" s="1">
        <f>SUM(M24:X24)</f>
        <v>47.719759090801183</v>
      </c>
      <c r="L24" s="3"/>
      <c r="M24">
        <v>10.4108</v>
      </c>
      <c r="N24">
        <v>1.6428718138233223</v>
      </c>
      <c r="O24">
        <v>4.780732748537563</v>
      </c>
      <c r="P24">
        <v>5.5629003080880528</v>
      </c>
      <c r="Q24">
        <v>5.3222812475904728</v>
      </c>
      <c r="R24" s="3"/>
      <c r="S24" s="3"/>
      <c r="T24">
        <v>7.0874548536296453</v>
      </c>
      <c r="U24">
        <v>0.10459138272004799</v>
      </c>
      <c r="V24">
        <v>31.897428222408003</v>
      </c>
      <c r="W24">
        <v>0</v>
      </c>
      <c r="X24">
        <v>-19.089301485995925</v>
      </c>
    </row>
    <row r="25" spans="1:43" x14ac:dyDescent="0.2">
      <c r="A25" s="181" t="s">
        <v>631</v>
      </c>
      <c r="B25" s="3" t="s">
        <v>608</v>
      </c>
      <c r="C25" s="3">
        <f t="shared" si="1"/>
        <v>2.4E-2</v>
      </c>
      <c r="D25" s="3">
        <v>0.02</v>
      </c>
      <c r="E25" s="10" t="s">
        <v>2</v>
      </c>
      <c r="F25" s="3"/>
      <c r="H25" t="s">
        <v>135</v>
      </c>
      <c r="I25" s="5"/>
      <c r="K25" s="5"/>
      <c r="L25" s="3"/>
      <c r="R25" s="3"/>
      <c r="S25" s="3"/>
    </row>
    <row r="26" spans="1:43" x14ac:dyDescent="0.2">
      <c r="A26" s="9" t="s">
        <v>630</v>
      </c>
      <c r="B26" s="3" t="s">
        <v>608</v>
      </c>
      <c r="C26" s="3">
        <f t="shared" si="1"/>
        <v>2.4E-2</v>
      </c>
      <c r="D26" s="3">
        <v>0.02</v>
      </c>
      <c r="E26" s="10" t="s">
        <v>2</v>
      </c>
      <c r="F26" s="3"/>
      <c r="H26" t="s">
        <v>136</v>
      </c>
      <c r="I26" s="5">
        <f>K11</f>
        <v>224.95792133253053</v>
      </c>
      <c r="K26" s="5"/>
      <c r="L26" s="3"/>
      <c r="R26" s="3"/>
      <c r="S26" s="3"/>
    </row>
    <row r="27" spans="1:43" x14ac:dyDescent="0.2">
      <c r="A27" s="9" t="s">
        <v>51</v>
      </c>
      <c r="B27" s="3" t="s">
        <v>608</v>
      </c>
      <c r="C27" s="3">
        <f t="shared" si="1"/>
        <v>1.44E-2</v>
      </c>
      <c r="D27" s="3">
        <v>1.2E-2</v>
      </c>
      <c r="E27" s="10" t="s">
        <v>2</v>
      </c>
      <c r="F27" s="3"/>
      <c r="H27" t="s">
        <v>137</v>
      </c>
      <c r="I27" s="5"/>
      <c r="K27" s="5"/>
      <c r="L27" s="3"/>
      <c r="R27" s="3"/>
      <c r="S27" s="3"/>
    </row>
    <row r="28" spans="1:43" x14ac:dyDescent="0.2">
      <c r="A28" s="9" t="s">
        <v>59</v>
      </c>
      <c r="B28" s="3" t="s">
        <v>608</v>
      </c>
      <c r="C28" s="3">
        <f t="shared" si="1"/>
        <v>7.1999999999999995E-2</v>
      </c>
      <c r="D28" s="3">
        <v>0.06</v>
      </c>
      <c r="E28" s="10" t="s">
        <v>2</v>
      </c>
      <c r="F28" s="3"/>
      <c r="L28" s="3"/>
      <c r="R28" s="3"/>
      <c r="S28" s="3"/>
    </row>
    <row r="29" spans="1:43" x14ac:dyDescent="0.2">
      <c r="A29" s="11" t="s">
        <v>299</v>
      </c>
      <c r="B29" s="7" t="s">
        <v>608</v>
      </c>
      <c r="C29" s="7">
        <f t="shared" si="1"/>
        <v>0.14399999999999999</v>
      </c>
      <c r="D29" s="7">
        <v>0.12</v>
      </c>
      <c r="E29" s="12" t="s">
        <v>2</v>
      </c>
      <c r="F29" s="3"/>
      <c r="H29" s="179" t="s">
        <v>607</v>
      </c>
      <c r="I29" s="1">
        <f>I24+I26</f>
        <v>272.67768042333171</v>
      </c>
      <c r="L29" s="3"/>
      <c r="R29" s="3"/>
      <c r="S29" s="3"/>
    </row>
    <row r="30" spans="1:43" x14ac:dyDescent="0.2">
      <c r="E30" t="s">
        <v>179</v>
      </c>
      <c r="G30" t="s">
        <v>179</v>
      </c>
      <c r="H30" t="s">
        <v>179</v>
      </c>
    </row>
    <row r="31" spans="1:43" x14ac:dyDescent="0.2">
      <c r="E31" t="s">
        <v>179</v>
      </c>
      <c r="G31" t="s">
        <v>179</v>
      </c>
      <c r="H31" t="s">
        <v>179</v>
      </c>
    </row>
    <row r="32" spans="1:43" x14ac:dyDescent="0.2">
      <c r="AQ32" s="30"/>
    </row>
    <row r="33" spans="1:41" s="7" customFormat="1" x14ac:dyDescent="0.2">
      <c r="A33" s="17" t="s">
        <v>708</v>
      </c>
      <c r="U33" s="151" t="s">
        <v>550</v>
      </c>
      <c r="V33" s="152" t="s">
        <v>551</v>
      </c>
      <c r="W33" s="152" t="s">
        <v>550</v>
      </c>
      <c r="X33" s="152" t="s">
        <v>551</v>
      </c>
      <c r="Y33" s="153" t="s">
        <v>552</v>
      </c>
      <c r="Z33" s="154"/>
      <c r="AA33" s="155"/>
      <c r="AB33" s="17" t="s">
        <v>105</v>
      </c>
      <c r="AC33" s="17"/>
      <c r="AD33" s="32" t="s">
        <v>549</v>
      </c>
      <c r="AE33" s="33"/>
      <c r="AF33" s="33"/>
      <c r="AG33" s="33" t="s">
        <v>548</v>
      </c>
      <c r="AH33" s="33"/>
      <c r="AI33" s="33"/>
      <c r="AJ33" s="33" t="s">
        <v>547</v>
      </c>
      <c r="AK33" s="33"/>
      <c r="AL33" s="33"/>
      <c r="AM33" s="158" t="s">
        <v>553</v>
      </c>
      <c r="AN33" s="154"/>
      <c r="AO33" s="155"/>
    </row>
    <row r="34" spans="1:41" s="49" customFormat="1" ht="15" customHeight="1" x14ac:dyDescent="0.2">
      <c r="A34" s="57" t="s">
        <v>58</v>
      </c>
      <c r="B34" s="55" t="s">
        <v>289</v>
      </c>
      <c r="C34" s="56" t="s">
        <v>100</v>
      </c>
      <c r="D34" s="56" t="s">
        <v>11</v>
      </c>
      <c r="E34" s="63" t="s">
        <v>291</v>
      </c>
      <c r="F34" s="63"/>
      <c r="G34" s="66" t="s">
        <v>292</v>
      </c>
      <c r="H34" s="66" t="s">
        <v>8</v>
      </c>
      <c r="I34" s="66" t="s">
        <v>217</v>
      </c>
      <c r="J34" s="66" t="s">
        <v>11</v>
      </c>
      <c r="K34" s="66" t="s">
        <v>291</v>
      </c>
      <c r="L34" s="63"/>
      <c r="M34" s="67" t="s">
        <v>293</v>
      </c>
      <c r="N34" s="67" t="s">
        <v>8</v>
      </c>
      <c r="O34" s="67" t="s">
        <v>217</v>
      </c>
      <c r="P34" s="67" t="s">
        <v>11</v>
      </c>
      <c r="Q34" s="67" t="s">
        <v>291</v>
      </c>
      <c r="R34" s="63"/>
      <c r="S34" s="63"/>
      <c r="T34" s="79" t="s">
        <v>275</v>
      </c>
      <c r="U34" s="126" t="s">
        <v>530</v>
      </c>
      <c r="V34" s="114" t="s">
        <v>531</v>
      </c>
      <c r="W34" s="114" t="s">
        <v>532</v>
      </c>
      <c r="X34" s="114" t="s">
        <v>533</v>
      </c>
      <c r="Y34" s="114" t="s">
        <v>534</v>
      </c>
      <c r="Z34" s="114" t="s">
        <v>535</v>
      </c>
      <c r="AA34" s="131" t="s">
        <v>536</v>
      </c>
      <c r="AB34" s="22" t="s">
        <v>545</v>
      </c>
      <c r="AC34" s="23" t="s">
        <v>546</v>
      </c>
      <c r="AD34" s="148" t="s">
        <v>31</v>
      </c>
      <c r="AE34" s="149" t="s">
        <v>32</v>
      </c>
      <c r="AF34" s="150" t="s">
        <v>33</v>
      </c>
      <c r="AG34" s="148" t="s">
        <v>31</v>
      </c>
      <c r="AH34" s="149" t="s">
        <v>32</v>
      </c>
      <c r="AI34" s="150" t="s">
        <v>33</v>
      </c>
      <c r="AJ34" s="148" t="s">
        <v>31</v>
      </c>
      <c r="AK34" s="149" t="s">
        <v>32</v>
      </c>
      <c r="AL34" s="149" t="s">
        <v>33</v>
      </c>
      <c r="AM34" s="159"/>
      <c r="AN34" s="156"/>
      <c r="AO34" s="160"/>
    </row>
    <row r="35" spans="1:41" s="8" customFormat="1" ht="15" customHeight="1" x14ac:dyDescent="0.2">
      <c r="A35" s="68" t="s">
        <v>59</v>
      </c>
      <c r="B35" s="54" t="s">
        <v>30</v>
      </c>
      <c r="C35" s="51">
        <v>0.1</v>
      </c>
      <c r="D35" s="51" t="s">
        <v>2</v>
      </c>
      <c r="E35" s="62" t="s">
        <v>294</v>
      </c>
      <c r="F35" s="62">
        <v>0</v>
      </c>
      <c r="G35" s="51" t="s">
        <v>12</v>
      </c>
      <c r="H35" s="51">
        <v>0</v>
      </c>
      <c r="I35" s="69">
        <v>0</v>
      </c>
      <c r="J35" s="51">
        <v>0</v>
      </c>
      <c r="K35" s="51">
        <v>0</v>
      </c>
      <c r="L35" s="62">
        <v>0</v>
      </c>
      <c r="M35" s="51" t="s">
        <v>30</v>
      </c>
      <c r="N35" s="51" t="s">
        <v>7</v>
      </c>
      <c r="O35" s="69">
        <v>9.9000000000000008E-3</v>
      </c>
      <c r="P35" s="51" t="s">
        <v>2</v>
      </c>
      <c r="Q35" s="8" t="s">
        <v>1367</v>
      </c>
      <c r="R35" s="62">
        <v>0</v>
      </c>
      <c r="S35" s="62">
        <v>0</v>
      </c>
      <c r="T35" s="80" t="s">
        <v>34</v>
      </c>
      <c r="U35" s="127">
        <v>0</v>
      </c>
      <c r="V35" s="115">
        <v>0</v>
      </c>
      <c r="W35" s="115">
        <v>0</v>
      </c>
      <c r="X35" s="115">
        <v>0</v>
      </c>
      <c r="Y35" s="129">
        <v>7.06</v>
      </c>
      <c r="Z35" s="129">
        <v>78.599999999999994</v>
      </c>
      <c r="AA35" s="132" t="s">
        <v>539</v>
      </c>
      <c r="AB35" s="27">
        <f>$C$17*I35</f>
        <v>0</v>
      </c>
      <c r="AC35" s="29">
        <f>$C$17*O35</f>
        <v>1.188E-3</v>
      </c>
      <c r="AD35" s="135">
        <f t="shared" ref="AD35" si="2">AB35*U35+AC35*W35</f>
        <v>0</v>
      </c>
      <c r="AE35" s="135">
        <f t="shared" ref="AE35" si="3">AB35*V35+AC35*X35</f>
        <v>0</v>
      </c>
      <c r="AF35" s="24">
        <f t="shared" ref="AF35" si="4">AB35*Y35+AC35*Z35</f>
        <v>9.3376799999999996E-2</v>
      </c>
      <c r="AG35" s="24">
        <f t="shared" ref="AG35" si="5">AB35*U35</f>
        <v>0</v>
      </c>
      <c r="AH35" s="24">
        <f t="shared" ref="AH35" si="6">AB35*V35</f>
        <v>0</v>
      </c>
      <c r="AI35" s="24">
        <f t="shared" ref="AI35" si="7">AB35*Y35</f>
        <v>0</v>
      </c>
      <c r="AJ35" s="24">
        <f t="shared" ref="AJ35" si="8">AC35*W35</f>
        <v>0</v>
      </c>
      <c r="AK35" s="24">
        <f t="shared" ref="AK35" si="9">AC35*X35</f>
        <v>0</v>
      </c>
      <c r="AL35" s="24">
        <f t="shared" ref="AL35" si="10">AC35*Z35</f>
        <v>9.3376799999999996E-2</v>
      </c>
      <c r="AM35" s="161">
        <f t="shared" ref="AM35:AO35" si="11">AG35+AJ35</f>
        <v>0</v>
      </c>
      <c r="AN35" s="157">
        <f t="shared" si="11"/>
        <v>0</v>
      </c>
      <c r="AO35" s="162">
        <f t="shared" si="11"/>
        <v>9.3376799999999996E-2</v>
      </c>
    </row>
    <row r="36" spans="1:41" s="8" customFormat="1" ht="15" customHeight="1" x14ac:dyDescent="0.2">
      <c r="A36" s="68" t="s">
        <v>59</v>
      </c>
      <c r="B36" s="54" t="s">
        <v>15</v>
      </c>
      <c r="C36" s="51">
        <v>0.25</v>
      </c>
      <c r="D36" s="51" t="s">
        <v>2</v>
      </c>
      <c r="E36" s="62" t="s">
        <v>294</v>
      </c>
      <c r="F36" s="62">
        <v>0</v>
      </c>
      <c r="G36" s="51" t="s">
        <v>12</v>
      </c>
      <c r="H36" s="51">
        <v>0</v>
      </c>
      <c r="I36" s="69">
        <v>0</v>
      </c>
      <c r="J36" s="51">
        <v>0</v>
      </c>
      <c r="K36" s="51">
        <v>0</v>
      </c>
      <c r="L36" s="62">
        <v>0</v>
      </c>
      <c r="M36" s="51" t="s">
        <v>15</v>
      </c>
      <c r="N36" s="51" t="s">
        <v>7</v>
      </c>
      <c r="O36" s="69">
        <v>2.5000000000000001E-2</v>
      </c>
      <c r="P36" s="51" t="s">
        <v>2</v>
      </c>
      <c r="Q36" s="51">
        <v>0</v>
      </c>
      <c r="R36" s="62">
        <v>0</v>
      </c>
      <c r="S36" s="62">
        <v>0</v>
      </c>
      <c r="T36" s="54" t="s">
        <v>13</v>
      </c>
      <c r="U36" s="127">
        <v>0</v>
      </c>
      <c r="V36" s="115">
        <v>1.2009414857886904E-7</v>
      </c>
      <c r="W36" s="115">
        <v>0</v>
      </c>
      <c r="X36" s="115">
        <v>3.2843909509658706E-7</v>
      </c>
      <c r="Y36" s="115">
        <v>14.526941022240393</v>
      </c>
      <c r="Z36" s="115">
        <v>111.251141519207</v>
      </c>
      <c r="AA36" s="132" t="s">
        <v>538</v>
      </c>
      <c r="AB36" s="27">
        <f t="shared" ref="AB36:AB40" si="12">$C$17*I36</f>
        <v>0</v>
      </c>
      <c r="AC36" s="29">
        <f t="shared" ref="AC36:AC40" si="13">$C$17*O36</f>
        <v>3.0000000000000001E-3</v>
      </c>
      <c r="AD36" s="135">
        <f t="shared" ref="AD36:AD67" si="14">AB36*U36+AC36*W36</f>
        <v>0</v>
      </c>
      <c r="AE36" s="135">
        <f t="shared" ref="AE36:AE67" si="15">AB36*V36+AC36*X36</f>
        <v>9.8531728528976123E-10</v>
      </c>
      <c r="AF36" s="24">
        <f t="shared" ref="AF36:AF67" si="16">AB36*Y36+AC36*Z36</f>
        <v>0.33375342455762097</v>
      </c>
      <c r="AG36" s="24">
        <f t="shared" ref="AG36:AG67" si="17">AB36*U36</f>
        <v>0</v>
      </c>
      <c r="AH36" s="24">
        <f t="shared" ref="AH36:AH67" si="18">AB36*V36</f>
        <v>0</v>
      </c>
      <c r="AI36" s="24">
        <f t="shared" ref="AI36:AI67" si="19">AB36*Y36</f>
        <v>0</v>
      </c>
      <c r="AJ36" s="24">
        <f t="shared" ref="AJ36:AJ67" si="20">AC36*W36</f>
        <v>0</v>
      </c>
      <c r="AK36" s="24">
        <f t="shared" ref="AK36:AK67" si="21">AC36*X36</f>
        <v>9.8531728528976123E-10</v>
      </c>
      <c r="AL36" s="24">
        <f t="shared" ref="AL36:AL67" si="22">AC36*Z36</f>
        <v>0.33375342455762097</v>
      </c>
      <c r="AM36" s="161">
        <f t="shared" ref="AM36:AM67" si="23">AG36+AJ36</f>
        <v>0</v>
      </c>
      <c r="AN36" s="157">
        <f t="shared" ref="AN36:AN67" si="24">AH36+AK36</f>
        <v>9.8531728528976123E-10</v>
      </c>
      <c r="AO36" s="162">
        <f t="shared" ref="AO36:AO67" si="25">AI36+AL36</f>
        <v>0.33375342455762097</v>
      </c>
    </row>
    <row r="37" spans="1:41" s="8" customFormat="1" ht="15" customHeight="1" x14ac:dyDescent="0.2">
      <c r="A37" s="68" t="s">
        <v>59</v>
      </c>
      <c r="B37" s="54" t="s">
        <v>16</v>
      </c>
      <c r="C37" s="51">
        <v>0.1</v>
      </c>
      <c r="D37" s="51" t="s">
        <v>2</v>
      </c>
      <c r="E37" s="62" t="s">
        <v>294</v>
      </c>
      <c r="F37" s="62">
        <v>0</v>
      </c>
      <c r="G37" s="51" t="s">
        <v>12</v>
      </c>
      <c r="H37" s="51">
        <v>0</v>
      </c>
      <c r="I37" s="69">
        <v>0</v>
      </c>
      <c r="J37" s="51">
        <v>0</v>
      </c>
      <c r="K37" s="51">
        <v>0</v>
      </c>
      <c r="L37" s="62">
        <v>0</v>
      </c>
      <c r="M37" s="51" t="s">
        <v>69</v>
      </c>
      <c r="N37" s="51" t="s">
        <v>7</v>
      </c>
      <c r="O37" s="69">
        <v>1.0000000000000002E-2</v>
      </c>
      <c r="P37" s="51" t="s">
        <v>2</v>
      </c>
      <c r="Q37" s="51">
        <v>0</v>
      </c>
      <c r="R37" s="62">
        <v>0</v>
      </c>
      <c r="S37" s="62">
        <v>0</v>
      </c>
      <c r="T37" s="54" t="s">
        <v>17</v>
      </c>
      <c r="U37" s="127">
        <v>0</v>
      </c>
      <c r="V37" s="115">
        <v>0</v>
      </c>
      <c r="W37" s="115">
        <v>0</v>
      </c>
      <c r="X37" s="115">
        <v>0</v>
      </c>
      <c r="Y37" s="115">
        <v>47</v>
      </c>
      <c r="Z37" s="115">
        <v>913</v>
      </c>
      <c r="AA37" s="132" t="s">
        <v>539</v>
      </c>
      <c r="AB37" s="27">
        <f t="shared" si="12"/>
        <v>0</v>
      </c>
      <c r="AC37" s="29">
        <f t="shared" si="13"/>
        <v>1.2000000000000001E-3</v>
      </c>
      <c r="AD37" s="135">
        <f t="shared" si="14"/>
        <v>0</v>
      </c>
      <c r="AE37" s="135">
        <f t="shared" si="15"/>
        <v>0</v>
      </c>
      <c r="AF37" s="24">
        <f t="shared" si="16"/>
        <v>1.0956000000000001</v>
      </c>
      <c r="AG37" s="24">
        <f t="shared" si="17"/>
        <v>0</v>
      </c>
      <c r="AH37" s="24">
        <f t="shared" si="18"/>
        <v>0</v>
      </c>
      <c r="AI37" s="24">
        <f t="shared" si="19"/>
        <v>0</v>
      </c>
      <c r="AJ37" s="24">
        <f t="shared" si="20"/>
        <v>0</v>
      </c>
      <c r="AK37" s="24">
        <f t="shared" si="21"/>
        <v>0</v>
      </c>
      <c r="AL37" s="24">
        <f t="shared" si="22"/>
        <v>1.0956000000000001</v>
      </c>
      <c r="AM37" s="161">
        <f t="shared" si="23"/>
        <v>0</v>
      </c>
      <c r="AN37" s="157">
        <f t="shared" si="24"/>
        <v>0</v>
      </c>
      <c r="AO37" s="162">
        <f t="shared" si="25"/>
        <v>1.0956000000000001</v>
      </c>
    </row>
    <row r="38" spans="1:41" s="8" customFormat="1" ht="15" customHeight="1" x14ac:dyDescent="0.2">
      <c r="A38" s="68" t="s">
        <v>59</v>
      </c>
      <c r="B38" s="54" t="s">
        <v>18</v>
      </c>
      <c r="C38" s="51">
        <v>0.05</v>
      </c>
      <c r="D38" s="51" t="s">
        <v>2</v>
      </c>
      <c r="E38" s="62" t="s">
        <v>294</v>
      </c>
      <c r="F38" s="62">
        <v>0</v>
      </c>
      <c r="G38" s="51" t="s">
        <v>12</v>
      </c>
      <c r="H38" s="51">
        <v>0</v>
      </c>
      <c r="I38" s="69">
        <v>0</v>
      </c>
      <c r="J38" s="51">
        <v>0</v>
      </c>
      <c r="K38" s="51">
        <v>0</v>
      </c>
      <c r="L38" s="62">
        <v>0</v>
      </c>
      <c r="M38" s="51" t="s">
        <v>18</v>
      </c>
      <c r="N38" s="51" t="s">
        <v>7</v>
      </c>
      <c r="O38" s="69">
        <v>5.000000000000001E-3</v>
      </c>
      <c r="P38" s="51" t="s">
        <v>2</v>
      </c>
      <c r="Q38" s="51">
        <v>0</v>
      </c>
      <c r="R38" s="62">
        <v>0</v>
      </c>
      <c r="S38" s="62">
        <v>0</v>
      </c>
      <c r="T38" s="54" t="s">
        <v>14</v>
      </c>
      <c r="U38" s="127">
        <v>0</v>
      </c>
      <c r="V38" s="115">
        <v>0</v>
      </c>
      <c r="W38" s="115">
        <v>0</v>
      </c>
      <c r="X38" s="115">
        <v>0</v>
      </c>
      <c r="Y38" s="115">
        <v>109.72</v>
      </c>
      <c r="Z38" s="115">
        <v>110</v>
      </c>
      <c r="AA38" s="132" t="s">
        <v>539</v>
      </c>
      <c r="AB38" s="27">
        <f t="shared" si="12"/>
        <v>0</v>
      </c>
      <c r="AC38" s="29">
        <f t="shared" si="13"/>
        <v>6.0000000000000006E-4</v>
      </c>
      <c r="AD38" s="135">
        <f t="shared" si="14"/>
        <v>0</v>
      </c>
      <c r="AE38" s="135">
        <f t="shared" si="15"/>
        <v>0</v>
      </c>
      <c r="AF38" s="24">
        <f t="shared" si="16"/>
        <v>6.6000000000000003E-2</v>
      </c>
      <c r="AG38" s="24">
        <f t="shared" si="17"/>
        <v>0</v>
      </c>
      <c r="AH38" s="24">
        <f t="shared" si="18"/>
        <v>0</v>
      </c>
      <c r="AI38" s="24">
        <f t="shared" si="19"/>
        <v>0</v>
      </c>
      <c r="AJ38" s="24">
        <f t="shared" si="20"/>
        <v>0</v>
      </c>
      <c r="AK38" s="24">
        <f t="shared" si="21"/>
        <v>0</v>
      </c>
      <c r="AL38" s="24">
        <f t="shared" si="22"/>
        <v>6.6000000000000003E-2</v>
      </c>
      <c r="AM38" s="161">
        <f t="shared" si="23"/>
        <v>0</v>
      </c>
      <c r="AN38" s="157">
        <f t="shared" si="24"/>
        <v>0</v>
      </c>
      <c r="AO38" s="162">
        <f t="shared" si="25"/>
        <v>6.6000000000000003E-2</v>
      </c>
    </row>
    <row r="39" spans="1:41" s="8" customFormat="1" ht="15" customHeight="1" x14ac:dyDescent="0.2">
      <c r="A39" s="68" t="s">
        <v>59</v>
      </c>
      <c r="B39" s="50" t="s">
        <v>39</v>
      </c>
      <c r="C39" s="51">
        <v>0</v>
      </c>
      <c r="D39" s="51">
        <v>0</v>
      </c>
      <c r="E39" s="62" t="s">
        <v>1369</v>
      </c>
      <c r="F39" s="62">
        <v>0</v>
      </c>
      <c r="G39" s="51" t="s">
        <v>39</v>
      </c>
      <c r="H39" s="51" t="s">
        <v>6</v>
      </c>
      <c r="I39" s="69">
        <v>1.0000000000000001E-7</v>
      </c>
      <c r="J39" s="51" t="s">
        <v>2</v>
      </c>
      <c r="K39" s="54">
        <v>0</v>
      </c>
      <c r="L39" s="62">
        <v>0</v>
      </c>
      <c r="M39" s="51" t="s">
        <v>39</v>
      </c>
      <c r="N39" s="51" t="s">
        <v>7</v>
      </c>
      <c r="O39" s="69">
        <v>1.0000000000000001E-5</v>
      </c>
      <c r="P39" s="51" t="s">
        <v>2</v>
      </c>
      <c r="Q39" s="54" t="s">
        <v>295</v>
      </c>
      <c r="R39" s="62">
        <v>0</v>
      </c>
      <c r="S39" s="62">
        <v>0</v>
      </c>
      <c r="T39" s="54" t="s">
        <v>60</v>
      </c>
      <c r="U39" s="127">
        <v>1.0252176328593382E-6</v>
      </c>
      <c r="V39" s="115">
        <v>0</v>
      </c>
      <c r="W39" s="115">
        <v>8.6533271568247147E-7</v>
      </c>
      <c r="X39" s="115">
        <v>0</v>
      </c>
      <c r="Y39" s="115">
        <v>0.65406517859613422</v>
      </c>
      <c r="Z39" s="115">
        <v>11.248588270889815</v>
      </c>
      <c r="AA39" s="132" t="s">
        <v>537</v>
      </c>
      <c r="AB39" s="27">
        <f t="shared" si="12"/>
        <v>1.2E-8</v>
      </c>
      <c r="AC39" s="29">
        <f t="shared" si="13"/>
        <v>1.2000000000000002E-6</v>
      </c>
      <c r="AD39" s="135">
        <f t="shared" si="14"/>
        <v>1.0507018704132781E-12</v>
      </c>
      <c r="AE39" s="135">
        <f t="shared" si="15"/>
        <v>0</v>
      </c>
      <c r="AF39" s="24">
        <f t="shared" si="16"/>
        <v>1.3506154707210934E-5</v>
      </c>
      <c r="AG39" s="24">
        <f t="shared" si="17"/>
        <v>1.2302611594312058E-14</v>
      </c>
      <c r="AH39" s="24">
        <f t="shared" si="18"/>
        <v>0</v>
      </c>
      <c r="AI39" s="24">
        <f t="shared" si="19"/>
        <v>7.8487821431536102E-9</v>
      </c>
      <c r="AJ39" s="24">
        <f t="shared" si="20"/>
        <v>1.038399258818966E-12</v>
      </c>
      <c r="AK39" s="24">
        <f t="shared" si="21"/>
        <v>0</v>
      </c>
      <c r="AL39" s="24">
        <f t="shared" si="22"/>
        <v>1.349830592506778E-5</v>
      </c>
      <c r="AM39" s="161">
        <f t="shared" si="23"/>
        <v>1.0507018704132781E-12</v>
      </c>
      <c r="AN39" s="157">
        <f t="shared" si="24"/>
        <v>0</v>
      </c>
      <c r="AO39" s="162">
        <f t="shared" si="25"/>
        <v>1.3506154707210934E-5</v>
      </c>
    </row>
    <row r="40" spans="1:41" s="8" customFormat="1" ht="15" customHeight="1" x14ac:dyDescent="0.2">
      <c r="A40" s="68" t="s">
        <v>59</v>
      </c>
      <c r="B40" s="54" t="s">
        <v>87</v>
      </c>
      <c r="C40" s="51">
        <v>0</v>
      </c>
      <c r="D40" s="51">
        <v>0</v>
      </c>
      <c r="E40" s="62" t="s">
        <v>1370</v>
      </c>
      <c r="F40" s="62">
        <v>0</v>
      </c>
      <c r="G40" s="51" t="s">
        <v>3</v>
      </c>
      <c r="H40" s="51" t="s">
        <v>6</v>
      </c>
      <c r="I40" s="69">
        <v>1.0000000000000001E-7</v>
      </c>
      <c r="J40" s="51" t="s">
        <v>2</v>
      </c>
      <c r="K40" s="51">
        <v>0</v>
      </c>
      <c r="L40" s="62">
        <v>0</v>
      </c>
      <c r="M40" s="51" t="s">
        <v>3</v>
      </c>
      <c r="N40" s="51" t="s">
        <v>7</v>
      </c>
      <c r="O40" s="69">
        <v>1.0000000000000002E-6</v>
      </c>
      <c r="P40" s="51" t="s">
        <v>2</v>
      </c>
      <c r="Q40" s="51" t="s">
        <v>1371</v>
      </c>
      <c r="R40" s="62">
        <v>0</v>
      </c>
      <c r="S40" s="62">
        <v>0</v>
      </c>
      <c r="T40" s="54" t="s">
        <v>28</v>
      </c>
      <c r="U40" s="127">
        <v>2.5208446330720887E-5</v>
      </c>
      <c r="V40" s="115">
        <v>2.6504960021309262E-7</v>
      </c>
      <c r="W40" s="115">
        <v>1.4222228897488039E-7</v>
      </c>
      <c r="X40" s="115">
        <v>3.170874313501273E-7</v>
      </c>
      <c r="Y40" s="115">
        <v>17.989178582912412</v>
      </c>
      <c r="Z40" s="115">
        <v>290.05086067463066</v>
      </c>
      <c r="AA40" s="132" t="s">
        <v>537</v>
      </c>
      <c r="AB40" s="27">
        <f t="shared" si="12"/>
        <v>1.2E-8</v>
      </c>
      <c r="AC40" s="29">
        <f t="shared" si="13"/>
        <v>1.2000000000000002E-7</v>
      </c>
      <c r="AD40" s="135">
        <f t="shared" si="14"/>
        <v>3.1956803064563631E-13</v>
      </c>
      <c r="AE40" s="135">
        <f t="shared" si="15"/>
        <v>4.1231086964572394E-14</v>
      </c>
      <c r="AF40" s="24">
        <f t="shared" si="16"/>
        <v>3.5021973423950633E-5</v>
      </c>
      <c r="AG40" s="24">
        <f t="shared" si="17"/>
        <v>3.0250135596865065E-13</v>
      </c>
      <c r="AH40" s="24">
        <f t="shared" si="18"/>
        <v>3.1805952025571113E-15</v>
      </c>
      <c r="AI40" s="24">
        <f t="shared" si="19"/>
        <v>2.1587014299494896E-7</v>
      </c>
      <c r="AJ40" s="24">
        <f t="shared" si="20"/>
        <v>1.7066674676985648E-14</v>
      </c>
      <c r="AK40" s="24">
        <f t="shared" si="21"/>
        <v>3.805049176201528E-14</v>
      </c>
      <c r="AL40" s="24">
        <f t="shared" si="22"/>
        <v>3.4806103280955686E-5</v>
      </c>
      <c r="AM40" s="161">
        <f t="shared" si="23"/>
        <v>3.1956803064563631E-13</v>
      </c>
      <c r="AN40" s="157">
        <f t="shared" si="24"/>
        <v>4.1231086964572394E-14</v>
      </c>
      <c r="AO40" s="162">
        <f t="shared" si="25"/>
        <v>3.5021973423950633E-5</v>
      </c>
    </row>
    <row r="41" spans="1:41" s="8" customFormat="1" ht="15" customHeight="1" x14ac:dyDescent="0.2">
      <c r="A41" s="54" t="s">
        <v>1048</v>
      </c>
      <c r="B41" s="54" t="s">
        <v>1</v>
      </c>
      <c r="C41" s="74">
        <v>1</v>
      </c>
      <c r="D41" s="51" t="s">
        <v>2</v>
      </c>
      <c r="E41" s="64">
        <v>1</v>
      </c>
      <c r="F41" s="64">
        <v>0</v>
      </c>
      <c r="G41" s="51" t="s">
        <v>1</v>
      </c>
      <c r="H41" s="51" t="s">
        <v>6</v>
      </c>
      <c r="I41" s="69">
        <v>1E-3</v>
      </c>
      <c r="J41" s="51" t="s">
        <v>2</v>
      </c>
      <c r="K41" s="51">
        <v>0</v>
      </c>
      <c r="L41" s="64">
        <v>0</v>
      </c>
      <c r="M41" s="51" t="s">
        <v>1</v>
      </c>
      <c r="N41" s="51" t="s">
        <v>7</v>
      </c>
      <c r="O41" s="69">
        <v>1.0000000000000002E-2</v>
      </c>
      <c r="P41" s="8" t="s">
        <v>2</v>
      </c>
      <c r="Q41" s="8" t="s">
        <v>1368</v>
      </c>
      <c r="R41" s="64">
        <v>0</v>
      </c>
      <c r="S41" s="64">
        <v>0</v>
      </c>
      <c r="T41" s="54" t="s">
        <v>23</v>
      </c>
      <c r="U41" s="127">
        <v>0</v>
      </c>
      <c r="V41" s="115">
        <v>0</v>
      </c>
      <c r="W41" s="115">
        <v>0</v>
      </c>
      <c r="X41" s="115">
        <v>0</v>
      </c>
      <c r="Y41" s="117">
        <v>220</v>
      </c>
      <c r="Z41" s="117">
        <v>532</v>
      </c>
      <c r="AA41" s="132" t="s">
        <v>539</v>
      </c>
      <c r="AB41" s="27">
        <f>$C$18*I41</f>
        <v>1.2E-5</v>
      </c>
      <c r="AC41" s="29">
        <f>$C$18*O41</f>
        <v>1.2000000000000003E-4</v>
      </c>
      <c r="AD41" s="135">
        <f t="shared" si="14"/>
        <v>0</v>
      </c>
      <c r="AE41" s="135">
        <f t="shared" si="15"/>
        <v>0</v>
      </c>
      <c r="AF41" s="24">
        <f t="shared" si="16"/>
        <v>6.6480000000000025E-2</v>
      </c>
      <c r="AG41" s="24">
        <f t="shared" si="17"/>
        <v>0</v>
      </c>
      <c r="AH41" s="24">
        <f t="shared" si="18"/>
        <v>0</v>
      </c>
      <c r="AI41" s="24">
        <f t="shared" si="19"/>
        <v>2.64E-3</v>
      </c>
      <c r="AJ41" s="24">
        <f t="shared" si="20"/>
        <v>0</v>
      </c>
      <c r="AK41" s="24">
        <f t="shared" si="21"/>
        <v>0</v>
      </c>
      <c r="AL41" s="24">
        <f t="shared" si="22"/>
        <v>6.3840000000000022E-2</v>
      </c>
      <c r="AM41" s="161">
        <f t="shared" si="23"/>
        <v>0</v>
      </c>
      <c r="AN41" s="157">
        <f t="shared" si="24"/>
        <v>0</v>
      </c>
      <c r="AO41" s="162">
        <f t="shared" si="25"/>
        <v>6.6480000000000025E-2</v>
      </c>
    </row>
    <row r="42" spans="1:41" s="8" customFormat="1" ht="15" customHeight="1" x14ac:dyDescent="0.2">
      <c r="A42" s="68" t="s">
        <v>1049</v>
      </c>
      <c r="B42" s="54" t="s">
        <v>527</v>
      </c>
      <c r="C42" s="51">
        <v>0.6</v>
      </c>
      <c r="D42" s="51" t="s">
        <v>2</v>
      </c>
      <c r="E42" s="62" t="s">
        <v>294</v>
      </c>
      <c r="F42" s="62">
        <v>0</v>
      </c>
      <c r="G42" s="54" t="s">
        <v>12</v>
      </c>
      <c r="H42" s="51">
        <v>0</v>
      </c>
      <c r="I42" s="51">
        <v>0</v>
      </c>
      <c r="J42" s="51">
        <v>0</v>
      </c>
      <c r="K42" s="51">
        <v>0</v>
      </c>
      <c r="L42" s="62">
        <v>0</v>
      </c>
      <c r="M42" s="51" t="s">
        <v>68</v>
      </c>
      <c r="N42" s="51" t="s">
        <v>7</v>
      </c>
      <c r="O42" s="69">
        <v>0.06</v>
      </c>
      <c r="P42" s="51" t="s">
        <v>2</v>
      </c>
      <c r="Q42" s="51">
        <v>0</v>
      </c>
      <c r="R42" s="62">
        <v>0</v>
      </c>
      <c r="S42" s="62">
        <v>0</v>
      </c>
      <c r="T42" s="54" t="s">
        <v>526</v>
      </c>
      <c r="U42" s="127">
        <v>0</v>
      </c>
      <c r="V42" s="115">
        <v>1.6437731647150863E-6</v>
      </c>
      <c r="W42" s="115">
        <v>0</v>
      </c>
      <c r="X42" s="115">
        <v>9.8891167609639291E-6</v>
      </c>
      <c r="Y42" s="115">
        <v>25539.178143122717</v>
      </c>
      <c r="Z42" s="115">
        <v>766743.80504211958</v>
      </c>
      <c r="AA42" s="132" t="s">
        <v>538</v>
      </c>
      <c r="AB42" s="27">
        <f>$C$19*I42</f>
        <v>0</v>
      </c>
      <c r="AC42" s="29">
        <f>$C$19*O42</f>
        <v>2.8799999999999995E-4</v>
      </c>
      <c r="AD42" s="135">
        <f t="shared" si="14"/>
        <v>0</v>
      </c>
      <c r="AE42" s="135">
        <f t="shared" si="15"/>
        <v>2.8480656271576112E-9</v>
      </c>
      <c r="AF42" s="24">
        <f t="shared" si="16"/>
        <v>220.8222158521304</v>
      </c>
      <c r="AG42" s="24">
        <f t="shared" si="17"/>
        <v>0</v>
      </c>
      <c r="AH42" s="24">
        <f t="shared" si="18"/>
        <v>0</v>
      </c>
      <c r="AI42" s="24">
        <f t="shared" si="19"/>
        <v>0</v>
      </c>
      <c r="AJ42" s="24">
        <f t="shared" si="20"/>
        <v>0</v>
      </c>
      <c r="AK42" s="24">
        <f t="shared" si="21"/>
        <v>2.8480656271576112E-9</v>
      </c>
      <c r="AL42" s="24">
        <f t="shared" si="22"/>
        <v>220.8222158521304</v>
      </c>
      <c r="AM42" s="161">
        <f t="shared" si="23"/>
        <v>0</v>
      </c>
      <c r="AN42" s="157">
        <f t="shared" si="24"/>
        <v>2.8480656271576112E-9</v>
      </c>
      <c r="AO42" s="162">
        <f t="shared" si="25"/>
        <v>220.8222158521304</v>
      </c>
    </row>
    <row r="43" spans="1:41" s="8" customFormat="1" ht="15" customHeight="1" x14ac:dyDescent="0.2">
      <c r="A43" s="68" t="s">
        <v>1049</v>
      </c>
      <c r="B43" s="54" t="s">
        <v>84</v>
      </c>
      <c r="C43" s="51">
        <v>0.2</v>
      </c>
      <c r="D43" s="51" t="s">
        <v>2</v>
      </c>
      <c r="E43" s="62" t="s">
        <v>294</v>
      </c>
      <c r="F43" s="62">
        <v>0</v>
      </c>
      <c r="G43" s="51" t="s">
        <v>84</v>
      </c>
      <c r="H43" s="51" t="s">
        <v>6</v>
      </c>
      <c r="I43" s="69">
        <v>2.0000000000000001E-4</v>
      </c>
      <c r="J43" s="51" t="s">
        <v>2</v>
      </c>
      <c r="K43" s="51">
        <v>0</v>
      </c>
      <c r="L43" s="62">
        <v>0</v>
      </c>
      <c r="M43" s="51" t="s">
        <v>73</v>
      </c>
      <c r="N43" s="51" t="s">
        <v>7</v>
      </c>
      <c r="O43" s="69">
        <v>2.0000000000000004E-2</v>
      </c>
      <c r="P43" s="51" t="s">
        <v>2</v>
      </c>
      <c r="Q43" s="51">
        <v>0</v>
      </c>
      <c r="R43" s="62">
        <v>0</v>
      </c>
      <c r="S43" s="62">
        <v>0</v>
      </c>
      <c r="T43" s="54" t="s">
        <v>62</v>
      </c>
      <c r="U43" s="127">
        <v>3.1027213023718394E-8</v>
      </c>
      <c r="V43" s="115">
        <v>0</v>
      </c>
      <c r="W43" s="115">
        <v>1.7206281348183625E-8</v>
      </c>
      <c r="X43" s="116">
        <v>0</v>
      </c>
      <c r="Y43" s="115">
        <v>2.6323079574736696</v>
      </c>
      <c r="Z43" s="115">
        <v>191.63613931032927</v>
      </c>
      <c r="AA43" s="132" t="s">
        <v>537</v>
      </c>
      <c r="AB43" s="27">
        <f t="shared" ref="AB43:AB45" si="26">$C$19*I43</f>
        <v>9.5999999999999991E-7</v>
      </c>
      <c r="AC43" s="29">
        <f t="shared" ref="AC43:AC45" si="27">$C$19*O43</f>
        <v>9.6000000000000016E-5</v>
      </c>
      <c r="AD43" s="135">
        <f t="shared" si="14"/>
        <v>1.6815891339283981E-12</v>
      </c>
      <c r="AE43" s="135">
        <f t="shared" si="15"/>
        <v>0</v>
      </c>
      <c r="AF43" s="24">
        <f t="shared" si="16"/>
        <v>1.839959638943079E-2</v>
      </c>
      <c r="AG43" s="24">
        <f t="shared" si="17"/>
        <v>2.9786124502769658E-14</v>
      </c>
      <c r="AH43" s="24">
        <f t="shared" si="18"/>
        <v>0</v>
      </c>
      <c r="AI43" s="24">
        <f t="shared" si="19"/>
        <v>2.5270156391747228E-6</v>
      </c>
      <c r="AJ43" s="24">
        <f t="shared" si="20"/>
        <v>1.6518030094256284E-12</v>
      </c>
      <c r="AK43" s="24">
        <f t="shared" si="21"/>
        <v>0</v>
      </c>
      <c r="AL43" s="24">
        <f t="shared" si="22"/>
        <v>1.8397069373791614E-2</v>
      </c>
      <c r="AM43" s="161">
        <f t="shared" si="23"/>
        <v>1.6815891339283981E-12</v>
      </c>
      <c r="AN43" s="157">
        <f t="shared" si="24"/>
        <v>0</v>
      </c>
      <c r="AO43" s="162">
        <f t="shared" si="25"/>
        <v>1.839959638943079E-2</v>
      </c>
    </row>
    <row r="44" spans="1:41" s="8" customFormat="1" ht="15" customHeight="1" x14ac:dyDescent="0.2">
      <c r="A44" s="68" t="s">
        <v>1049</v>
      </c>
      <c r="B44" s="54" t="s">
        <v>85</v>
      </c>
      <c r="C44" s="51">
        <v>0.1</v>
      </c>
      <c r="D44" s="51" t="s">
        <v>2</v>
      </c>
      <c r="E44" s="62" t="s">
        <v>294</v>
      </c>
      <c r="F44" s="62">
        <v>0</v>
      </c>
      <c r="G44" s="51" t="s">
        <v>43</v>
      </c>
      <c r="H44" s="51" t="s">
        <v>6</v>
      </c>
      <c r="I44" s="69">
        <v>1E-4</v>
      </c>
      <c r="J44" s="51" t="s">
        <v>2</v>
      </c>
      <c r="K44" s="51">
        <v>0</v>
      </c>
      <c r="L44" s="62">
        <v>0</v>
      </c>
      <c r="M44" s="51" t="s">
        <v>43</v>
      </c>
      <c r="N44" s="51" t="s">
        <v>7</v>
      </c>
      <c r="O44" s="69">
        <v>1.0000000000000002E-2</v>
      </c>
      <c r="P44" s="51" t="s">
        <v>2</v>
      </c>
      <c r="Q44" s="51">
        <v>0</v>
      </c>
      <c r="R44" s="62">
        <v>0</v>
      </c>
      <c r="S44" s="62">
        <v>0</v>
      </c>
      <c r="T44" s="54" t="s">
        <v>92</v>
      </c>
      <c r="U44" s="127">
        <v>0</v>
      </c>
      <c r="V44" s="115">
        <v>0</v>
      </c>
      <c r="W44" s="115">
        <v>0</v>
      </c>
      <c r="X44" s="115">
        <v>0</v>
      </c>
      <c r="Y44" s="129">
        <v>63</v>
      </c>
      <c r="Z44" s="129">
        <v>2910</v>
      </c>
      <c r="AA44" s="132" t="s">
        <v>539</v>
      </c>
      <c r="AB44" s="27">
        <f t="shared" si="26"/>
        <v>4.7999999999999996E-7</v>
      </c>
      <c r="AC44" s="29">
        <f t="shared" si="27"/>
        <v>4.8000000000000008E-5</v>
      </c>
      <c r="AD44" s="135">
        <f t="shared" si="14"/>
        <v>0</v>
      </c>
      <c r="AE44" s="135">
        <f t="shared" si="15"/>
        <v>0</v>
      </c>
      <c r="AF44" s="24">
        <f t="shared" si="16"/>
        <v>0.13971024000000001</v>
      </c>
      <c r="AG44" s="24">
        <f t="shared" si="17"/>
        <v>0</v>
      </c>
      <c r="AH44" s="24">
        <f t="shared" si="18"/>
        <v>0</v>
      </c>
      <c r="AI44" s="24">
        <f t="shared" si="19"/>
        <v>3.0239999999999998E-5</v>
      </c>
      <c r="AJ44" s="24">
        <f t="shared" si="20"/>
        <v>0</v>
      </c>
      <c r="AK44" s="24">
        <f t="shared" si="21"/>
        <v>0</v>
      </c>
      <c r="AL44" s="24">
        <f t="shared" si="22"/>
        <v>0.13968000000000003</v>
      </c>
      <c r="AM44" s="161">
        <f t="shared" si="23"/>
        <v>0</v>
      </c>
      <c r="AN44" s="157">
        <f t="shared" si="24"/>
        <v>0</v>
      </c>
      <c r="AO44" s="162">
        <f t="shared" si="25"/>
        <v>0.13971024000000001</v>
      </c>
    </row>
    <row r="45" spans="1:41" s="8" customFormat="1" ht="15" customHeight="1" x14ac:dyDescent="0.2">
      <c r="A45" s="68" t="s">
        <v>1049</v>
      </c>
      <c r="B45" s="50" t="s">
        <v>67</v>
      </c>
      <c r="C45" s="51">
        <v>0</v>
      </c>
      <c r="D45" s="51">
        <v>0</v>
      </c>
      <c r="E45" s="62" t="s">
        <v>301</v>
      </c>
      <c r="F45" s="62">
        <v>0</v>
      </c>
      <c r="G45" s="8" t="s">
        <v>12</v>
      </c>
      <c r="H45" s="51">
        <v>0</v>
      </c>
      <c r="I45" s="69">
        <v>0</v>
      </c>
      <c r="J45" s="51">
        <v>0</v>
      </c>
      <c r="K45" s="51">
        <v>0</v>
      </c>
      <c r="L45" s="62">
        <v>0</v>
      </c>
      <c r="M45" s="51" t="s">
        <v>67</v>
      </c>
      <c r="N45" s="51" t="s">
        <v>7</v>
      </c>
      <c r="O45" s="69">
        <v>1.0000000000000001E-5</v>
      </c>
      <c r="P45" s="51" t="s">
        <v>2</v>
      </c>
      <c r="Q45" s="51" t="s">
        <v>1366</v>
      </c>
      <c r="R45" s="62">
        <v>0</v>
      </c>
      <c r="S45" s="62">
        <v>0</v>
      </c>
      <c r="T45" s="54" t="s">
        <v>94</v>
      </c>
      <c r="U45" s="127">
        <v>0</v>
      </c>
      <c r="V45" s="115">
        <v>0</v>
      </c>
      <c r="W45" s="115">
        <v>0</v>
      </c>
      <c r="X45" s="115">
        <v>0</v>
      </c>
      <c r="Y45" s="115">
        <v>63.500038841149426</v>
      </c>
      <c r="Z45" s="115">
        <v>10848.472578502809</v>
      </c>
      <c r="AA45" s="132" t="s">
        <v>537</v>
      </c>
      <c r="AB45" s="27">
        <f t="shared" si="26"/>
        <v>0</v>
      </c>
      <c r="AC45" s="29">
        <f t="shared" si="27"/>
        <v>4.8E-8</v>
      </c>
      <c r="AD45" s="135">
        <f t="shared" si="14"/>
        <v>0</v>
      </c>
      <c r="AE45" s="135">
        <f t="shared" si="15"/>
        <v>0</v>
      </c>
      <c r="AF45" s="24">
        <f t="shared" si="16"/>
        <v>5.2072668376813489E-4</v>
      </c>
      <c r="AG45" s="24">
        <f t="shared" si="17"/>
        <v>0</v>
      </c>
      <c r="AH45" s="24">
        <f t="shared" si="18"/>
        <v>0</v>
      </c>
      <c r="AI45" s="24">
        <f t="shared" si="19"/>
        <v>0</v>
      </c>
      <c r="AJ45" s="24">
        <f t="shared" si="20"/>
        <v>0</v>
      </c>
      <c r="AK45" s="24">
        <f t="shared" si="21"/>
        <v>0</v>
      </c>
      <c r="AL45" s="24">
        <f t="shared" si="22"/>
        <v>5.2072668376813489E-4</v>
      </c>
      <c r="AM45" s="161">
        <f t="shared" si="23"/>
        <v>0</v>
      </c>
      <c r="AN45" s="157">
        <f t="shared" si="24"/>
        <v>0</v>
      </c>
      <c r="AO45" s="162">
        <f t="shared" si="25"/>
        <v>5.2072668376813489E-4</v>
      </c>
    </row>
    <row r="46" spans="1:41" s="8" customFormat="1" ht="15" customHeight="1" x14ac:dyDescent="0.2">
      <c r="A46" s="70" t="s">
        <v>308</v>
      </c>
      <c r="B46" s="53" t="s">
        <v>19</v>
      </c>
      <c r="C46" s="74">
        <v>0.3</v>
      </c>
      <c r="D46" s="51" t="s">
        <v>2</v>
      </c>
      <c r="E46" s="62" t="s">
        <v>294</v>
      </c>
      <c r="F46" s="62">
        <v>0</v>
      </c>
      <c r="G46" s="51" t="s">
        <v>65</v>
      </c>
      <c r="H46" s="54" t="s">
        <v>6</v>
      </c>
      <c r="I46" s="69">
        <v>2.9999999999999997E-4</v>
      </c>
      <c r="J46" s="51">
        <v>0</v>
      </c>
      <c r="K46" s="51">
        <v>0</v>
      </c>
      <c r="L46" s="62">
        <v>0</v>
      </c>
      <c r="M46" s="51" t="s">
        <v>65</v>
      </c>
      <c r="N46" s="51" t="s">
        <v>7</v>
      </c>
      <c r="O46" s="69">
        <v>0.03</v>
      </c>
      <c r="P46" s="51" t="s">
        <v>2</v>
      </c>
      <c r="Q46" s="51">
        <v>0</v>
      </c>
      <c r="R46" s="62">
        <v>0</v>
      </c>
      <c r="S46" s="62">
        <v>0</v>
      </c>
      <c r="T46" s="54" t="s">
        <v>20</v>
      </c>
      <c r="U46" s="127">
        <v>0</v>
      </c>
      <c r="V46" s="115">
        <v>2.5624272316803493E-8</v>
      </c>
      <c r="W46" s="115">
        <v>0</v>
      </c>
      <c r="X46" s="115">
        <v>6.1179997974786175E-9</v>
      </c>
      <c r="Y46" s="115">
        <v>95.727827940780713</v>
      </c>
      <c r="Z46" s="115">
        <v>451.93033608164546</v>
      </c>
      <c r="AA46" s="132" t="s">
        <v>538</v>
      </c>
      <c r="AB46" s="27">
        <f>$C$20*I46</f>
        <v>2.1599999999999996E-6</v>
      </c>
      <c r="AC46" s="29">
        <f>$C$20*O46</f>
        <v>2.1599999999999999E-4</v>
      </c>
      <c r="AD46" s="135">
        <f t="shared" si="14"/>
        <v>0</v>
      </c>
      <c r="AE46" s="135">
        <f t="shared" si="15"/>
        <v>1.376836384459677E-12</v>
      </c>
      <c r="AF46" s="24">
        <f t="shared" si="16"/>
        <v>9.7823724701987497E-2</v>
      </c>
      <c r="AG46" s="24">
        <f t="shared" si="17"/>
        <v>0</v>
      </c>
      <c r="AH46" s="24">
        <f t="shared" si="18"/>
        <v>5.5348428204295535E-14</v>
      </c>
      <c r="AI46" s="24">
        <f t="shared" si="19"/>
        <v>2.0677210835208631E-4</v>
      </c>
      <c r="AJ46" s="24">
        <f t="shared" si="20"/>
        <v>0</v>
      </c>
      <c r="AK46" s="24">
        <f t="shared" si="21"/>
        <v>1.3214879562553814E-12</v>
      </c>
      <c r="AL46" s="24">
        <f t="shared" si="22"/>
        <v>9.7616952593635412E-2</v>
      </c>
      <c r="AM46" s="161">
        <f t="shared" si="23"/>
        <v>0</v>
      </c>
      <c r="AN46" s="157">
        <f t="shared" si="24"/>
        <v>1.376836384459677E-12</v>
      </c>
      <c r="AO46" s="162">
        <f t="shared" si="25"/>
        <v>9.7823724701987497E-2</v>
      </c>
    </row>
    <row r="47" spans="1:41" s="8" customFormat="1" ht="15" customHeight="1" x14ac:dyDescent="0.2">
      <c r="A47" s="54" t="s">
        <v>47</v>
      </c>
      <c r="B47" s="54" t="s">
        <v>5</v>
      </c>
      <c r="C47" s="74">
        <v>1</v>
      </c>
      <c r="D47" s="51" t="s">
        <v>2</v>
      </c>
      <c r="E47" s="64">
        <v>1</v>
      </c>
      <c r="F47" s="64">
        <v>0</v>
      </c>
      <c r="G47" s="51" t="s">
        <v>12</v>
      </c>
      <c r="H47" s="51">
        <v>0</v>
      </c>
      <c r="I47" s="69">
        <v>0</v>
      </c>
      <c r="J47" s="51">
        <v>0</v>
      </c>
      <c r="K47" s="51" t="s">
        <v>297</v>
      </c>
      <c r="L47" s="64">
        <v>0</v>
      </c>
      <c r="M47" s="51" t="s">
        <v>5</v>
      </c>
      <c r="N47" s="51" t="s">
        <v>7</v>
      </c>
      <c r="O47" s="69">
        <v>0.1</v>
      </c>
      <c r="P47" s="51" t="s">
        <v>2</v>
      </c>
      <c r="Q47" s="51">
        <v>0</v>
      </c>
      <c r="R47" s="64">
        <v>0</v>
      </c>
      <c r="S47" s="64">
        <v>0</v>
      </c>
      <c r="T47" s="54" t="s">
        <v>25</v>
      </c>
      <c r="U47" s="127">
        <v>0</v>
      </c>
      <c r="V47" s="115">
        <v>0</v>
      </c>
      <c r="W47" s="115">
        <v>0</v>
      </c>
      <c r="X47" s="115">
        <v>0</v>
      </c>
      <c r="Y47" s="115">
        <v>164.24</v>
      </c>
      <c r="Z47" s="115">
        <v>400.09</v>
      </c>
      <c r="AA47" s="132" t="s">
        <v>539</v>
      </c>
      <c r="AB47" s="27">
        <f>$C$21*I47</f>
        <v>0</v>
      </c>
      <c r="AC47" s="29">
        <f>$C$21*O47</f>
        <v>1.4400000000000001E-3</v>
      </c>
      <c r="AD47" s="135">
        <f t="shared" si="14"/>
        <v>0</v>
      </c>
      <c r="AE47" s="135">
        <f t="shared" si="15"/>
        <v>0</v>
      </c>
      <c r="AF47" s="24">
        <f t="shared" si="16"/>
        <v>0.57612960000000002</v>
      </c>
      <c r="AG47" s="24">
        <f t="shared" si="17"/>
        <v>0</v>
      </c>
      <c r="AH47" s="24">
        <f t="shared" si="18"/>
        <v>0</v>
      </c>
      <c r="AI47" s="24">
        <f t="shared" si="19"/>
        <v>0</v>
      </c>
      <c r="AJ47" s="24">
        <f t="shared" si="20"/>
        <v>0</v>
      </c>
      <c r="AK47" s="24">
        <f t="shared" si="21"/>
        <v>0</v>
      </c>
      <c r="AL47" s="24">
        <f t="shared" si="22"/>
        <v>0.57612960000000002</v>
      </c>
      <c r="AM47" s="161">
        <f t="shared" si="23"/>
        <v>0</v>
      </c>
      <c r="AN47" s="157">
        <f t="shared" si="24"/>
        <v>0</v>
      </c>
      <c r="AO47" s="162">
        <f t="shared" si="25"/>
        <v>0.57612960000000002</v>
      </c>
    </row>
    <row r="48" spans="1:41" s="8" customFormat="1" ht="15" customHeight="1" x14ac:dyDescent="0.2">
      <c r="A48" s="50" t="s">
        <v>428</v>
      </c>
      <c r="B48" s="54" t="s">
        <v>4</v>
      </c>
      <c r="C48" s="74">
        <v>1</v>
      </c>
      <c r="D48" s="51" t="s">
        <v>2</v>
      </c>
      <c r="E48" s="64">
        <v>1</v>
      </c>
      <c r="F48" s="64">
        <v>0</v>
      </c>
      <c r="G48" s="54" t="s">
        <v>4</v>
      </c>
      <c r="H48" s="51" t="s">
        <v>6</v>
      </c>
      <c r="I48" s="69">
        <v>1E-3</v>
      </c>
      <c r="J48" s="51" t="s">
        <v>2</v>
      </c>
      <c r="K48" s="51">
        <v>0</v>
      </c>
      <c r="L48" s="64">
        <v>0</v>
      </c>
      <c r="M48" s="51" t="s">
        <v>4</v>
      </c>
      <c r="N48" s="51" t="s">
        <v>7</v>
      </c>
      <c r="O48" s="69">
        <v>0.1</v>
      </c>
      <c r="P48" s="51" t="s">
        <v>2</v>
      </c>
      <c r="Q48" s="51">
        <v>0</v>
      </c>
      <c r="R48" s="64">
        <v>0</v>
      </c>
      <c r="S48" s="64">
        <v>0</v>
      </c>
      <c r="T48" s="54" t="s">
        <v>22</v>
      </c>
      <c r="U48" s="127">
        <v>0</v>
      </c>
      <c r="V48" s="115">
        <v>0</v>
      </c>
      <c r="W48" s="115">
        <v>0</v>
      </c>
      <c r="X48" s="115">
        <v>0</v>
      </c>
      <c r="Y48" s="115">
        <v>2.980675662392851</v>
      </c>
      <c r="Z48" s="115">
        <v>49.950463101898926</v>
      </c>
      <c r="AA48" s="132" t="s">
        <v>537</v>
      </c>
      <c r="AB48" s="27">
        <f>$C$22*I48</f>
        <v>6.2399999999999999E-5</v>
      </c>
      <c r="AC48" s="29">
        <f>$C$22*O48</f>
        <v>6.2399999999999999E-3</v>
      </c>
      <c r="AD48" s="135">
        <f t="shared" si="14"/>
        <v>0</v>
      </c>
      <c r="AE48" s="135">
        <f t="shared" si="15"/>
        <v>0</v>
      </c>
      <c r="AF48" s="24">
        <f t="shared" si="16"/>
        <v>0.3118768839171826</v>
      </c>
      <c r="AG48" s="24">
        <f t="shared" si="17"/>
        <v>0</v>
      </c>
      <c r="AH48" s="24">
        <f t="shared" si="18"/>
        <v>0</v>
      </c>
      <c r="AI48" s="24">
        <f t="shared" si="19"/>
        <v>1.859941613333139E-4</v>
      </c>
      <c r="AJ48" s="24">
        <f t="shared" si="20"/>
        <v>0</v>
      </c>
      <c r="AK48" s="24">
        <f t="shared" si="21"/>
        <v>0</v>
      </c>
      <c r="AL48" s="24">
        <f t="shared" si="22"/>
        <v>0.3116908897558493</v>
      </c>
      <c r="AM48" s="161">
        <f t="shared" si="23"/>
        <v>0</v>
      </c>
      <c r="AN48" s="157">
        <f t="shared" si="24"/>
        <v>0</v>
      </c>
      <c r="AO48" s="162">
        <f t="shared" si="25"/>
        <v>0.3118768839171826</v>
      </c>
    </row>
    <row r="49" spans="1:41" s="8" customFormat="1" ht="15" customHeight="1" x14ac:dyDescent="0.2">
      <c r="A49" s="68" t="s">
        <v>1381</v>
      </c>
      <c r="B49" s="51" t="s">
        <v>325</v>
      </c>
      <c r="C49" s="51">
        <v>0.2</v>
      </c>
      <c r="D49" s="51" t="s">
        <v>2</v>
      </c>
      <c r="E49" s="62" t="s">
        <v>294</v>
      </c>
      <c r="F49" s="62">
        <v>0</v>
      </c>
      <c r="G49" s="51" t="s">
        <v>325</v>
      </c>
      <c r="H49" s="51" t="s">
        <v>6</v>
      </c>
      <c r="I49" s="69">
        <v>2.0000000000000001E-4</v>
      </c>
      <c r="J49" s="51" t="s">
        <v>2</v>
      </c>
      <c r="K49" s="51">
        <v>0</v>
      </c>
      <c r="L49" s="62">
        <v>0</v>
      </c>
      <c r="M49" s="51" t="s">
        <v>325</v>
      </c>
      <c r="N49" s="51" t="s">
        <v>7</v>
      </c>
      <c r="O49" s="69">
        <v>2.0000000000000004E-2</v>
      </c>
      <c r="P49" s="51" t="s">
        <v>2</v>
      </c>
      <c r="Q49" s="51">
        <v>0</v>
      </c>
      <c r="R49" s="62">
        <v>0</v>
      </c>
      <c r="S49" s="62">
        <v>0</v>
      </c>
      <c r="T49" s="54" t="s">
        <v>326</v>
      </c>
      <c r="U49" s="127">
        <v>0</v>
      </c>
      <c r="V49" s="115">
        <v>0</v>
      </c>
      <c r="W49" s="115">
        <v>0</v>
      </c>
      <c r="X49" s="115">
        <v>0</v>
      </c>
      <c r="Y49" s="115">
        <v>1.1682046242533708</v>
      </c>
      <c r="Z49" s="115">
        <v>20.47656722055984</v>
      </c>
      <c r="AA49" s="132" t="s">
        <v>537</v>
      </c>
      <c r="AB49" s="27">
        <f>$C$23*I49</f>
        <v>1.9200000000000003E-5</v>
      </c>
      <c r="AC49" s="29">
        <f>$C$23*O49</f>
        <v>1.9200000000000005E-3</v>
      </c>
      <c r="AD49" s="135">
        <f t="shared" si="14"/>
        <v>0</v>
      </c>
      <c r="AE49" s="135">
        <f t="shared" si="15"/>
        <v>0</v>
      </c>
      <c r="AF49" s="24">
        <f t="shared" si="16"/>
        <v>3.9337438592260569E-2</v>
      </c>
      <c r="AG49" s="24">
        <f t="shared" si="17"/>
        <v>0</v>
      </c>
      <c r="AH49" s="24">
        <f t="shared" si="18"/>
        <v>0</v>
      </c>
      <c r="AI49" s="24">
        <f t="shared" si="19"/>
        <v>2.2429528785664722E-5</v>
      </c>
      <c r="AJ49" s="24">
        <f t="shared" si="20"/>
        <v>0</v>
      </c>
      <c r="AK49" s="24">
        <f t="shared" si="21"/>
        <v>0</v>
      </c>
      <c r="AL49" s="24">
        <f t="shared" si="22"/>
        <v>3.9315009063474904E-2</v>
      </c>
      <c r="AM49" s="161">
        <f t="shared" si="23"/>
        <v>0</v>
      </c>
      <c r="AN49" s="157">
        <f t="shared" si="24"/>
        <v>0</v>
      </c>
      <c r="AO49" s="162">
        <f t="shared" si="25"/>
        <v>3.9337438592260569E-2</v>
      </c>
    </row>
    <row r="50" spans="1:41" s="8" customFormat="1" ht="15" customHeight="1" x14ac:dyDescent="0.2">
      <c r="A50" s="68" t="s">
        <v>1381</v>
      </c>
      <c r="B50" s="51" t="s">
        <v>318</v>
      </c>
      <c r="C50" s="76">
        <v>0.1</v>
      </c>
      <c r="D50" s="54" t="s">
        <v>2</v>
      </c>
      <c r="E50" s="62" t="s">
        <v>294</v>
      </c>
      <c r="F50" s="62">
        <v>0</v>
      </c>
      <c r="G50" s="53" t="s">
        <v>318</v>
      </c>
      <c r="H50" s="54" t="s">
        <v>6</v>
      </c>
      <c r="I50" s="69">
        <v>1E-4</v>
      </c>
      <c r="J50" s="54" t="s">
        <v>2</v>
      </c>
      <c r="K50" s="51">
        <v>0</v>
      </c>
      <c r="L50" s="62">
        <v>0</v>
      </c>
      <c r="M50" s="53" t="s">
        <v>318</v>
      </c>
      <c r="N50" s="54" t="s">
        <v>7</v>
      </c>
      <c r="O50" s="69">
        <v>1.0000000000000002E-2</v>
      </c>
      <c r="P50" s="54" t="s">
        <v>2</v>
      </c>
      <c r="Q50" s="51">
        <v>0</v>
      </c>
      <c r="R50" s="62">
        <v>0</v>
      </c>
      <c r="S50" s="62">
        <v>0</v>
      </c>
      <c r="T50" s="54" t="s">
        <v>319</v>
      </c>
      <c r="U50" s="127">
        <v>0</v>
      </c>
      <c r="V50" s="115">
        <v>0</v>
      </c>
      <c r="W50" s="115">
        <v>0</v>
      </c>
      <c r="X50" s="115">
        <v>0</v>
      </c>
      <c r="Y50" s="115">
        <v>0.16</v>
      </c>
      <c r="Z50" s="115">
        <v>16.600000000000001</v>
      </c>
      <c r="AA50" s="132" t="s">
        <v>539</v>
      </c>
      <c r="AB50" s="27">
        <f>$C$23*I50</f>
        <v>9.6000000000000013E-6</v>
      </c>
      <c r="AC50" s="29">
        <f>$C$23*O50</f>
        <v>9.6000000000000024E-4</v>
      </c>
      <c r="AD50" s="135">
        <f t="shared" si="14"/>
        <v>0</v>
      </c>
      <c r="AE50" s="135">
        <f t="shared" si="15"/>
        <v>0</v>
      </c>
      <c r="AF50" s="24">
        <f t="shared" si="16"/>
        <v>1.5937536000000006E-2</v>
      </c>
      <c r="AG50" s="24">
        <f t="shared" si="17"/>
        <v>0</v>
      </c>
      <c r="AH50" s="24">
        <f t="shared" si="18"/>
        <v>0</v>
      </c>
      <c r="AI50" s="24">
        <f t="shared" si="19"/>
        <v>1.5360000000000002E-6</v>
      </c>
      <c r="AJ50" s="24">
        <f t="shared" si="20"/>
        <v>0</v>
      </c>
      <c r="AK50" s="24">
        <f t="shared" si="21"/>
        <v>0</v>
      </c>
      <c r="AL50" s="24">
        <f t="shared" si="22"/>
        <v>1.5936000000000006E-2</v>
      </c>
      <c r="AM50" s="161">
        <f t="shared" si="23"/>
        <v>0</v>
      </c>
      <c r="AN50" s="157">
        <f t="shared" si="24"/>
        <v>0</v>
      </c>
      <c r="AO50" s="162">
        <f t="shared" si="25"/>
        <v>1.5937536000000006E-2</v>
      </c>
    </row>
    <row r="51" spans="1:41" s="8" customFormat="1" ht="15" customHeight="1" x14ac:dyDescent="0.2">
      <c r="A51" s="68" t="s">
        <v>90</v>
      </c>
      <c r="B51" s="53" t="s">
        <v>35</v>
      </c>
      <c r="C51" s="74">
        <v>0.3</v>
      </c>
      <c r="D51" s="51" t="s">
        <v>2</v>
      </c>
      <c r="E51" s="62" t="s">
        <v>296</v>
      </c>
      <c r="F51" s="62">
        <v>0</v>
      </c>
      <c r="G51" s="53" t="s">
        <v>12</v>
      </c>
      <c r="H51" s="51">
        <v>0</v>
      </c>
      <c r="I51" s="69">
        <v>0</v>
      </c>
      <c r="J51" s="51">
        <v>0</v>
      </c>
      <c r="K51" s="51">
        <v>0</v>
      </c>
      <c r="L51" s="62">
        <v>0</v>
      </c>
      <c r="M51" s="53" t="s">
        <v>35</v>
      </c>
      <c r="N51" s="51" t="s">
        <v>7</v>
      </c>
      <c r="O51" s="69">
        <v>2.9700000000000001E-2</v>
      </c>
      <c r="P51" s="51" t="s">
        <v>2</v>
      </c>
      <c r="Q51" s="8" t="s">
        <v>1367</v>
      </c>
      <c r="R51" s="62">
        <v>0</v>
      </c>
      <c r="S51" s="62">
        <v>0</v>
      </c>
      <c r="T51" s="54" t="s">
        <v>524</v>
      </c>
      <c r="U51" s="127">
        <v>0</v>
      </c>
      <c r="V51" s="115">
        <v>1.318367210059499E-10</v>
      </c>
      <c r="W51" s="115">
        <v>0</v>
      </c>
      <c r="X51" s="115">
        <v>1.3016448977650344E-10</v>
      </c>
      <c r="Y51" s="115">
        <v>1.1181204517092254</v>
      </c>
      <c r="Z51" s="115">
        <v>78.957506928451508</v>
      </c>
      <c r="AA51" s="132" t="s">
        <v>538</v>
      </c>
      <c r="AB51" s="27">
        <f>$C$24*I51</f>
        <v>0</v>
      </c>
      <c r="AC51" s="29">
        <f>$C$24*O51</f>
        <v>1.4256E-3</v>
      </c>
      <c r="AD51" s="135">
        <f t="shared" si="14"/>
        <v>0</v>
      </c>
      <c r="AE51" s="135">
        <f t="shared" si="15"/>
        <v>1.855624966253833E-13</v>
      </c>
      <c r="AF51" s="24">
        <f t="shared" si="16"/>
        <v>0.11256182187720047</v>
      </c>
      <c r="AG51" s="24">
        <f t="shared" si="17"/>
        <v>0</v>
      </c>
      <c r="AH51" s="24">
        <f t="shared" si="18"/>
        <v>0</v>
      </c>
      <c r="AI51" s="24">
        <f t="shared" si="19"/>
        <v>0</v>
      </c>
      <c r="AJ51" s="24">
        <f t="shared" si="20"/>
        <v>0</v>
      </c>
      <c r="AK51" s="24">
        <f t="shared" si="21"/>
        <v>1.855624966253833E-13</v>
      </c>
      <c r="AL51" s="24">
        <f t="shared" si="22"/>
        <v>0.11256182187720047</v>
      </c>
      <c r="AM51" s="161">
        <f t="shared" si="23"/>
        <v>0</v>
      </c>
      <c r="AN51" s="157">
        <f t="shared" si="24"/>
        <v>1.855624966253833E-13</v>
      </c>
      <c r="AO51" s="162">
        <f t="shared" si="25"/>
        <v>0.11256182187720047</v>
      </c>
    </row>
    <row r="52" spans="1:41" s="8" customFormat="1" ht="15" customHeight="1" x14ac:dyDescent="0.2">
      <c r="A52" s="68" t="s">
        <v>90</v>
      </c>
      <c r="B52" s="2" t="s">
        <v>89</v>
      </c>
      <c r="C52" s="74">
        <v>0</v>
      </c>
      <c r="D52" s="51">
        <v>0</v>
      </c>
      <c r="E52" s="62" t="s">
        <v>1064</v>
      </c>
      <c r="F52" s="62">
        <v>0</v>
      </c>
      <c r="G52" s="51" t="s">
        <v>89</v>
      </c>
      <c r="H52" s="51" t="s">
        <v>6</v>
      </c>
      <c r="I52" s="69">
        <v>3.0000000000000001E-6</v>
      </c>
      <c r="J52" s="51" t="s">
        <v>2</v>
      </c>
      <c r="K52" s="51">
        <v>0</v>
      </c>
      <c r="L52" s="62">
        <v>0</v>
      </c>
      <c r="M52" s="51" t="s">
        <v>89</v>
      </c>
      <c r="N52" s="51" t="s">
        <v>7</v>
      </c>
      <c r="O52" s="69">
        <v>3.0000000000000004E-5</v>
      </c>
      <c r="P52" s="51" t="s">
        <v>2</v>
      </c>
      <c r="Q52" s="51" t="s">
        <v>1368</v>
      </c>
      <c r="R52" s="62">
        <v>0</v>
      </c>
      <c r="S52" s="62">
        <v>0</v>
      </c>
      <c r="T52" s="81" t="s">
        <v>98</v>
      </c>
      <c r="U52" s="127">
        <v>3.0023364753950555E-5</v>
      </c>
      <c r="V52" s="129">
        <v>1.2481126126868064E-4</v>
      </c>
      <c r="W52" s="129">
        <v>1.1959264101490567E-5</v>
      </c>
      <c r="X52" s="129">
        <v>4.9716307568620708E-5</v>
      </c>
      <c r="Y52" s="129">
        <v>10.037499181426883</v>
      </c>
      <c r="Z52" s="129">
        <v>119.14199796898779</v>
      </c>
      <c r="AA52" s="133" t="s">
        <v>537</v>
      </c>
      <c r="AB52" s="27">
        <f t="shared" ref="AB52:AB53" si="28">$C$24*I52</f>
        <v>1.4400000000000002E-7</v>
      </c>
      <c r="AC52" s="29">
        <f t="shared" ref="AC52:AC53" si="29">$C$24*O52</f>
        <v>1.4400000000000002E-6</v>
      </c>
      <c r="AD52" s="135">
        <f t="shared" si="14"/>
        <v>2.1544704830715299E-11</v>
      </c>
      <c r="AE52" s="135">
        <f t="shared" si="15"/>
        <v>8.9564304521503851E-11</v>
      </c>
      <c r="AF52" s="24">
        <f t="shared" si="16"/>
        <v>1.7300987695746792E-4</v>
      </c>
      <c r="AG52" s="24">
        <f t="shared" si="17"/>
        <v>4.3233645245688802E-12</v>
      </c>
      <c r="AH52" s="24">
        <f t="shared" si="18"/>
        <v>1.7972821622690014E-11</v>
      </c>
      <c r="AI52" s="24">
        <f t="shared" si="19"/>
        <v>1.4453998821254714E-6</v>
      </c>
      <c r="AJ52" s="24">
        <f t="shared" si="20"/>
        <v>1.7221340306146418E-11</v>
      </c>
      <c r="AK52" s="24">
        <f t="shared" si="21"/>
        <v>7.1591482898813831E-11</v>
      </c>
      <c r="AL52" s="24">
        <f t="shared" si="22"/>
        <v>1.7156447707534245E-4</v>
      </c>
      <c r="AM52" s="161">
        <f t="shared" si="23"/>
        <v>2.1544704830715299E-11</v>
      </c>
      <c r="AN52" s="157">
        <f t="shared" si="24"/>
        <v>8.9564304521503851E-11</v>
      </c>
      <c r="AO52" s="162">
        <f t="shared" si="25"/>
        <v>1.7300987695746792E-4</v>
      </c>
    </row>
    <row r="53" spans="1:41" s="8" customFormat="1" ht="15" customHeight="1" x14ac:dyDescent="0.2">
      <c r="A53" s="68" t="s">
        <v>90</v>
      </c>
      <c r="B53" s="53">
        <v>0</v>
      </c>
      <c r="C53" s="74">
        <v>0</v>
      </c>
      <c r="D53" s="51">
        <v>0</v>
      </c>
      <c r="E53" s="62" t="s">
        <v>1370</v>
      </c>
      <c r="F53" s="62">
        <v>0</v>
      </c>
      <c r="G53" s="2" t="s">
        <v>3</v>
      </c>
      <c r="H53" s="51" t="s">
        <v>6</v>
      </c>
      <c r="I53" s="69">
        <v>2.9999999999999999E-7</v>
      </c>
      <c r="J53" s="51" t="s">
        <v>2</v>
      </c>
      <c r="K53" s="51">
        <v>0</v>
      </c>
      <c r="L53" s="62">
        <v>0</v>
      </c>
      <c r="M53" s="51" t="s">
        <v>3</v>
      </c>
      <c r="N53" s="51" t="s">
        <v>7</v>
      </c>
      <c r="O53" s="69">
        <v>3.0000000000000001E-6</v>
      </c>
      <c r="P53" s="51" t="s">
        <v>2</v>
      </c>
      <c r="Q53" s="51" t="s">
        <v>1371</v>
      </c>
      <c r="R53" s="62">
        <v>0</v>
      </c>
      <c r="S53" s="62">
        <v>0</v>
      </c>
      <c r="T53" s="54" t="s">
        <v>28</v>
      </c>
      <c r="U53" s="127">
        <v>2.5208446330720887E-5</v>
      </c>
      <c r="V53" s="115">
        <v>2.6504960021309262E-7</v>
      </c>
      <c r="W53" s="115">
        <v>1.4222228897488039E-7</v>
      </c>
      <c r="X53" s="115">
        <v>3.170874313501273E-7</v>
      </c>
      <c r="Y53" s="115">
        <v>17.989178582912412</v>
      </c>
      <c r="Z53" s="115">
        <v>290.05086067463066</v>
      </c>
      <c r="AA53" s="132" t="s">
        <v>537</v>
      </c>
      <c r="AB53" s="27">
        <f t="shared" si="28"/>
        <v>1.44E-8</v>
      </c>
      <c r="AC53" s="29">
        <f t="shared" si="29"/>
        <v>1.4400000000000002E-7</v>
      </c>
      <c r="AD53" s="135">
        <f t="shared" si="14"/>
        <v>3.8348163677476358E-13</v>
      </c>
      <c r="AE53" s="135">
        <f t="shared" si="15"/>
        <v>4.9477304357486866E-14</v>
      </c>
      <c r="AF53" s="24">
        <f t="shared" si="16"/>
        <v>4.2026368108740762E-5</v>
      </c>
      <c r="AG53" s="24">
        <f t="shared" si="17"/>
        <v>3.6300162716238078E-13</v>
      </c>
      <c r="AH53" s="24">
        <f t="shared" si="18"/>
        <v>3.8167142430685337E-15</v>
      </c>
      <c r="AI53" s="24">
        <f t="shared" si="19"/>
        <v>2.5904417159393872E-7</v>
      </c>
      <c r="AJ53" s="24">
        <f t="shared" si="20"/>
        <v>2.0480009612382781E-14</v>
      </c>
      <c r="AK53" s="24">
        <f t="shared" si="21"/>
        <v>4.5660590114418335E-14</v>
      </c>
      <c r="AL53" s="24">
        <f t="shared" si="22"/>
        <v>4.1767323937146823E-5</v>
      </c>
      <c r="AM53" s="161">
        <f t="shared" si="23"/>
        <v>3.8348163677476358E-13</v>
      </c>
      <c r="AN53" s="157">
        <f t="shared" si="24"/>
        <v>4.9477304357486866E-14</v>
      </c>
      <c r="AO53" s="162">
        <f t="shared" si="25"/>
        <v>4.2026368108740762E-5</v>
      </c>
    </row>
    <row r="54" spans="1:41" s="8" customFormat="1" ht="15" customHeight="1" x14ac:dyDescent="0.2">
      <c r="A54" s="54" t="s">
        <v>50</v>
      </c>
      <c r="B54" s="54" t="s">
        <v>41</v>
      </c>
      <c r="C54" s="74">
        <v>1</v>
      </c>
      <c r="D54" s="51" t="s">
        <v>2</v>
      </c>
      <c r="E54" s="64">
        <v>1</v>
      </c>
      <c r="F54" s="64">
        <v>0</v>
      </c>
      <c r="G54" s="51" t="s">
        <v>41</v>
      </c>
      <c r="H54" s="51" t="s">
        <v>6</v>
      </c>
      <c r="I54" s="69">
        <v>6.0000000000000001E-3</v>
      </c>
      <c r="J54" s="51" t="s">
        <v>2</v>
      </c>
      <c r="K54" s="51" t="s">
        <v>307</v>
      </c>
      <c r="L54" s="64">
        <v>0</v>
      </c>
      <c r="M54" s="51" t="s">
        <v>41</v>
      </c>
      <c r="N54" s="51" t="s">
        <v>7</v>
      </c>
      <c r="O54" s="69">
        <v>5.000000000000001E-3</v>
      </c>
      <c r="P54" s="51" t="s">
        <v>2</v>
      </c>
      <c r="Q54" s="8" t="s">
        <v>562</v>
      </c>
      <c r="R54" s="64">
        <v>0</v>
      </c>
      <c r="S54" s="64">
        <v>0</v>
      </c>
      <c r="T54" s="54" t="s">
        <v>63</v>
      </c>
      <c r="U54" s="127">
        <v>0</v>
      </c>
      <c r="V54" s="115">
        <v>0</v>
      </c>
      <c r="W54" s="115">
        <v>0</v>
      </c>
      <c r="X54" s="115">
        <v>0</v>
      </c>
      <c r="Y54" s="115">
        <v>8.8772465275976433</v>
      </c>
      <c r="Z54" s="115">
        <v>208.6033035913627</v>
      </c>
      <c r="AA54" s="132" t="s">
        <v>537</v>
      </c>
      <c r="AB54" s="27">
        <f>$C$25*I54</f>
        <v>1.44E-4</v>
      </c>
      <c r="AC54" s="29">
        <f>$C$25*O54</f>
        <v>1.2000000000000003E-4</v>
      </c>
      <c r="AD54" s="135">
        <f t="shared" si="14"/>
        <v>0</v>
      </c>
      <c r="AE54" s="135">
        <f t="shared" si="15"/>
        <v>0</v>
      </c>
      <c r="AF54" s="24">
        <f t="shared" si="16"/>
        <v>2.6310719930937591E-2</v>
      </c>
      <c r="AG54" s="24">
        <f t="shared" si="17"/>
        <v>0</v>
      </c>
      <c r="AH54" s="24">
        <f t="shared" si="18"/>
        <v>0</v>
      </c>
      <c r="AI54" s="24">
        <f t="shared" si="19"/>
        <v>1.2783234999740607E-3</v>
      </c>
      <c r="AJ54" s="24">
        <f t="shared" si="20"/>
        <v>0</v>
      </c>
      <c r="AK54" s="24">
        <f t="shared" si="21"/>
        <v>0</v>
      </c>
      <c r="AL54" s="24">
        <f t="shared" si="22"/>
        <v>2.5032396430963531E-2</v>
      </c>
      <c r="AM54" s="161">
        <f t="shared" si="23"/>
        <v>0</v>
      </c>
      <c r="AN54" s="157">
        <f t="shared" si="24"/>
        <v>0</v>
      </c>
      <c r="AO54" s="162">
        <f t="shared" si="25"/>
        <v>2.6310719930937591E-2</v>
      </c>
    </row>
    <row r="55" spans="1:41" s="8" customFormat="1" ht="15" customHeight="1" x14ac:dyDescent="0.2">
      <c r="A55" s="68" t="s">
        <v>384</v>
      </c>
      <c r="B55" s="54" t="s">
        <v>385</v>
      </c>
      <c r="C55" s="51">
        <v>0.75</v>
      </c>
      <c r="D55" s="51" t="s">
        <v>2</v>
      </c>
      <c r="E55" s="62" t="s">
        <v>386</v>
      </c>
      <c r="F55" s="62">
        <v>0</v>
      </c>
      <c r="G55" s="52" t="s">
        <v>387</v>
      </c>
      <c r="H55" s="51" t="s">
        <v>6</v>
      </c>
      <c r="I55" s="51">
        <v>7.5000000000000002E-4</v>
      </c>
      <c r="J55" s="51" t="s">
        <v>2</v>
      </c>
      <c r="K55" s="51">
        <v>0</v>
      </c>
      <c r="L55" s="62">
        <v>0</v>
      </c>
      <c r="M55" s="52" t="s">
        <v>387</v>
      </c>
      <c r="N55" s="51" t="s">
        <v>7</v>
      </c>
      <c r="O55" s="69">
        <v>3.7500000000000007E-3</v>
      </c>
      <c r="P55" s="51" t="s">
        <v>2</v>
      </c>
      <c r="Q55" s="8" t="s">
        <v>562</v>
      </c>
      <c r="R55" s="62">
        <v>0</v>
      </c>
      <c r="S55" s="62">
        <v>0</v>
      </c>
      <c r="T55" s="53" t="s">
        <v>388</v>
      </c>
      <c r="U55" s="127">
        <v>2.3250974052490423E-6</v>
      </c>
      <c r="V55" s="115">
        <v>3.6419621494691573E-7</v>
      </c>
      <c r="W55" s="115">
        <v>1.7961299223192751E-6</v>
      </c>
      <c r="X55" s="115">
        <v>2.8134035063856268E-7</v>
      </c>
      <c r="Y55" s="115">
        <v>10.290742530418507</v>
      </c>
      <c r="Z55" s="115">
        <v>34.995514714186051</v>
      </c>
      <c r="AA55" s="132" t="s">
        <v>538</v>
      </c>
      <c r="AB55" s="27">
        <f>$C$26*I55</f>
        <v>1.8E-5</v>
      </c>
      <c r="AC55" s="29">
        <f>$C$26*O55</f>
        <v>9.0000000000000019E-5</v>
      </c>
      <c r="AD55" s="135">
        <f t="shared" si="14"/>
        <v>2.0350344630321754E-10</v>
      </c>
      <c r="AE55" s="135">
        <f t="shared" si="15"/>
        <v>3.1876163426515132E-11</v>
      </c>
      <c r="AF55" s="24">
        <f t="shared" si="16"/>
        <v>3.3348296898242785E-3</v>
      </c>
      <c r="AG55" s="24">
        <f t="shared" si="17"/>
        <v>4.1851753294482761E-11</v>
      </c>
      <c r="AH55" s="24">
        <f t="shared" si="18"/>
        <v>6.5555318690444833E-12</v>
      </c>
      <c r="AI55" s="24">
        <f t="shared" si="19"/>
        <v>1.8523336554753314E-4</v>
      </c>
      <c r="AJ55" s="24">
        <f t="shared" si="20"/>
        <v>1.6165169300873479E-10</v>
      </c>
      <c r="AK55" s="24">
        <f t="shared" si="21"/>
        <v>2.5320631557470647E-11</v>
      </c>
      <c r="AL55" s="24">
        <f t="shared" si="22"/>
        <v>3.1495963242767454E-3</v>
      </c>
      <c r="AM55" s="161">
        <f t="shared" si="23"/>
        <v>2.0350344630321754E-10</v>
      </c>
      <c r="AN55" s="157">
        <f t="shared" si="24"/>
        <v>3.1876163426515132E-11</v>
      </c>
      <c r="AO55" s="162">
        <f t="shared" si="25"/>
        <v>3.3348296898242785E-3</v>
      </c>
    </row>
    <row r="56" spans="1:41" s="8" customFormat="1" ht="15" customHeight="1" x14ac:dyDescent="0.2">
      <c r="A56" s="70" t="s">
        <v>51</v>
      </c>
      <c r="B56" s="54" t="s">
        <v>82</v>
      </c>
      <c r="C56" s="74">
        <v>0.9</v>
      </c>
      <c r="D56" s="51" t="s">
        <v>2</v>
      </c>
      <c r="E56" s="62" t="s">
        <v>294</v>
      </c>
      <c r="F56" s="62">
        <v>0</v>
      </c>
      <c r="G56" s="51" t="s">
        <v>12</v>
      </c>
      <c r="H56" s="51">
        <v>0</v>
      </c>
      <c r="I56" s="69">
        <v>0</v>
      </c>
      <c r="J56" s="51">
        <v>0</v>
      </c>
      <c r="K56" s="51">
        <v>0</v>
      </c>
      <c r="L56" s="62">
        <v>0</v>
      </c>
      <c r="M56" s="51" t="s">
        <v>82</v>
      </c>
      <c r="N56" s="54" t="s">
        <v>7</v>
      </c>
      <c r="O56" s="69">
        <v>9.0000000000000011E-2</v>
      </c>
      <c r="P56" s="54" t="s">
        <v>2</v>
      </c>
      <c r="Q56" s="54">
        <v>0</v>
      </c>
      <c r="R56" s="62">
        <v>0</v>
      </c>
      <c r="S56" s="62">
        <v>0</v>
      </c>
      <c r="T56" s="54" t="s">
        <v>302</v>
      </c>
      <c r="U56" s="127">
        <v>0</v>
      </c>
      <c r="V56" s="115">
        <v>0</v>
      </c>
      <c r="W56" s="115">
        <v>0</v>
      </c>
      <c r="X56" s="115">
        <v>0</v>
      </c>
      <c r="Y56" s="129">
        <v>52.575000000000003</v>
      </c>
      <c r="Z56" s="129">
        <v>125.31</v>
      </c>
      <c r="AA56" s="133" t="s">
        <v>539</v>
      </c>
      <c r="AB56" s="27">
        <f>$C$27*I56</f>
        <v>0</v>
      </c>
      <c r="AC56" s="29">
        <f>$C$27*O56</f>
        <v>1.2960000000000001E-3</v>
      </c>
      <c r="AD56" s="135">
        <f t="shared" si="14"/>
        <v>0</v>
      </c>
      <c r="AE56" s="135">
        <f t="shared" si="15"/>
        <v>0</v>
      </c>
      <c r="AF56" s="24">
        <f t="shared" si="16"/>
        <v>0.16240176000000001</v>
      </c>
      <c r="AG56" s="24">
        <f t="shared" si="17"/>
        <v>0</v>
      </c>
      <c r="AH56" s="24">
        <f t="shared" si="18"/>
        <v>0</v>
      </c>
      <c r="AI56" s="24">
        <f t="shared" si="19"/>
        <v>0</v>
      </c>
      <c r="AJ56" s="24">
        <f t="shared" si="20"/>
        <v>0</v>
      </c>
      <c r="AK56" s="24">
        <f t="shared" si="21"/>
        <v>0</v>
      </c>
      <c r="AL56" s="24">
        <f t="shared" si="22"/>
        <v>0.16240176000000001</v>
      </c>
      <c r="AM56" s="161">
        <f t="shared" si="23"/>
        <v>0</v>
      </c>
      <c r="AN56" s="157">
        <f t="shared" si="24"/>
        <v>0</v>
      </c>
      <c r="AO56" s="162">
        <f t="shared" si="25"/>
        <v>0.16240176000000001</v>
      </c>
    </row>
    <row r="57" spans="1:41" s="8" customFormat="1" ht="15" customHeight="1" x14ac:dyDescent="0.2">
      <c r="A57" s="70" t="s">
        <v>51</v>
      </c>
      <c r="B57" s="130" t="s">
        <v>83</v>
      </c>
      <c r="C57" s="75">
        <v>0.08</v>
      </c>
      <c r="D57" s="54" t="s">
        <v>2</v>
      </c>
      <c r="E57" s="62" t="s">
        <v>294</v>
      </c>
      <c r="F57" s="62">
        <v>0</v>
      </c>
      <c r="G57" s="52" t="s">
        <v>12</v>
      </c>
      <c r="H57" s="54">
        <v>0</v>
      </c>
      <c r="I57" s="69">
        <v>0</v>
      </c>
      <c r="J57" s="54">
        <v>0</v>
      </c>
      <c r="K57" s="51">
        <v>0</v>
      </c>
      <c r="L57" s="62">
        <v>0</v>
      </c>
      <c r="M57" s="52" t="s">
        <v>83</v>
      </c>
      <c r="N57" s="54" t="s">
        <v>7</v>
      </c>
      <c r="O57" s="69">
        <v>8.0000000000000002E-3</v>
      </c>
      <c r="P57" s="54" t="s">
        <v>2</v>
      </c>
      <c r="Q57" s="54">
        <v>0</v>
      </c>
      <c r="R57" s="62">
        <v>0</v>
      </c>
      <c r="S57" s="62">
        <v>0</v>
      </c>
      <c r="T57" s="50" t="s">
        <v>300</v>
      </c>
      <c r="U57" s="127">
        <v>0</v>
      </c>
      <c r="V57" s="115">
        <v>0</v>
      </c>
      <c r="W57" s="115">
        <v>0</v>
      </c>
      <c r="X57" s="115">
        <v>0</v>
      </c>
      <c r="Y57" s="115">
        <v>6.0401999999999996</v>
      </c>
      <c r="Z57" s="115">
        <v>126.48</v>
      </c>
      <c r="AA57" s="132" t="s">
        <v>539</v>
      </c>
      <c r="AB57" s="27">
        <f t="shared" ref="AB57:AB58" si="30">$C$27*I57</f>
        <v>0</v>
      </c>
      <c r="AC57" s="29">
        <f t="shared" ref="AC57:AC58" si="31">$C$27*O57</f>
        <v>1.1519999999999999E-4</v>
      </c>
      <c r="AD57" s="135">
        <f t="shared" si="14"/>
        <v>0</v>
      </c>
      <c r="AE57" s="135">
        <f t="shared" si="15"/>
        <v>0</v>
      </c>
      <c r="AF57" s="24">
        <f t="shared" si="16"/>
        <v>1.4570496E-2</v>
      </c>
      <c r="AG57" s="24">
        <f t="shared" si="17"/>
        <v>0</v>
      </c>
      <c r="AH57" s="24">
        <f t="shared" si="18"/>
        <v>0</v>
      </c>
      <c r="AI57" s="24">
        <f t="shared" si="19"/>
        <v>0</v>
      </c>
      <c r="AJ57" s="24">
        <f t="shared" si="20"/>
        <v>0</v>
      </c>
      <c r="AK57" s="24">
        <f t="shared" si="21"/>
        <v>0</v>
      </c>
      <c r="AL57" s="24">
        <f t="shared" si="22"/>
        <v>1.4570496E-2</v>
      </c>
      <c r="AM57" s="161">
        <f t="shared" si="23"/>
        <v>0</v>
      </c>
      <c r="AN57" s="157">
        <f t="shared" si="24"/>
        <v>0</v>
      </c>
      <c r="AO57" s="162">
        <f t="shared" si="25"/>
        <v>1.4570496E-2</v>
      </c>
    </row>
    <row r="58" spans="1:41" s="8" customFormat="1" ht="15" customHeight="1" x14ac:dyDescent="0.2">
      <c r="A58" s="70" t="s">
        <v>51</v>
      </c>
      <c r="B58" s="54" t="s">
        <v>79</v>
      </c>
      <c r="C58" s="51">
        <v>0.02</v>
      </c>
      <c r="D58" s="51" t="s">
        <v>2</v>
      </c>
      <c r="E58" s="62" t="s">
        <v>294</v>
      </c>
      <c r="F58" s="62">
        <v>0</v>
      </c>
      <c r="G58" s="54" t="s">
        <v>12</v>
      </c>
      <c r="H58" s="51">
        <v>0</v>
      </c>
      <c r="I58" s="69">
        <v>0</v>
      </c>
      <c r="J58" s="51">
        <v>0</v>
      </c>
      <c r="K58" s="51" t="s">
        <v>297</v>
      </c>
      <c r="L58" s="62">
        <v>0</v>
      </c>
      <c r="M58" s="51" t="s">
        <v>79</v>
      </c>
      <c r="N58" s="51" t="s">
        <v>7</v>
      </c>
      <c r="O58" s="69">
        <v>2E-3</v>
      </c>
      <c r="P58" s="51" t="s">
        <v>2</v>
      </c>
      <c r="Q58" s="51">
        <v>0</v>
      </c>
      <c r="R58" s="62">
        <v>0</v>
      </c>
      <c r="S58" s="62">
        <v>0</v>
      </c>
      <c r="T58" s="54" t="s">
        <v>80</v>
      </c>
      <c r="U58" s="127">
        <v>0</v>
      </c>
      <c r="V58" s="115">
        <v>0</v>
      </c>
      <c r="W58" s="115">
        <v>0</v>
      </c>
      <c r="X58" s="115">
        <v>0</v>
      </c>
      <c r="Y58" s="115">
        <v>31</v>
      </c>
      <c r="Z58" s="115">
        <v>73.7</v>
      </c>
      <c r="AA58" s="132" t="s">
        <v>539</v>
      </c>
      <c r="AB58" s="27">
        <f t="shared" si="30"/>
        <v>0</v>
      </c>
      <c r="AC58" s="29">
        <f t="shared" si="31"/>
        <v>2.8799999999999999E-5</v>
      </c>
      <c r="AD58" s="135">
        <f t="shared" si="14"/>
        <v>0</v>
      </c>
      <c r="AE58" s="135">
        <f t="shared" si="15"/>
        <v>0</v>
      </c>
      <c r="AF58" s="24">
        <f t="shared" si="16"/>
        <v>2.1225599999999999E-3</v>
      </c>
      <c r="AG58" s="24">
        <f t="shared" si="17"/>
        <v>0</v>
      </c>
      <c r="AH58" s="24">
        <f t="shared" si="18"/>
        <v>0</v>
      </c>
      <c r="AI58" s="24">
        <f t="shared" si="19"/>
        <v>0</v>
      </c>
      <c r="AJ58" s="24">
        <f t="shared" si="20"/>
        <v>0</v>
      </c>
      <c r="AK58" s="24">
        <f t="shared" si="21"/>
        <v>0</v>
      </c>
      <c r="AL58" s="24">
        <f t="shared" si="22"/>
        <v>2.1225599999999999E-3</v>
      </c>
      <c r="AM58" s="161">
        <f t="shared" si="23"/>
        <v>0</v>
      </c>
      <c r="AN58" s="157">
        <f t="shared" si="24"/>
        <v>0</v>
      </c>
      <c r="AO58" s="162">
        <f t="shared" si="25"/>
        <v>2.1225599999999999E-3</v>
      </c>
    </row>
    <row r="59" spans="1:41" s="8" customFormat="1" ht="15" customHeight="1" x14ac:dyDescent="0.2">
      <c r="A59" s="70" t="s">
        <v>51</v>
      </c>
      <c r="B59" s="54" t="s">
        <v>87</v>
      </c>
      <c r="C59" s="51">
        <v>0</v>
      </c>
      <c r="D59" s="51">
        <v>0</v>
      </c>
      <c r="E59" s="62" t="s">
        <v>294</v>
      </c>
      <c r="F59" s="62">
        <v>0</v>
      </c>
      <c r="G59" s="51" t="s">
        <v>12</v>
      </c>
      <c r="H59" s="51">
        <v>0</v>
      </c>
      <c r="I59" s="69">
        <v>0</v>
      </c>
      <c r="J59" s="51">
        <v>0</v>
      </c>
      <c r="K59" s="51" t="s">
        <v>297</v>
      </c>
      <c r="L59" s="62">
        <v>0</v>
      </c>
      <c r="M59" s="51" t="s">
        <v>42</v>
      </c>
      <c r="N59" s="51" t="s">
        <v>7</v>
      </c>
      <c r="O59" s="69">
        <v>9.0000000000000019E-5</v>
      </c>
      <c r="P59" s="51" t="s">
        <v>2</v>
      </c>
      <c r="Q59" s="51" t="s">
        <v>1366</v>
      </c>
      <c r="R59" s="62">
        <v>0</v>
      </c>
      <c r="S59" s="62">
        <v>0</v>
      </c>
      <c r="T59" s="54" t="s">
        <v>93</v>
      </c>
      <c r="U59" s="127">
        <v>0</v>
      </c>
      <c r="V59" s="115">
        <v>0</v>
      </c>
      <c r="W59" s="115">
        <v>0</v>
      </c>
      <c r="X59" s="115">
        <v>0</v>
      </c>
      <c r="Y59" s="117">
        <v>13</v>
      </c>
      <c r="Z59" s="117">
        <v>31.7</v>
      </c>
      <c r="AA59" s="132" t="s">
        <v>539</v>
      </c>
      <c r="AB59" s="27">
        <f>$C$27*I59</f>
        <v>0</v>
      </c>
      <c r="AC59" s="29">
        <f>$C$27*O59</f>
        <v>1.2960000000000002E-6</v>
      </c>
      <c r="AD59" s="135">
        <f t="shared" si="14"/>
        <v>0</v>
      </c>
      <c r="AE59" s="135">
        <f t="shared" si="15"/>
        <v>0</v>
      </c>
      <c r="AF59" s="24">
        <f t="shared" si="16"/>
        <v>4.1083200000000007E-5</v>
      </c>
      <c r="AG59" s="24">
        <f t="shared" si="17"/>
        <v>0</v>
      </c>
      <c r="AH59" s="24">
        <f t="shared" si="18"/>
        <v>0</v>
      </c>
      <c r="AI59" s="24">
        <f t="shared" si="19"/>
        <v>0</v>
      </c>
      <c r="AJ59" s="24">
        <f t="shared" si="20"/>
        <v>0</v>
      </c>
      <c r="AK59" s="24">
        <f t="shared" si="21"/>
        <v>0</v>
      </c>
      <c r="AL59" s="24">
        <f t="shared" si="22"/>
        <v>4.1083200000000007E-5</v>
      </c>
      <c r="AM59" s="161">
        <f t="shared" si="23"/>
        <v>0</v>
      </c>
      <c r="AN59" s="157">
        <f t="shared" si="24"/>
        <v>0</v>
      </c>
      <c r="AO59" s="162">
        <f t="shared" si="25"/>
        <v>4.1083200000000007E-5</v>
      </c>
    </row>
    <row r="60" spans="1:41" s="8" customFormat="1" ht="15" customHeight="1" x14ac:dyDescent="0.2">
      <c r="A60" s="68" t="s">
        <v>59</v>
      </c>
      <c r="B60" s="54" t="s">
        <v>30</v>
      </c>
      <c r="C60" s="51">
        <v>0.1</v>
      </c>
      <c r="D60" s="51" t="s">
        <v>2</v>
      </c>
      <c r="E60" s="62" t="s">
        <v>294</v>
      </c>
      <c r="F60" s="62">
        <v>0</v>
      </c>
      <c r="G60" s="51" t="s">
        <v>12</v>
      </c>
      <c r="H60" s="51">
        <v>0</v>
      </c>
      <c r="I60" s="69">
        <v>0</v>
      </c>
      <c r="J60" s="51">
        <v>0</v>
      </c>
      <c r="K60" s="51">
        <v>0</v>
      </c>
      <c r="L60" s="62">
        <v>0</v>
      </c>
      <c r="M60" s="51" t="s">
        <v>30</v>
      </c>
      <c r="N60" s="51" t="s">
        <v>7</v>
      </c>
      <c r="O60" s="69">
        <v>9.9000000000000008E-3</v>
      </c>
      <c r="P60" s="51" t="s">
        <v>2</v>
      </c>
      <c r="Q60" s="8" t="s">
        <v>1367</v>
      </c>
      <c r="R60" s="62">
        <v>0</v>
      </c>
      <c r="S60" s="62">
        <v>0</v>
      </c>
      <c r="T60" s="80" t="s">
        <v>34</v>
      </c>
      <c r="U60" s="127">
        <v>0</v>
      </c>
      <c r="V60" s="115">
        <v>0</v>
      </c>
      <c r="W60" s="115">
        <v>0</v>
      </c>
      <c r="X60" s="115">
        <v>0</v>
      </c>
      <c r="Y60" s="129">
        <v>7.06</v>
      </c>
      <c r="Z60" s="129">
        <v>78.599999999999994</v>
      </c>
      <c r="AA60" s="132" t="s">
        <v>539</v>
      </c>
      <c r="AB60" s="27">
        <f>$C$28*I60</f>
        <v>0</v>
      </c>
      <c r="AC60" s="29">
        <f>$C$28*O60</f>
        <v>7.1279999999999998E-4</v>
      </c>
      <c r="AD60" s="135">
        <f t="shared" si="14"/>
        <v>0</v>
      </c>
      <c r="AE60" s="135">
        <f t="shared" si="15"/>
        <v>0</v>
      </c>
      <c r="AF60" s="24">
        <f t="shared" si="16"/>
        <v>5.6026079999999992E-2</v>
      </c>
      <c r="AG60" s="24">
        <f t="shared" si="17"/>
        <v>0</v>
      </c>
      <c r="AH60" s="24">
        <f t="shared" si="18"/>
        <v>0</v>
      </c>
      <c r="AI60" s="24">
        <f t="shared" si="19"/>
        <v>0</v>
      </c>
      <c r="AJ60" s="24">
        <f t="shared" si="20"/>
        <v>0</v>
      </c>
      <c r="AK60" s="24">
        <f t="shared" si="21"/>
        <v>0</v>
      </c>
      <c r="AL60" s="24">
        <f t="shared" si="22"/>
        <v>5.6026079999999992E-2</v>
      </c>
      <c r="AM60" s="161">
        <f t="shared" si="23"/>
        <v>0</v>
      </c>
      <c r="AN60" s="157">
        <f t="shared" si="24"/>
        <v>0</v>
      </c>
      <c r="AO60" s="162">
        <f t="shared" si="25"/>
        <v>5.6026079999999992E-2</v>
      </c>
    </row>
    <row r="61" spans="1:41" s="8" customFormat="1" ht="15" customHeight="1" x14ac:dyDescent="0.2">
      <c r="A61" s="68" t="s">
        <v>59</v>
      </c>
      <c r="B61" s="54" t="s">
        <v>15</v>
      </c>
      <c r="C61" s="51">
        <v>0.25</v>
      </c>
      <c r="D61" s="51" t="s">
        <v>2</v>
      </c>
      <c r="E61" s="62" t="s">
        <v>294</v>
      </c>
      <c r="F61" s="62">
        <v>0</v>
      </c>
      <c r="G61" s="51" t="s">
        <v>12</v>
      </c>
      <c r="H61" s="51">
        <v>0</v>
      </c>
      <c r="I61" s="69">
        <v>0</v>
      </c>
      <c r="J61" s="51">
        <v>0</v>
      </c>
      <c r="K61" s="51">
        <v>0</v>
      </c>
      <c r="L61" s="62">
        <v>0</v>
      </c>
      <c r="M61" s="51" t="s">
        <v>15</v>
      </c>
      <c r="N61" s="51" t="s">
        <v>7</v>
      </c>
      <c r="O61" s="69">
        <v>2.5000000000000001E-2</v>
      </c>
      <c r="P61" s="51" t="s">
        <v>2</v>
      </c>
      <c r="Q61" s="51">
        <v>0</v>
      </c>
      <c r="R61" s="62">
        <v>0</v>
      </c>
      <c r="S61" s="62">
        <v>0</v>
      </c>
      <c r="T61" s="54" t="s">
        <v>13</v>
      </c>
      <c r="U61" s="127">
        <v>0</v>
      </c>
      <c r="V61" s="115">
        <v>1.2009414857886904E-7</v>
      </c>
      <c r="W61" s="115">
        <v>0</v>
      </c>
      <c r="X61" s="115">
        <v>3.2843909509658706E-7</v>
      </c>
      <c r="Y61" s="115">
        <v>14.526941022240393</v>
      </c>
      <c r="Z61" s="115">
        <v>111.251141519207</v>
      </c>
      <c r="AA61" s="132" t="s">
        <v>538</v>
      </c>
      <c r="AB61" s="27">
        <f t="shared" ref="AB61:AB65" si="32">$C$28*I61</f>
        <v>0</v>
      </c>
      <c r="AC61" s="29">
        <f t="shared" ref="AC61:AC65" si="33">$C$28*O61</f>
        <v>1.8E-3</v>
      </c>
      <c r="AD61" s="135">
        <f t="shared" si="14"/>
        <v>0</v>
      </c>
      <c r="AE61" s="135">
        <f t="shared" si="15"/>
        <v>5.9119037117385666E-10</v>
      </c>
      <c r="AF61" s="24">
        <f t="shared" si="16"/>
        <v>0.20025205473457258</v>
      </c>
      <c r="AG61" s="24">
        <f t="shared" si="17"/>
        <v>0</v>
      </c>
      <c r="AH61" s="24">
        <f t="shared" si="18"/>
        <v>0</v>
      </c>
      <c r="AI61" s="24">
        <f t="shared" si="19"/>
        <v>0</v>
      </c>
      <c r="AJ61" s="24">
        <f t="shared" si="20"/>
        <v>0</v>
      </c>
      <c r="AK61" s="24">
        <f t="shared" si="21"/>
        <v>5.9119037117385666E-10</v>
      </c>
      <c r="AL61" s="24">
        <f t="shared" si="22"/>
        <v>0.20025205473457258</v>
      </c>
      <c r="AM61" s="161">
        <f t="shared" si="23"/>
        <v>0</v>
      </c>
      <c r="AN61" s="157">
        <f t="shared" si="24"/>
        <v>5.9119037117385666E-10</v>
      </c>
      <c r="AO61" s="162">
        <f t="shared" si="25"/>
        <v>0.20025205473457258</v>
      </c>
    </row>
    <row r="62" spans="1:41" s="8" customFormat="1" ht="15" customHeight="1" x14ac:dyDescent="0.2">
      <c r="A62" s="68" t="s">
        <v>59</v>
      </c>
      <c r="B62" s="54" t="s">
        <v>16</v>
      </c>
      <c r="C62" s="51">
        <v>0.1</v>
      </c>
      <c r="D62" s="51" t="s">
        <v>2</v>
      </c>
      <c r="E62" s="62" t="s">
        <v>294</v>
      </c>
      <c r="F62" s="62">
        <v>0</v>
      </c>
      <c r="G62" s="51" t="s">
        <v>12</v>
      </c>
      <c r="H62" s="51">
        <v>0</v>
      </c>
      <c r="I62" s="69">
        <v>0</v>
      </c>
      <c r="J62" s="51">
        <v>0</v>
      </c>
      <c r="K62" s="51">
        <v>0</v>
      </c>
      <c r="L62" s="62">
        <v>0</v>
      </c>
      <c r="M62" s="51" t="s">
        <v>69</v>
      </c>
      <c r="N62" s="51" t="s">
        <v>7</v>
      </c>
      <c r="O62" s="69">
        <v>1.0000000000000002E-2</v>
      </c>
      <c r="P62" s="51" t="s">
        <v>2</v>
      </c>
      <c r="Q62" s="51">
        <v>0</v>
      </c>
      <c r="R62" s="62">
        <v>0</v>
      </c>
      <c r="S62" s="62">
        <v>0</v>
      </c>
      <c r="T62" s="54" t="s">
        <v>17</v>
      </c>
      <c r="U62" s="127">
        <v>0</v>
      </c>
      <c r="V62" s="115">
        <v>0</v>
      </c>
      <c r="W62" s="115">
        <v>0</v>
      </c>
      <c r="X62" s="115">
        <v>0</v>
      </c>
      <c r="Y62" s="115">
        <v>47</v>
      </c>
      <c r="Z62" s="115">
        <v>913</v>
      </c>
      <c r="AA62" s="132" t="s">
        <v>539</v>
      </c>
      <c r="AB62" s="27">
        <f t="shared" si="32"/>
        <v>0</v>
      </c>
      <c r="AC62" s="29">
        <f t="shared" si="33"/>
        <v>7.2000000000000005E-4</v>
      </c>
      <c r="AD62" s="135">
        <f t="shared" si="14"/>
        <v>0</v>
      </c>
      <c r="AE62" s="135">
        <f t="shared" si="15"/>
        <v>0</v>
      </c>
      <c r="AF62" s="24">
        <f t="shared" si="16"/>
        <v>0.65736000000000006</v>
      </c>
      <c r="AG62" s="24">
        <f t="shared" si="17"/>
        <v>0</v>
      </c>
      <c r="AH62" s="24">
        <f t="shared" si="18"/>
        <v>0</v>
      </c>
      <c r="AI62" s="24">
        <f t="shared" si="19"/>
        <v>0</v>
      </c>
      <c r="AJ62" s="24">
        <f t="shared" si="20"/>
        <v>0</v>
      </c>
      <c r="AK62" s="24">
        <f t="shared" si="21"/>
        <v>0</v>
      </c>
      <c r="AL62" s="24">
        <f t="shared" si="22"/>
        <v>0.65736000000000006</v>
      </c>
      <c r="AM62" s="161">
        <f t="shared" si="23"/>
        <v>0</v>
      </c>
      <c r="AN62" s="157">
        <f t="shared" si="24"/>
        <v>0</v>
      </c>
      <c r="AO62" s="162">
        <f t="shared" si="25"/>
        <v>0.65736000000000006</v>
      </c>
    </row>
    <row r="63" spans="1:41" s="8" customFormat="1" ht="15" customHeight="1" x14ac:dyDescent="0.2">
      <c r="A63" s="68" t="s">
        <v>59</v>
      </c>
      <c r="B63" s="54" t="s">
        <v>18</v>
      </c>
      <c r="C63" s="51">
        <v>0.05</v>
      </c>
      <c r="D63" s="51" t="s">
        <v>2</v>
      </c>
      <c r="E63" s="62" t="s">
        <v>294</v>
      </c>
      <c r="F63" s="62">
        <v>0</v>
      </c>
      <c r="G63" s="51" t="s">
        <v>12</v>
      </c>
      <c r="H63" s="51">
        <v>0</v>
      </c>
      <c r="I63" s="69">
        <v>0</v>
      </c>
      <c r="J63" s="51">
        <v>0</v>
      </c>
      <c r="K63" s="51">
        <v>0</v>
      </c>
      <c r="L63" s="62">
        <v>0</v>
      </c>
      <c r="M63" s="51" t="s">
        <v>18</v>
      </c>
      <c r="N63" s="51" t="s">
        <v>7</v>
      </c>
      <c r="O63" s="69">
        <v>5.000000000000001E-3</v>
      </c>
      <c r="P63" s="51" t="s">
        <v>2</v>
      </c>
      <c r="Q63" s="51">
        <v>0</v>
      </c>
      <c r="R63" s="62">
        <v>0</v>
      </c>
      <c r="S63" s="62">
        <v>0</v>
      </c>
      <c r="T63" s="54" t="s">
        <v>14</v>
      </c>
      <c r="U63" s="127">
        <v>0</v>
      </c>
      <c r="V63" s="115">
        <v>0</v>
      </c>
      <c r="W63" s="115">
        <v>0</v>
      </c>
      <c r="X63" s="115">
        <v>0</v>
      </c>
      <c r="Y63" s="115">
        <v>109.72</v>
      </c>
      <c r="Z63" s="115">
        <v>110</v>
      </c>
      <c r="AA63" s="132" t="s">
        <v>539</v>
      </c>
      <c r="AB63" s="27">
        <f t="shared" si="32"/>
        <v>0</v>
      </c>
      <c r="AC63" s="29">
        <f t="shared" si="33"/>
        <v>3.6000000000000002E-4</v>
      </c>
      <c r="AD63" s="135">
        <f t="shared" si="14"/>
        <v>0</v>
      </c>
      <c r="AE63" s="135">
        <f t="shared" si="15"/>
        <v>0</v>
      </c>
      <c r="AF63" s="24">
        <f t="shared" si="16"/>
        <v>3.9600000000000003E-2</v>
      </c>
      <c r="AG63" s="24">
        <f t="shared" si="17"/>
        <v>0</v>
      </c>
      <c r="AH63" s="24">
        <f t="shared" si="18"/>
        <v>0</v>
      </c>
      <c r="AI63" s="24">
        <f t="shared" si="19"/>
        <v>0</v>
      </c>
      <c r="AJ63" s="24">
        <f t="shared" si="20"/>
        <v>0</v>
      </c>
      <c r="AK63" s="24">
        <f t="shared" si="21"/>
        <v>0</v>
      </c>
      <c r="AL63" s="24">
        <f t="shared" si="22"/>
        <v>3.9600000000000003E-2</v>
      </c>
      <c r="AM63" s="161">
        <f t="shared" si="23"/>
        <v>0</v>
      </c>
      <c r="AN63" s="157">
        <f t="shared" si="24"/>
        <v>0</v>
      </c>
      <c r="AO63" s="162">
        <f t="shared" si="25"/>
        <v>3.9600000000000003E-2</v>
      </c>
    </row>
    <row r="64" spans="1:41" s="8" customFormat="1" ht="15" customHeight="1" x14ac:dyDescent="0.2">
      <c r="A64" s="68" t="s">
        <v>59</v>
      </c>
      <c r="B64" s="50" t="s">
        <v>39</v>
      </c>
      <c r="C64" s="51">
        <v>0</v>
      </c>
      <c r="D64" s="51">
        <v>0</v>
      </c>
      <c r="E64" s="62" t="s">
        <v>1369</v>
      </c>
      <c r="F64" s="62">
        <v>0</v>
      </c>
      <c r="G64" s="51" t="s">
        <v>39</v>
      </c>
      <c r="H64" s="51" t="s">
        <v>6</v>
      </c>
      <c r="I64" s="69">
        <v>1.0000000000000001E-7</v>
      </c>
      <c r="J64" s="51" t="s">
        <v>2</v>
      </c>
      <c r="K64" s="54">
        <v>0</v>
      </c>
      <c r="L64" s="62">
        <v>0</v>
      </c>
      <c r="M64" s="51" t="s">
        <v>39</v>
      </c>
      <c r="N64" s="51" t="s">
        <v>7</v>
      </c>
      <c r="O64" s="69">
        <v>1.0000000000000001E-5</v>
      </c>
      <c r="P64" s="51" t="s">
        <v>2</v>
      </c>
      <c r="Q64" s="54" t="s">
        <v>295</v>
      </c>
      <c r="R64" s="62">
        <v>0</v>
      </c>
      <c r="S64" s="62">
        <v>0</v>
      </c>
      <c r="T64" s="54" t="s">
        <v>60</v>
      </c>
      <c r="U64" s="127">
        <v>1.0252176328593382E-6</v>
      </c>
      <c r="V64" s="115">
        <v>0</v>
      </c>
      <c r="W64" s="115">
        <v>8.6533271568247147E-7</v>
      </c>
      <c r="X64" s="115">
        <v>0</v>
      </c>
      <c r="Y64" s="115">
        <v>0.65406517859613422</v>
      </c>
      <c r="Z64" s="115">
        <v>11.248588270889815</v>
      </c>
      <c r="AA64" s="132" t="s">
        <v>537</v>
      </c>
      <c r="AB64" s="27">
        <f t="shared" si="32"/>
        <v>7.2E-9</v>
      </c>
      <c r="AC64" s="29">
        <f t="shared" si="33"/>
        <v>7.1999999999999999E-7</v>
      </c>
      <c r="AD64" s="135">
        <f t="shared" si="14"/>
        <v>6.3042112224796667E-13</v>
      </c>
      <c r="AE64" s="135">
        <f t="shared" si="15"/>
        <v>0</v>
      </c>
      <c r="AF64" s="24">
        <f t="shared" si="16"/>
        <v>8.1036928243265586E-6</v>
      </c>
      <c r="AG64" s="24">
        <f t="shared" si="17"/>
        <v>7.3815669565872342E-15</v>
      </c>
      <c r="AH64" s="24">
        <f t="shared" si="18"/>
        <v>0</v>
      </c>
      <c r="AI64" s="24">
        <f t="shared" si="19"/>
        <v>4.7092692858921666E-9</v>
      </c>
      <c r="AJ64" s="24">
        <f t="shared" si="20"/>
        <v>6.2303955529137944E-13</v>
      </c>
      <c r="AK64" s="24">
        <f t="shared" si="21"/>
        <v>0</v>
      </c>
      <c r="AL64" s="24">
        <f t="shared" si="22"/>
        <v>8.0989835550406665E-6</v>
      </c>
      <c r="AM64" s="161">
        <f t="shared" si="23"/>
        <v>6.3042112224796667E-13</v>
      </c>
      <c r="AN64" s="157">
        <f t="shared" si="24"/>
        <v>0</v>
      </c>
      <c r="AO64" s="162">
        <f t="shared" si="25"/>
        <v>8.1036928243265586E-6</v>
      </c>
    </row>
    <row r="65" spans="1:41" s="8" customFormat="1" ht="15" customHeight="1" x14ac:dyDescent="0.2">
      <c r="A65" s="68" t="s">
        <v>59</v>
      </c>
      <c r="B65" s="54" t="s">
        <v>87</v>
      </c>
      <c r="C65" s="51">
        <v>0</v>
      </c>
      <c r="D65" s="51">
        <v>0</v>
      </c>
      <c r="E65" s="62" t="s">
        <v>1370</v>
      </c>
      <c r="F65" s="62">
        <v>0</v>
      </c>
      <c r="G65" s="51" t="s">
        <v>3</v>
      </c>
      <c r="H65" s="51" t="s">
        <v>6</v>
      </c>
      <c r="I65" s="69">
        <v>1.0000000000000001E-7</v>
      </c>
      <c r="J65" s="51" t="s">
        <v>2</v>
      </c>
      <c r="K65" s="51">
        <v>0</v>
      </c>
      <c r="L65" s="62">
        <v>0</v>
      </c>
      <c r="M65" s="51" t="s">
        <v>3</v>
      </c>
      <c r="N65" s="51" t="s">
        <v>7</v>
      </c>
      <c r="O65" s="69">
        <v>1.0000000000000002E-6</v>
      </c>
      <c r="P65" s="51" t="s">
        <v>2</v>
      </c>
      <c r="Q65" s="51" t="s">
        <v>1371</v>
      </c>
      <c r="R65" s="62">
        <v>0</v>
      </c>
      <c r="S65" s="62">
        <v>0</v>
      </c>
      <c r="T65" s="54" t="s">
        <v>28</v>
      </c>
      <c r="U65" s="127">
        <v>2.5208446330720887E-5</v>
      </c>
      <c r="V65" s="115">
        <v>2.6504960021309262E-7</v>
      </c>
      <c r="W65" s="115">
        <v>1.4222228897488039E-7</v>
      </c>
      <c r="X65" s="115">
        <v>3.170874313501273E-7</v>
      </c>
      <c r="Y65" s="115">
        <v>17.989178582912412</v>
      </c>
      <c r="Z65" s="115">
        <v>290.05086067463066</v>
      </c>
      <c r="AA65" s="132" t="s">
        <v>537</v>
      </c>
      <c r="AB65" s="27">
        <f t="shared" si="32"/>
        <v>7.2E-9</v>
      </c>
      <c r="AC65" s="29">
        <f t="shared" si="33"/>
        <v>7.2000000000000009E-8</v>
      </c>
      <c r="AD65" s="135">
        <f t="shared" si="14"/>
        <v>1.9174081838738179E-13</v>
      </c>
      <c r="AE65" s="135">
        <f t="shared" si="15"/>
        <v>2.4738652178743433E-14</v>
      </c>
      <c r="AF65" s="24">
        <f t="shared" si="16"/>
        <v>2.1013184054370381E-5</v>
      </c>
      <c r="AG65" s="24">
        <f t="shared" si="17"/>
        <v>1.8150081358119039E-13</v>
      </c>
      <c r="AH65" s="24">
        <f t="shared" si="18"/>
        <v>1.9083571215342669E-15</v>
      </c>
      <c r="AI65" s="24">
        <f t="shared" si="19"/>
        <v>1.2952208579696936E-7</v>
      </c>
      <c r="AJ65" s="24">
        <f t="shared" si="20"/>
        <v>1.024000480619139E-14</v>
      </c>
      <c r="AK65" s="24">
        <f t="shared" si="21"/>
        <v>2.2830295057209167E-14</v>
      </c>
      <c r="AL65" s="24">
        <f t="shared" si="22"/>
        <v>2.0883661968573411E-5</v>
      </c>
      <c r="AM65" s="161">
        <f t="shared" si="23"/>
        <v>1.9174081838738179E-13</v>
      </c>
      <c r="AN65" s="157">
        <f t="shared" si="24"/>
        <v>2.4738652178743433E-14</v>
      </c>
      <c r="AO65" s="162">
        <f t="shared" si="25"/>
        <v>2.1013184054370381E-5</v>
      </c>
    </row>
    <row r="66" spans="1:41" s="8" customFormat="1" ht="15" customHeight="1" x14ac:dyDescent="0.2">
      <c r="A66" s="70" t="s">
        <v>299</v>
      </c>
      <c r="B66" s="53" t="s">
        <v>36</v>
      </c>
      <c r="C66" s="74">
        <v>0.2</v>
      </c>
      <c r="D66" s="51" t="s">
        <v>2</v>
      </c>
      <c r="E66" s="62" t="s">
        <v>294</v>
      </c>
      <c r="F66" s="62">
        <v>0</v>
      </c>
      <c r="G66" s="51" t="s">
        <v>12</v>
      </c>
      <c r="H66" s="51">
        <v>0</v>
      </c>
      <c r="I66" s="69">
        <v>0</v>
      </c>
      <c r="J66" s="51">
        <v>0</v>
      </c>
      <c r="K66" s="51">
        <v>0</v>
      </c>
      <c r="L66" s="62">
        <v>0</v>
      </c>
      <c r="M66" s="51" t="s">
        <v>36</v>
      </c>
      <c r="N66" s="51" t="s">
        <v>7</v>
      </c>
      <c r="O66" s="69">
        <v>1.0000000000000002E-3</v>
      </c>
      <c r="P66" s="51" t="s">
        <v>2</v>
      </c>
      <c r="Q66" s="51" t="s">
        <v>562</v>
      </c>
      <c r="R66" s="62">
        <v>0</v>
      </c>
      <c r="S66" s="62">
        <v>0</v>
      </c>
      <c r="T66" s="81" t="s">
        <v>37</v>
      </c>
      <c r="U66" s="127">
        <v>0</v>
      </c>
      <c r="V66" s="115">
        <v>0</v>
      </c>
      <c r="W66" s="115">
        <v>0</v>
      </c>
      <c r="X66" s="115">
        <v>0</v>
      </c>
      <c r="Y66" s="115">
        <v>9.2999999999999999E-2</v>
      </c>
      <c r="Z66" s="115">
        <v>33.799999999999997</v>
      </c>
      <c r="AA66" s="132" t="s">
        <v>539</v>
      </c>
      <c r="AB66" s="27">
        <f>$C$29*I66</f>
        <v>0</v>
      </c>
      <c r="AC66" s="29">
        <f>$C$29*O66</f>
        <v>1.4400000000000003E-4</v>
      </c>
      <c r="AD66" s="135">
        <f t="shared" si="14"/>
        <v>0</v>
      </c>
      <c r="AE66" s="135">
        <f t="shared" si="15"/>
        <v>0</v>
      </c>
      <c r="AF66" s="24">
        <f t="shared" si="16"/>
        <v>4.8672000000000003E-3</v>
      </c>
      <c r="AG66" s="24">
        <f t="shared" si="17"/>
        <v>0</v>
      </c>
      <c r="AH66" s="24">
        <f t="shared" si="18"/>
        <v>0</v>
      </c>
      <c r="AI66" s="24">
        <f t="shared" si="19"/>
        <v>0</v>
      </c>
      <c r="AJ66" s="24">
        <f t="shared" si="20"/>
        <v>0</v>
      </c>
      <c r="AK66" s="24">
        <f t="shared" si="21"/>
        <v>0</v>
      </c>
      <c r="AL66" s="24">
        <f t="shared" si="22"/>
        <v>4.8672000000000003E-3</v>
      </c>
      <c r="AM66" s="161">
        <f t="shared" si="23"/>
        <v>0</v>
      </c>
      <c r="AN66" s="157">
        <f t="shared" si="24"/>
        <v>0</v>
      </c>
      <c r="AO66" s="162">
        <f t="shared" si="25"/>
        <v>4.8672000000000003E-3</v>
      </c>
    </row>
    <row r="67" spans="1:41" s="49" customFormat="1" ht="15" customHeight="1" x14ac:dyDescent="0.2">
      <c r="A67" s="136" t="s">
        <v>299</v>
      </c>
      <c r="B67" s="137" t="s">
        <v>26</v>
      </c>
      <c r="C67" s="138">
        <v>0.03</v>
      </c>
      <c r="D67" s="139" t="s">
        <v>2</v>
      </c>
      <c r="E67" s="140" t="s">
        <v>294</v>
      </c>
      <c r="F67" s="140">
        <v>0</v>
      </c>
      <c r="G67" s="141" t="s">
        <v>12</v>
      </c>
      <c r="H67" s="139">
        <v>0</v>
      </c>
      <c r="I67" s="142">
        <v>0</v>
      </c>
      <c r="J67" s="139">
        <v>0</v>
      </c>
      <c r="K67" s="139">
        <v>0</v>
      </c>
      <c r="L67" s="140">
        <v>0</v>
      </c>
      <c r="M67" s="139" t="s">
        <v>26</v>
      </c>
      <c r="N67" s="139" t="s">
        <v>7</v>
      </c>
      <c r="O67" s="142">
        <v>1.5000000000000001E-4</v>
      </c>
      <c r="P67" s="139" t="s">
        <v>2</v>
      </c>
      <c r="Q67" s="139" t="s">
        <v>562</v>
      </c>
      <c r="R67" s="140">
        <v>0</v>
      </c>
      <c r="S67" s="140">
        <v>0</v>
      </c>
      <c r="T67" s="141" t="s">
        <v>27</v>
      </c>
      <c r="U67" s="143">
        <v>0</v>
      </c>
      <c r="V67" s="144">
        <v>0</v>
      </c>
      <c r="W67" s="144">
        <v>0</v>
      </c>
      <c r="X67" s="144">
        <v>0</v>
      </c>
      <c r="Y67" s="144">
        <v>0.92690099117499369</v>
      </c>
      <c r="Z67" s="144">
        <v>47.139947928233759</v>
      </c>
      <c r="AA67" s="145" t="s">
        <v>537</v>
      </c>
      <c r="AB67" s="28">
        <f>$C$29*I67</f>
        <v>0</v>
      </c>
      <c r="AC67" s="146">
        <f>$C$29*O67</f>
        <v>2.16E-5</v>
      </c>
      <c r="AD67" s="147">
        <f t="shared" si="14"/>
        <v>0</v>
      </c>
      <c r="AE67" s="147">
        <f t="shared" si="15"/>
        <v>0</v>
      </c>
      <c r="AF67" s="25">
        <f t="shared" si="16"/>
        <v>1.0182228752498492E-3</v>
      </c>
      <c r="AG67" s="25">
        <f t="shared" si="17"/>
        <v>0</v>
      </c>
      <c r="AH67" s="25">
        <f t="shared" si="18"/>
        <v>0</v>
      </c>
      <c r="AI67" s="25">
        <f t="shared" si="19"/>
        <v>0</v>
      </c>
      <c r="AJ67" s="25">
        <f t="shared" si="20"/>
        <v>0</v>
      </c>
      <c r="AK67" s="25">
        <f t="shared" si="21"/>
        <v>0</v>
      </c>
      <c r="AL67" s="25">
        <f t="shared" si="22"/>
        <v>1.0182228752498492E-3</v>
      </c>
      <c r="AM67" s="163">
        <f t="shared" si="23"/>
        <v>0</v>
      </c>
      <c r="AN67" s="164">
        <f t="shared" si="24"/>
        <v>0</v>
      </c>
      <c r="AO67" s="165">
        <f t="shared" si="25"/>
        <v>1.0182228752498492E-3</v>
      </c>
    </row>
    <row r="68" spans="1:41" x14ac:dyDescent="0.2">
      <c r="E68" t="s">
        <v>179</v>
      </c>
      <c r="G68" t="s">
        <v>179</v>
      </c>
      <c r="H68" t="s">
        <v>179</v>
      </c>
      <c r="AD68" s="167">
        <f>SUM(AD35:AD67)</f>
        <v>2.2930565374633025E-10</v>
      </c>
      <c r="AE68" s="167">
        <f>SUM(AE35:AE67)</f>
        <v>4.5476915974938335E-9</v>
      </c>
      <c r="AF68" s="182">
        <f t="shared" ref="AF68" si="34">SUM(AF35:AF67)</f>
        <v>224.95792133253053</v>
      </c>
    </row>
    <row r="69" spans="1:41" x14ac:dyDescent="0.2">
      <c r="E69" t="s">
        <v>179</v>
      </c>
      <c r="G69" t="s">
        <v>179</v>
      </c>
      <c r="H69" t="s">
        <v>179</v>
      </c>
    </row>
    <row r="70" spans="1:41" x14ac:dyDescent="0.2">
      <c r="A70" s="50"/>
    </row>
    <row r="72" spans="1:41" x14ac:dyDescent="0.2">
      <c r="A72" s="9"/>
      <c r="E72" t="s">
        <v>179</v>
      </c>
      <c r="G72" t="s">
        <v>179</v>
      </c>
      <c r="H72" t="s">
        <v>179</v>
      </c>
    </row>
    <row r="73" spans="1:41" x14ac:dyDescent="0.2">
      <c r="B73" s="183" t="s">
        <v>634</v>
      </c>
      <c r="C73" s="184" t="s">
        <v>612</v>
      </c>
      <c r="D73" s="184"/>
      <c r="E73" s="184" t="s">
        <v>119</v>
      </c>
      <c r="F73" s="184"/>
      <c r="G73" s="184" t="s">
        <v>613</v>
      </c>
      <c r="H73" s="184" t="s">
        <v>117</v>
      </c>
      <c r="I73" s="184" t="s">
        <v>118</v>
      </c>
      <c r="J73" s="184" t="s">
        <v>116</v>
      </c>
      <c r="K73" s="184" t="s">
        <v>614</v>
      </c>
      <c r="L73" s="184"/>
      <c r="M73" s="184" t="s">
        <v>109</v>
      </c>
      <c r="N73" s="184" t="s">
        <v>615</v>
      </c>
      <c r="O73" s="184" t="s">
        <v>616</v>
      </c>
      <c r="P73" s="184" t="s">
        <v>113</v>
      </c>
      <c r="Q73" s="184" t="s">
        <v>103</v>
      </c>
      <c r="R73" s="184"/>
      <c r="S73" s="184"/>
      <c r="T73" s="185" t="s">
        <v>673</v>
      </c>
    </row>
    <row r="74" spans="1:41" x14ac:dyDescent="0.2">
      <c r="B74" s="36" t="s">
        <v>617</v>
      </c>
      <c r="C74" s="3" t="s">
        <v>618</v>
      </c>
      <c r="D74" s="3"/>
      <c r="E74" s="3">
        <v>0.60519999999999996</v>
      </c>
      <c r="F74" s="3"/>
      <c r="G74" s="3">
        <v>0.29269756763639998</v>
      </c>
      <c r="H74" s="3">
        <v>2.1889235561672202</v>
      </c>
      <c r="I74" s="3">
        <v>2.3613859953094214</v>
      </c>
      <c r="J74" s="3">
        <v>1.1780966759890856</v>
      </c>
      <c r="K74" s="3">
        <v>0.78812496167805457</v>
      </c>
      <c r="L74" s="3"/>
      <c r="M74" s="3">
        <v>1.4118826399137524E-2</v>
      </c>
      <c r="N74" s="3">
        <v>2.4058131231420599</v>
      </c>
      <c r="O74" s="3">
        <v>1.1501268509248575E-3</v>
      </c>
      <c r="P74" s="3">
        <v>3.9649694071787478E-2</v>
      </c>
      <c r="Q74" s="3">
        <f t="shared" ref="Q74:Q83" si="35">SUM(E74:P74)</f>
        <v>9.8751605272440912</v>
      </c>
      <c r="R74" s="3"/>
      <c r="S74" s="3"/>
      <c r="T74" s="10">
        <f>SUM(E74:K74)</f>
        <v>7.4144287567801808</v>
      </c>
    </row>
    <row r="75" spans="1:41" x14ac:dyDescent="0.2">
      <c r="B75" s="36" t="s">
        <v>619</v>
      </c>
      <c r="C75" s="3" t="s">
        <v>620</v>
      </c>
      <c r="D75" s="3"/>
      <c r="E75" s="3">
        <v>1.45554E-4</v>
      </c>
      <c r="F75" s="3"/>
      <c r="G75" s="3">
        <v>8.9754685292441793E-5</v>
      </c>
      <c r="H75" s="3">
        <v>2.7850589696829919E-4</v>
      </c>
      <c r="I75" s="3">
        <v>3.1198159049266986E-4</v>
      </c>
      <c r="J75" s="3">
        <v>2.9785790941632545E-4</v>
      </c>
      <c r="K75" s="3">
        <v>8.878437664537848E-4</v>
      </c>
      <c r="L75" s="3"/>
      <c r="M75" s="3">
        <v>1.0662436435464975E-6</v>
      </c>
      <c r="N75" s="3">
        <v>1.3168593971457675E-3</v>
      </c>
      <c r="O75" s="3">
        <v>0</v>
      </c>
      <c r="P75" s="3">
        <v>-3.4947265132539671E-5</v>
      </c>
      <c r="Q75" s="3">
        <f t="shared" si="35"/>
        <v>3.294476224280295E-3</v>
      </c>
      <c r="R75" s="3"/>
      <c r="S75" s="3"/>
      <c r="T75" s="10">
        <f t="shared" ref="T75:T83" si="36">SUM(E75:K75)</f>
        <v>2.011497848623521E-3</v>
      </c>
    </row>
    <row r="76" spans="1:41" x14ac:dyDescent="0.2">
      <c r="B76" s="36" t="s">
        <v>621</v>
      </c>
      <c r="C76" s="3" t="s">
        <v>618</v>
      </c>
      <c r="D76" s="3"/>
      <c r="E76" s="3">
        <v>1.0662399999999999E-2</v>
      </c>
      <c r="F76" s="3"/>
      <c r="G76" s="3">
        <v>1.227582635969181E-3</v>
      </c>
      <c r="H76" s="3">
        <v>2.5064825543539528E-2</v>
      </c>
      <c r="I76" s="3">
        <v>2.6753027895914952E-2</v>
      </c>
      <c r="J76" s="3">
        <v>7.251792113091916E-3</v>
      </c>
      <c r="K76" s="3">
        <v>5.0498044830907729E-3</v>
      </c>
      <c r="L76" s="3"/>
      <c r="M76" s="3">
        <v>1.15207628962527E-4</v>
      </c>
      <c r="N76" s="3">
        <v>1.7810667764406374E-2</v>
      </c>
      <c r="O76" s="3">
        <v>2.6041337594995277E-5</v>
      </c>
      <c r="P76" s="3">
        <v>-2.6962135488189075E-4</v>
      </c>
      <c r="Q76" s="3">
        <f t="shared" si="35"/>
        <v>9.3691728047688355E-2</v>
      </c>
      <c r="R76" s="3"/>
      <c r="S76" s="3"/>
      <c r="T76" s="10">
        <f t="shared" si="36"/>
        <v>7.6009432671606342E-2</v>
      </c>
    </row>
    <row r="77" spans="1:41" x14ac:dyDescent="0.2">
      <c r="B77" s="36" t="s">
        <v>622</v>
      </c>
      <c r="C77" s="3" t="s">
        <v>618</v>
      </c>
      <c r="D77" s="3"/>
      <c r="E77" s="3">
        <v>2.76998E-3</v>
      </c>
      <c r="F77" s="3"/>
      <c r="G77" s="3">
        <v>7.9166816970406876E-4</v>
      </c>
      <c r="H77" s="3">
        <v>8.3920461849299396E-3</v>
      </c>
      <c r="I77" s="3">
        <v>8.9892860641629779E-3</v>
      </c>
      <c r="J77" s="3">
        <v>2.9871732235096237E-3</v>
      </c>
      <c r="K77" s="3">
        <v>1.6891182877651705E-3</v>
      </c>
      <c r="L77" s="3"/>
      <c r="M77" s="3">
        <v>8.3497588650117749E-5</v>
      </c>
      <c r="N77" s="3">
        <v>1.50624095618337E-2</v>
      </c>
      <c r="O77" s="3">
        <v>3.6881970549540822E-5</v>
      </c>
      <c r="P77" s="3">
        <v>-8.8278155839022253E-5</v>
      </c>
      <c r="Q77" s="3">
        <f t="shared" si="35"/>
        <v>4.0713782895266115E-2</v>
      </c>
      <c r="R77" s="3"/>
      <c r="S77" s="3"/>
      <c r="T77" s="10">
        <f t="shared" si="36"/>
        <v>2.5619271930071779E-2</v>
      </c>
    </row>
    <row r="78" spans="1:41" x14ac:dyDescent="0.2">
      <c r="B78" s="36" t="s">
        <v>264</v>
      </c>
      <c r="C78" s="3" t="s">
        <v>623</v>
      </c>
      <c r="D78" s="3"/>
      <c r="E78" s="3">
        <v>3712.7999999999997</v>
      </c>
      <c r="F78" s="3"/>
      <c r="G78" s="3">
        <v>1.6163926573359E-3</v>
      </c>
      <c r="H78" s="3">
        <v>1.1130127858570213E-2</v>
      </c>
      <c r="I78" s="3">
        <v>1.1819607262630686E-2</v>
      </c>
      <c r="J78" s="3">
        <v>8.2011066969080518E-3</v>
      </c>
      <c r="K78" s="3">
        <v>5.5480600535034235E-3</v>
      </c>
      <c r="L78" s="3"/>
      <c r="M78" s="3">
        <v>-1.9324967257790552E-6</v>
      </c>
      <c r="N78" s="3">
        <v>6.3946791112248227E-2</v>
      </c>
      <c r="O78" s="3">
        <v>0</v>
      </c>
      <c r="P78" s="3">
        <v>-3.4167203532128475E-4</v>
      </c>
      <c r="Q78" s="3">
        <f t="shared" si="35"/>
        <v>3712.9019184811095</v>
      </c>
      <c r="R78" s="3"/>
      <c r="S78" s="3"/>
      <c r="T78" s="10">
        <f t="shared" si="36"/>
        <v>3712.8383152945289</v>
      </c>
    </row>
    <row r="79" spans="1:41" x14ac:dyDescent="0.2">
      <c r="B79" s="36" t="s">
        <v>624</v>
      </c>
      <c r="C79" s="3" t="s">
        <v>625</v>
      </c>
      <c r="D79" s="3"/>
      <c r="E79" s="3">
        <v>3.4238</v>
      </c>
      <c r="F79" s="3"/>
      <c r="G79" s="3">
        <v>4.2401592122683499E-3</v>
      </c>
      <c r="H79" s="3">
        <v>6.4866168296178958E-2</v>
      </c>
      <c r="I79" s="3">
        <v>8.0637766260595753E-2</v>
      </c>
      <c r="J79" s="3">
        <v>1.9159948069530149E-2</v>
      </c>
      <c r="K79" s="3">
        <v>1.7364460197900534E-2</v>
      </c>
      <c r="L79" s="3"/>
      <c r="M79" s="3">
        <v>-1.8599999999999998E-5</v>
      </c>
      <c r="N79" s="3">
        <v>6.5249999999999995</v>
      </c>
      <c r="O79" s="3">
        <v>0</v>
      </c>
      <c r="P79" s="3">
        <v>-9.375E-2</v>
      </c>
      <c r="Q79" s="3">
        <f t="shared" si="35"/>
        <v>10.041299902036473</v>
      </c>
      <c r="R79" s="3"/>
      <c r="S79" s="3"/>
      <c r="T79" s="10">
        <f t="shared" si="36"/>
        <v>3.6100685020364738</v>
      </c>
    </row>
    <row r="80" spans="1:41" x14ac:dyDescent="0.2">
      <c r="B80" s="36" t="s">
        <v>266</v>
      </c>
      <c r="C80" s="3" t="s">
        <v>618</v>
      </c>
      <c r="D80" s="3"/>
      <c r="E80" s="3">
        <v>8.2551999999999997E-8</v>
      </c>
      <c r="F80" s="3"/>
      <c r="G80" s="3">
        <v>5.7444458017570344E-8</v>
      </c>
      <c r="H80" s="3">
        <v>3.1764274853760688E-7</v>
      </c>
      <c r="I80" s="3">
        <v>3.6666499862320444E-7</v>
      </c>
      <c r="J80" s="3">
        <v>2.1048222881254296E-7</v>
      </c>
      <c r="K80" s="3">
        <v>2.8859801346355278E-7</v>
      </c>
      <c r="L80" s="3"/>
      <c r="M80" s="3">
        <v>3.5823885931100252E-9</v>
      </c>
      <c r="N80" s="3">
        <v>2.8779083724211053E-6</v>
      </c>
      <c r="O80" s="3">
        <v>0</v>
      </c>
      <c r="P80" s="3">
        <v>-1.6601931668597472E-7</v>
      </c>
      <c r="Q80" s="3">
        <f t="shared" si="35"/>
        <v>4.0388558917827175E-6</v>
      </c>
      <c r="R80" s="3"/>
      <c r="S80" s="3"/>
      <c r="T80" s="10">
        <f t="shared" si="36"/>
        <v>1.3233844474544773E-6</v>
      </c>
    </row>
    <row r="81" spans="2:20" x14ac:dyDescent="0.2">
      <c r="B81" s="36" t="s">
        <v>626</v>
      </c>
      <c r="C81" s="3" t="s">
        <v>618</v>
      </c>
      <c r="D81" s="3"/>
      <c r="E81" s="3">
        <v>5.8309999999999988E-10</v>
      </c>
      <c r="F81" s="3"/>
      <c r="G81" s="3">
        <v>1.8187595125552349E-8</v>
      </c>
      <c r="H81" s="3">
        <v>6.077891260441279E-8</v>
      </c>
      <c r="I81" s="3">
        <v>6.9004884223367582E-8</v>
      </c>
      <c r="J81" s="3">
        <v>3.5239579609784867E-8</v>
      </c>
      <c r="K81" s="3">
        <v>8.1762792519680629E-8</v>
      </c>
      <c r="L81" s="3"/>
      <c r="M81" s="3">
        <v>3.9667525363246952E-10</v>
      </c>
      <c r="N81" s="3">
        <v>2.768170977105615E-7</v>
      </c>
      <c r="O81" s="3">
        <v>0</v>
      </c>
      <c r="P81" s="3">
        <v>-2.91254580572238E-8</v>
      </c>
      <c r="Q81" s="3">
        <f t="shared" si="35"/>
        <v>5.136451789897683E-7</v>
      </c>
      <c r="R81" s="3"/>
      <c r="S81" s="3"/>
      <c r="T81" s="10">
        <f t="shared" si="36"/>
        <v>2.6555686408279822E-7</v>
      </c>
    </row>
    <row r="82" spans="2:20" x14ac:dyDescent="0.2">
      <c r="B82" s="36" t="s">
        <v>627</v>
      </c>
      <c r="C82" s="3" t="s">
        <v>618</v>
      </c>
      <c r="D82" s="3"/>
      <c r="E82" s="3">
        <v>10.4108</v>
      </c>
      <c r="F82" s="3"/>
      <c r="G82" s="3">
        <v>1.6428718138233223</v>
      </c>
      <c r="H82" s="3">
        <v>4.780732748537563</v>
      </c>
      <c r="I82" s="3">
        <v>5.5629003080880528</v>
      </c>
      <c r="J82" s="3">
        <v>5.3222812475904728</v>
      </c>
      <c r="K82" s="3">
        <v>7.0874548536296453</v>
      </c>
      <c r="L82" s="3"/>
      <c r="M82" s="3">
        <v>0.10459138272004799</v>
      </c>
      <c r="N82" s="3">
        <v>31.897428222408003</v>
      </c>
      <c r="O82" s="3">
        <v>0</v>
      </c>
      <c r="P82" s="3">
        <v>-19.089301485995925</v>
      </c>
      <c r="Q82" s="3">
        <f t="shared" si="35"/>
        <v>47.719759090801183</v>
      </c>
      <c r="R82" s="3"/>
      <c r="S82" s="3"/>
      <c r="T82" s="10">
        <f t="shared" si="36"/>
        <v>34.807040971669061</v>
      </c>
    </row>
    <row r="83" spans="2:20" x14ac:dyDescent="0.2">
      <c r="B83" s="186" t="s">
        <v>628</v>
      </c>
      <c r="C83" s="7" t="s">
        <v>629</v>
      </c>
      <c r="D83" s="7"/>
      <c r="E83" s="7">
        <v>5.0898000000000003</v>
      </c>
      <c r="F83" s="7"/>
      <c r="G83" s="7">
        <v>7.6603025543568375</v>
      </c>
      <c r="H83" s="7">
        <v>19.067927168965333</v>
      </c>
      <c r="I83" s="7">
        <v>21.185053252250935</v>
      </c>
      <c r="J83" s="7">
        <v>13.516741586592032</v>
      </c>
      <c r="K83" s="7">
        <v>9.5842559107885581</v>
      </c>
      <c r="L83" s="7"/>
      <c r="M83" s="7">
        <v>0.20400000000000001</v>
      </c>
      <c r="N83" s="7">
        <v>36.6</v>
      </c>
      <c r="O83" s="7">
        <v>0</v>
      </c>
      <c r="P83" s="7">
        <v>-0.8175</v>
      </c>
      <c r="Q83" s="7">
        <f t="shared" si="35"/>
        <v>112.09058047295369</v>
      </c>
      <c r="R83" s="7"/>
      <c r="S83" s="7"/>
      <c r="T83" s="12">
        <f t="shared" si="36"/>
        <v>76.104080472953697</v>
      </c>
    </row>
    <row r="86" spans="2:20" ht="15" x14ac:dyDescent="0.25">
      <c r="D86" s="189" t="s">
        <v>140</v>
      </c>
      <c r="E86" s="189" t="s">
        <v>681</v>
      </c>
      <c r="F86" s="189"/>
      <c r="G86" s="189" t="s">
        <v>682</v>
      </c>
      <c r="H86" s="189" t="s">
        <v>596</v>
      </c>
      <c r="I86" s="189" t="s">
        <v>683</v>
      </c>
      <c r="J86" s="189" t="s">
        <v>684</v>
      </c>
      <c r="K86" s="189" t="s">
        <v>113</v>
      </c>
      <c r="L86" s="189"/>
      <c r="M86" s="190" t="s">
        <v>103</v>
      </c>
      <c r="R86" s="189"/>
      <c r="S86" s="189"/>
    </row>
    <row r="87" spans="2:20" x14ac:dyDescent="0.2">
      <c r="D87">
        <f>E82+G82</f>
        <v>12.053671813823323</v>
      </c>
      <c r="E87">
        <f>H82+I82+J82</f>
        <v>15.66591430421609</v>
      </c>
      <c r="G87">
        <f>K82</f>
        <v>7.0874548536296453</v>
      </c>
      <c r="H87">
        <f>M82</f>
        <v>0.10459138272004799</v>
      </c>
      <c r="J87">
        <f>N82</f>
        <v>31.897428222408003</v>
      </c>
      <c r="K87">
        <f>P82</f>
        <v>-19.089301485995925</v>
      </c>
      <c r="M87">
        <f>SUM(D87:K87)</f>
        <v>47.719759090801183</v>
      </c>
    </row>
    <row r="88" spans="2:20" x14ac:dyDescent="0.2">
      <c r="E88" s="5">
        <f>I26</f>
        <v>224.95792133253053</v>
      </c>
      <c r="F88" s="5"/>
      <c r="L88" s="5"/>
      <c r="R88" s="5"/>
      <c r="S88" s="5"/>
    </row>
    <row r="89" spans="2:20" x14ac:dyDescent="0.2">
      <c r="D89">
        <f>D87</f>
        <v>12.053671813823323</v>
      </c>
      <c r="E89">
        <f>SUM(E87:E88)</f>
        <v>240.62383563674663</v>
      </c>
      <c r="G89">
        <f t="shared" ref="G89:K89" si="37">G87</f>
        <v>7.0874548536296453</v>
      </c>
      <c r="H89">
        <f t="shared" si="37"/>
        <v>0.10459138272004799</v>
      </c>
      <c r="I89">
        <f t="shared" si="37"/>
        <v>0</v>
      </c>
      <c r="J89">
        <f t="shared" si="37"/>
        <v>31.897428222408003</v>
      </c>
      <c r="K89">
        <f t="shared" si="37"/>
        <v>-19.089301485995925</v>
      </c>
      <c r="M89">
        <f>SUM(D89:K89)</f>
        <v>272.67768042333171</v>
      </c>
    </row>
    <row r="91" spans="2:20" x14ac:dyDescent="0.2">
      <c r="K91" t="s">
        <v>685</v>
      </c>
    </row>
    <row r="92" spans="2:20" x14ac:dyDescent="0.2">
      <c r="K92" s="5">
        <f>E88</f>
        <v>224.95792133253053</v>
      </c>
    </row>
  </sheetData>
  <pageMargins left="0.7" right="0.7" top="0.75" bottom="0.75" header="0.3" footer="0.3"/>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F243"/>
  <sheetViews>
    <sheetView zoomScale="80" zoomScaleNormal="80" workbookViewId="0">
      <pane ySplit="1" topLeftCell="A2" activePane="bottomLeft" state="frozen"/>
      <selection pane="bottomLeft" activeCell="B13" sqref="B13"/>
    </sheetView>
  </sheetViews>
  <sheetFormatPr defaultRowHeight="12.75" x14ac:dyDescent="0.2"/>
  <cols>
    <col min="1" max="1" width="43.85546875" style="54" customWidth="1"/>
    <col min="2" max="2" width="39.5703125" style="454" customWidth="1"/>
    <col min="3" max="4" width="9.140625" style="454" customWidth="1"/>
    <col min="5" max="5" width="15" style="455" customWidth="1"/>
    <col min="6" max="6" width="7" style="455" customWidth="1"/>
    <col min="7" max="7" width="22.42578125" style="454" customWidth="1"/>
    <col min="8" max="10" width="9.140625" style="454" customWidth="1"/>
    <col min="11" max="11" width="17.28515625" style="454" customWidth="1"/>
    <col min="12" max="12" width="4.85546875" style="454" customWidth="1"/>
    <col min="13" max="13" width="49" style="454" customWidth="1"/>
    <col min="14" max="14" width="9.140625" style="454" customWidth="1"/>
    <col min="15" max="15" width="12.5703125" style="454" customWidth="1"/>
    <col min="16" max="16" width="9.140625" style="454" customWidth="1"/>
    <col min="17" max="17" width="16.7109375" style="454" customWidth="1"/>
    <col min="18" max="18" width="1.85546875" style="454" customWidth="1"/>
    <col min="19" max="19" width="1.5703125" style="454" customWidth="1"/>
    <col min="20" max="20" width="20.7109375" style="454" customWidth="1"/>
    <col min="21" max="21" width="12.140625" style="180" customWidth="1"/>
    <col min="22" max="26" width="12.140625" style="54" customWidth="1"/>
    <col min="27" max="27" width="12.140625" style="242" customWidth="1"/>
    <col min="28" max="29" width="12.140625" style="54" customWidth="1"/>
    <col min="30" max="30" width="9.140625" style="54"/>
    <col min="31" max="31" width="11.28515625" style="54" bestFit="1" customWidth="1"/>
    <col min="32" max="16384" width="9.140625" style="54"/>
  </cols>
  <sheetData>
    <row r="1" spans="1:31" s="141" customFormat="1" ht="15" customHeight="1" x14ac:dyDescent="0.2">
      <c r="A1" s="57" t="s">
        <v>58</v>
      </c>
      <c r="B1" s="448" t="s">
        <v>289</v>
      </c>
      <c r="C1" s="448" t="s">
        <v>290</v>
      </c>
      <c r="D1" s="448" t="s">
        <v>11</v>
      </c>
      <c r="E1" s="449" t="s">
        <v>291</v>
      </c>
      <c r="F1" s="449"/>
      <c r="G1" s="450" t="s">
        <v>292</v>
      </c>
      <c r="H1" s="450" t="s">
        <v>8</v>
      </c>
      <c r="I1" s="450" t="s">
        <v>217</v>
      </c>
      <c r="J1" s="450" t="s">
        <v>11</v>
      </c>
      <c r="K1" s="450" t="s">
        <v>291</v>
      </c>
      <c r="L1" s="450"/>
      <c r="M1" s="450" t="s">
        <v>293</v>
      </c>
      <c r="N1" s="450" t="s">
        <v>8</v>
      </c>
      <c r="O1" s="450" t="s">
        <v>217</v>
      </c>
      <c r="P1" s="450" t="s">
        <v>11</v>
      </c>
      <c r="Q1" s="450" t="s">
        <v>291</v>
      </c>
      <c r="R1" s="450"/>
      <c r="S1" s="450"/>
      <c r="T1" s="451" t="s">
        <v>275</v>
      </c>
      <c r="U1" s="234" t="s">
        <v>530</v>
      </c>
      <c r="V1" s="55" t="s">
        <v>531</v>
      </c>
      <c r="W1" s="55" t="s">
        <v>532</v>
      </c>
      <c r="X1" s="55" t="s">
        <v>533</v>
      </c>
      <c r="Y1" s="55" t="s">
        <v>534</v>
      </c>
      <c r="Z1" s="55" t="s">
        <v>535</v>
      </c>
      <c r="AA1" s="235" t="s">
        <v>536</v>
      </c>
      <c r="AB1" s="55" t="s">
        <v>960</v>
      </c>
      <c r="AC1" s="55" t="s">
        <v>961</v>
      </c>
      <c r="AD1" s="334"/>
      <c r="AE1" s="334"/>
    </row>
    <row r="2" spans="1:31" ht="15" customHeight="1" x14ac:dyDescent="0.2">
      <c r="A2" s="54" t="s">
        <v>90</v>
      </c>
      <c r="B2" s="452" t="s">
        <v>35</v>
      </c>
      <c r="C2" s="453">
        <v>0.3</v>
      </c>
      <c r="D2" s="454" t="s">
        <v>2</v>
      </c>
      <c r="E2" s="455" t="s">
        <v>296</v>
      </c>
      <c r="G2" s="452" t="s">
        <v>12</v>
      </c>
      <c r="I2" s="459"/>
      <c r="M2" s="452" t="s">
        <v>35</v>
      </c>
      <c r="N2" s="454" t="s">
        <v>7</v>
      </c>
      <c r="O2" s="459">
        <f>C2*0.99*0.1</f>
        <v>2.9700000000000001E-2</v>
      </c>
      <c r="P2" s="454" t="s">
        <v>2</v>
      </c>
      <c r="Q2" s="454" t="s">
        <v>1367</v>
      </c>
      <c r="T2" s="454" t="s">
        <v>524</v>
      </c>
      <c r="U2" s="326">
        <v>0</v>
      </c>
      <c r="V2" s="212">
        <v>1.318367210059499E-10</v>
      </c>
      <c r="W2" s="212">
        <v>0</v>
      </c>
      <c r="X2" s="212">
        <v>1.3016448977650344E-10</v>
      </c>
      <c r="Y2" s="212">
        <v>1.1181204517092254</v>
      </c>
      <c r="Z2" s="212">
        <v>78.957506928451508</v>
      </c>
      <c r="AA2" s="237" t="s">
        <v>538</v>
      </c>
      <c r="AB2" s="54">
        <v>1</v>
      </c>
      <c r="AC2" s="54">
        <v>1</v>
      </c>
    </row>
    <row r="3" spans="1:31" ht="15" customHeight="1" x14ac:dyDescent="0.2">
      <c r="A3" s="54" t="s">
        <v>90</v>
      </c>
      <c r="B3" s="452" t="s">
        <v>89</v>
      </c>
      <c r="C3" s="453"/>
      <c r="E3" s="455" t="s">
        <v>1064</v>
      </c>
      <c r="G3" s="454" t="s">
        <v>89</v>
      </c>
      <c r="H3" s="454" t="s">
        <v>456</v>
      </c>
      <c r="I3" s="459">
        <f>0.3*0.01*0.001</f>
        <v>3.0000000000000001E-6</v>
      </c>
      <c r="J3" s="454" t="s">
        <v>2</v>
      </c>
      <c r="M3" s="454" t="s">
        <v>89</v>
      </c>
      <c r="N3" s="454" t="s">
        <v>7</v>
      </c>
      <c r="O3" s="459">
        <f>C2*0.01*0.1*0.1</f>
        <v>3.0000000000000004E-5</v>
      </c>
      <c r="P3" s="454" t="s">
        <v>2</v>
      </c>
      <c r="Q3" s="454" t="s">
        <v>1368</v>
      </c>
      <c r="T3" s="456" t="s">
        <v>98</v>
      </c>
      <c r="U3" s="326">
        <v>3.0023364753950555E-5</v>
      </c>
      <c r="V3" s="212">
        <v>1.2481126126868064E-4</v>
      </c>
      <c r="W3" s="212">
        <v>1.1959264101490567E-5</v>
      </c>
      <c r="X3" s="212">
        <v>4.9716307568620708E-5</v>
      </c>
      <c r="Y3" s="212">
        <v>10.037499181426883</v>
      </c>
      <c r="Z3" s="212">
        <v>119.14199796898779</v>
      </c>
      <c r="AA3" s="242" t="s">
        <v>537</v>
      </c>
      <c r="AB3" s="54">
        <v>1</v>
      </c>
      <c r="AC3" s="54">
        <v>2</v>
      </c>
    </row>
    <row r="4" spans="1:31" ht="15" customHeight="1" x14ac:dyDescent="0.2">
      <c r="A4" s="54" t="s">
        <v>90</v>
      </c>
      <c r="B4" s="452"/>
      <c r="C4" s="453"/>
      <c r="E4" s="455" t="s">
        <v>1370</v>
      </c>
      <c r="G4" s="454" t="s">
        <v>3</v>
      </c>
      <c r="H4" s="454" t="s">
        <v>456</v>
      </c>
      <c r="I4" s="459">
        <f>C2*0.001*0.001</f>
        <v>2.9999999999999999E-7</v>
      </c>
      <c r="J4" s="454" t="s">
        <v>2</v>
      </c>
      <c r="M4" s="454" t="s">
        <v>3</v>
      </c>
      <c r="N4" s="454" t="s">
        <v>7</v>
      </c>
      <c r="O4" s="459">
        <f>C2*0.001*0.1*0.1</f>
        <v>3.0000000000000001E-6</v>
      </c>
      <c r="P4" s="454" t="s">
        <v>2</v>
      </c>
      <c r="Q4" s="454" t="s">
        <v>1371</v>
      </c>
      <c r="T4" s="454" t="s">
        <v>28</v>
      </c>
      <c r="U4" s="326">
        <v>2.5208446330720887E-5</v>
      </c>
      <c r="V4" s="212">
        <v>2.6504960021309262E-7</v>
      </c>
      <c r="W4" s="212">
        <v>1.4222228897488039E-7</v>
      </c>
      <c r="X4" s="212">
        <v>3.170874313501273E-7</v>
      </c>
      <c r="Y4" s="212">
        <v>17.989178582912412</v>
      </c>
      <c r="Z4" s="212">
        <v>290.05086067463066</v>
      </c>
      <c r="AA4" s="237" t="s">
        <v>537</v>
      </c>
      <c r="AB4" s="54">
        <v>1</v>
      </c>
      <c r="AC4" s="54">
        <v>3</v>
      </c>
    </row>
    <row r="5" spans="1:31" ht="15" customHeight="1" x14ac:dyDescent="0.2">
      <c r="A5" s="54" t="s">
        <v>59</v>
      </c>
      <c r="B5" s="454" t="s">
        <v>30</v>
      </c>
      <c r="C5" s="457">
        <v>0.1</v>
      </c>
      <c r="D5" s="454" t="s">
        <v>2</v>
      </c>
      <c r="E5" s="455" t="s">
        <v>294</v>
      </c>
      <c r="G5" s="454" t="s">
        <v>12</v>
      </c>
      <c r="M5" s="454" t="s">
        <v>30</v>
      </c>
      <c r="N5" s="454" t="s">
        <v>7</v>
      </c>
      <c r="O5" s="459">
        <f>C5*0.99*0.1</f>
        <v>9.9000000000000008E-3</v>
      </c>
      <c r="P5" s="454" t="s">
        <v>2</v>
      </c>
      <c r="Q5" s="454" t="s">
        <v>1367</v>
      </c>
      <c r="T5" s="458" t="s">
        <v>34</v>
      </c>
      <c r="U5" s="326">
        <v>0</v>
      </c>
      <c r="V5" s="212">
        <v>0</v>
      </c>
      <c r="W5" s="212">
        <v>0</v>
      </c>
      <c r="X5" s="212">
        <v>0</v>
      </c>
      <c r="Y5" s="212">
        <v>7.06</v>
      </c>
      <c r="Z5" s="212">
        <v>78.599999999999994</v>
      </c>
      <c r="AA5" s="237" t="s">
        <v>539</v>
      </c>
      <c r="AB5" s="54">
        <v>2</v>
      </c>
      <c r="AC5" s="54">
        <v>1</v>
      </c>
    </row>
    <row r="6" spans="1:31" ht="15" customHeight="1" x14ac:dyDescent="0.2">
      <c r="A6" s="54" t="s">
        <v>59</v>
      </c>
      <c r="B6" s="454" t="s">
        <v>15</v>
      </c>
      <c r="C6" s="454">
        <v>0.25</v>
      </c>
      <c r="D6" s="454" t="s">
        <v>2</v>
      </c>
      <c r="E6" s="455" t="s">
        <v>294</v>
      </c>
      <c r="G6" s="454" t="s">
        <v>12</v>
      </c>
      <c r="I6" s="459"/>
      <c r="M6" s="454" t="s">
        <v>15</v>
      </c>
      <c r="N6" s="454" t="s">
        <v>7</v>
      </c>
      <c r="O6" s="459">
        <f>C6*0.1</f>
        <v>2.5000000000000001E-2</v>
      </c>
      <c r="P6" s="454" t="s">
        <v>2</v>
      </c>
      <c r="T6" s="454" t="s">
        <v>13</v>
      </c>
      <c r="U6" s="326">
        <v>0</v>
      </c>
      <c r="V6" s="212">
        <v>1.2009414857886904E-7</v>
      </c>
      <c r="W6" s="212">
        <v>0</v>
      </c>
      <c r="X6" s="212">
        <v>3.2843909509658706E-7</v>
      </c>
      <c r="Y6" s="212">
        <v>14.526941022240393</v>
      </c>
      <c r="Z6" s="212">
        <v>111.251141519207</v>
      </c>
      <c r="AA6" s="237" t="s">
        <v>538</v>
      </c>
      <c r="AB6" s="54">
        <v>2</v>
      </c>
      <c r="AC6" s="54">
        <v>2</v>
      </c>
    </row>
    <row r="7" spans="1:31" ht="15" customHeight="1" x14ac:dyDescent="0.2">
      <c r="A7" s="54" t="s">
        <v>59</v>
      </c>
      <c r="B7" s="454" t="s">
        <v>16</v>
      </c>
      <c r="C7" s="457">
        <v>0.1</v>
      </c>
      <c r="D7" s="454" t="s">
        <v>2</v>
      </c>
      <c r="E7" s="455" t="s">
        <v>294</v>
      </c>
      <c r="G7" s="454" t="s">
        <v>12</v>
      </c>
      <c r="I7" s="459"/>
      <c r="M7" s="454" t="s">
        <v>69</v>
      </c>
      <c r="N7" s="454" t="s">
        <v>7</v>
      </c>
      <c r="O7" s="459">
        <f>C7*0.1</f>
        <v>1.0000000000000002E-2</v>
      </c>
      <c r="P7" s="454" t="s">
        <v>2</v>
      </c>
      <c r="T7" s="454" t="s">
        <v>17</v>
      </c>
      <c r="U7" s="326">
        <v>0</v>
      </c>
      <c r="V7" s="212">
        <v>0</v>
      </c>
      <c r="W7" s="212">
        <v>0</v>
      </c>
      <c r="X7" s="212">
        <v>0</v>
      </c>
      <c r="Y7" s="212">
        <v>47</v>
      </c>
      <c r="Z7" s="212">
        <v>913</v>
      </c>
      <c r="AA7" s="237" t="s">
        <v>539</v>
      </c>
      <c r="AB7" s="54">
        <v>2</v>
      </c>
      <c r="AC7" s="54">
        <v>3</v>
      </c>
    </row>
    <row r="8" spans="1:31" ht="15" customHeight="1" x14ac:dyDescent="0.2">
      <c r="A8" s="54" t="s">
        <v>59</v>
      </c>
      <c r="B8" s="454" t="s">
        <v>18</v>
      </c>
      <c r="C8" s="454">
        <v>0.05</v>
      </c>
      <c r="D8" s="454" t="s">
        <v>2</v>
      </c>
      <c r="E8" s="455" t="s">
        <v>294</v>
      </c>
      <c r="G8" s="454" t="s">
        <v>12</v>
      </c>
      <c r="I8" s="459"/>
      <c r="M8" s="454" t="s">
        <v>18</v>
      </c>
      <c r="N8" s="454" t="s">
        <v>7</v>
      </c>
      <c r="O8" s="459">
        <f>C8*0.1</f>
        <v>5.000000000000001E-3</v>
      </c>
      <c r="P8" s="454" t="s">
        <v>2</v>
      </c>
      <c r="T8" s="454" t="s">
        <v>14</v>
      </c>
      <c r="U8" s="326">
        <v>0</v>
      </c>
      <c r="V8" s="212">
        <v>0</v>
      </c>
      <c r="W8" s="212">
        <v>0</v>
      </c>
      <c r="X8" s="212">
        <v>0</v>
      </c>
      <c r="Y8" s="212">
        <v>109.72</v>
      </c>
      <c r="Z8" s="212">
        <v>110</v>
      </c>
      <c r="AA8" s="237" t="s">
        <v>539</v>
      </c>
      <c r="AB8" s="54">
        <v>2</v>
      </c>
      <c r="AC8" s="54">
        <v>4</v>
      </c>
    </row>
    <row r="9" spans="1:31" ht="15" customHeight="1" x14ac:dyDescent="0.2">
      <c r="A9" s="54" t="s">
        <v>59</v>
      </c>
      <c r="B9" s="454" t="s">
        <v>39</v>
      </c>
      <c r="E9" s="455" t="s">
        <v>1369</v>
      </c>
      <c r="G9" s="454" t="s">
        <v>39</v>
      </c>
      <c r="H9" s="454" t="s">
        <v>456</v>
      </c>
      <c r="I9" s="459">
        <f>C7*0.001*0.001</f>
        <v>1.0000000000000001E-7</v>
      </c>
      <c r="J9" s="454" t="s">
        <v>2</v>
      </c>
      <c r="M9" s="454" t="s">
        <v>39</v>
      </c>
      <c r="N9" s="454" t="s">
        <v>7</v>
      </c>
      <c r="O9" s="459">
        <f>C7*0.001*0.1</f>
        <v>1.0000000000000001E-5</v>
      </c>
      <c r="P9" s="454" t="s">
        <v>2</v>
      </c>
      <c r="Q9" s="455" t="s">
        <v>295</v>
      </c>
      <c r="T9" s="454" t="s">
        <v>60</v>
      </c>
      <c r="U9" s="326">
        <v>1.0252176328593382E-6</v>
      </c>
      <c r="V9" s="212">
        <v>0</v>
      </c>
      <c r="W9" s="212">
        <v>8.6533271568247147E-7</v>
      </c>
      <c r="X9" s="212">
        <v>0</v>
      </c>
      <c r="Y9" s="212">
        <v>0.65406517859613422</v>
      </c>
      <c r="Z9" s="212">
        <v>11.248588270889815</v>
      </c>
      <c r="AA9" s="237" t="s">
        <v>537</v>
      </c>
      <c r="AB9" s="54">
        <v>2</v>
      </c>
      <c r="AC9" s="54">
        <v>5</v>
      </c>
    </row>
    <row r="10" spans="1:31" ht="15" customHeight="1" x14ac:dyDescent="0.2">
      <c r="A10" s="54" t="s">
        <v>59</v>
      </c>
      <c r="B10" s="454" t="s">
        <v>87</v>
      </c>
      <c r="E10" s="455" t="s">
        <v>1370</v>
      </c>
      <c r="G10" s="454" t="s">
        <v>3</v>
      </c>
      <c r="H10" s="454" t="s">
        <v>456</v>
      </c>
      <c r="I10" s="459">
        <f>C5*0.001*0.001</f>
        <v>1.0000000000000001E-7</v>
      </c>
      <c r="J10" s="454" t="s">
        <v>2</v>
      </c>
      <c r="M10" s="454" t="s">
        <v>3</v>
      </c>
      <c r="N10" s="454" t="s">
        <v>7</v>
      </c>
      <c r="O10" s="459">
        <f>C5*0.001*0.1*0.1</f>
        <v>1.0000000000000002E-6</v>
      </c>
      <c r="P10" s="454" t="s">
        <v>2</v>
      </c>
      <c r="Q10" s="454" t="s">
        <v>1371</v>
      </c>
      <c r="T10" s="454" t="s">
        <v>28</v>
      </c>
      <c r="U10" s="326">
        <v>2.5208446330720887E-5</v>
      </c>
      <c r="V10" s="212">
        <v>2.6504960021309262E-7</v>
      </c>
      <c r="W10" s="212">
        <v>1.4222228897488039E-7</v>
      </c>
      <c r="X10" s="212">
        <v>3.170874313501273E-7</v>
      </c>
      <c r="Y10" s="212">
        <v>17.989178582912412</v>
      </c>
      <c r="Z10" s="212">
        <v>290.05086067463066</v>
      </c>
      <c r="AA10" s="237" t="s">
        <v>537</v>
      </c>
      <c r="AB10" s="54">
        <v>2</v>
      </c>
      <c r="AC10" s="54">
        <v>6</v>
      </c>
    </row>
    <row r="11" spans="1:31" ht="15" customHeight="1" x14ac:dyDescent="0.2">
      <c r="A11" s="54" t="s">
        <v>429</v>
      </c>
      <c r="B11" s="454" t="s">
        <v>0</v>
      </c>
      <c r="C11" s="453">
        <v>1</v>
      </c>
      <c r="D11" s="454" t="s">
        <v>2</v>
      </c>
      <c r="E11" s="460">
        <v>1</v>
      </c>
      <c r="F11" s="460"/>
      <c r="G11" s="454" t="s">
        <v>0</v>
      </c>
      <c r="H11" s="454" t="s">
        <v>456</v>
      </c>
      <c r="I11" s="459">
        <v>1E-3</v>
      </c>
      <c r="J11" s="454" t="s">
        <v>2</v>
      </c>
      <c r="M11" s="454" t="s">
        <v>0</v>
      </c>
      <c r="N11" s="454" t="s">
        <v>7</v>
      </c>
      <c r="O11" s="459">
        <f>C11*0.1</f>
        <v>0.1</v>
      </c>
      <c r="P11" s="454" t="s">
        <v>2</v>
      </c>
      <c r="T11" s="454" t="s">
        <v>21</v>
      </c>
      <c r="U11" s="326">
        <v>0</v>
      </c>
      <c r="V11" s="212">
        <v>0</v>
      </c>
      <c r="W11" s="212">
        <v>0</v>
      </c>
      <c r="X11" s="212">
        <v>0</v>
      </c>
      <c r="Y11" s="212">
        <v>2.8072892978694037</v>
      </c>
      <c r="Z11" s="212">
        <v>44.680467206809801</v>
      </c>
      <c r="AA11" s="237" t="s">
        <v>537</v>
      </c>
      <c r="AB11" s="54">
        <v>3</v>
      </c>
      <c r="AC11" s="54">
        <v>1</v>
      </c>
    </row>
    <row r="12" spans="1:31" ht="15" customHeight="1" x14ac:dyDescent="0.2">
      <c r="A12" s="54" t="s">
        <v>64</v>
      </c>
      <c r="B12" s="452" t="s">
        <v>30</v>
      </c>
      <c r="C12" s="457">
        <v>0.1</v>
      </c>
      <c r="D12" s="454" t="s">
        <v>2</v>
      </c>
      <c r="E12" s="455" t="s">
        <v>296</v>
      </c>
      <c r="G12" s="454" t="s">
        <v>12</v>
      </c>
      <c r="M12" s="454" t="s">
        <v>30</v>
      </c>
      <c r="N12" s="454" t="s">
        <v>7</v>
      </c>
      <c r="O12" s="459">
        <f>C12*0.1</f>
        <v>1.0000000000000002E-2</v>
      </c>
      <c r="P12" s="454" t="s">
        <v>2</v>
      </c>
      <c r="T12" s="458" t="s">
        <v>34</v>
      </c>
      <c r="U12" s="326">
        <v>0</v>
      </c>
      <c r="V12" s="212">
        <v>0</v>
      </c>
      <c r="W12" s="212">
        <v>0</v>
      </c>
      <c r="X12" s="212">
        <v>0</v>
      </c>
      <c r="Y12" s="212">
        <v>7.06</v>
      </c>
      <c r="Z12" s="212">
        <v>78.599999999999994</v>
      </c>
      <c r="AA12" s="237" t="s">
        <v>539</v>
      </c>
      <c r="AB12" s="54">
        <v>4</v>
      </c>
      <c r="AC12" s="54">
        <v>1</v>
      </c>
    </row>
    <row r="13" spans="1:31" ht="15" customHeight="1" x14ac:dyDescent="0.2">
      <c r="A13" s="54" t="s">
        <v>64</v>
      </c>
      <c r="B13" s="452" t="s">
        <v>19</v>
      </c>
      <c r="C13" s="457">
        <v>0.1</v>
      </c>
      <c r="D13" s="454" t="s">
        <v>2</v>
      </c>
      <c r="E13" s="455" t="s">
        <v>296</v>
      </c>
      <c r="G13" s="454" t="s">
        <v>12</v>
      </c>
      <c r="I13" s="459"/>
      <c r="M13" s="454" t="s">
        <v>65</v>
      </c>
      <c r="N13" s="454" t="s">
        <v>7</v>
      </c>
      <c r="O13" s="459">
        <f>C13*0.1</f>
        <v>1.0000000000000002E-2</v>
      </c>
      <c r="P13" s="454" t="s">
        <v>2</v>
      </c>
      <c r="T13" s="454" t="s">
        <v>20</v>
      </c>
      <c r="U13" s="326">
        <v>0</v>
      </c>
      <c r="V13" s="212">
        <v>2.5624272316803493E-8</v>
      </c>
      <c r="W13" s="212">
        <v>0</v>
      </c>
      <c r="X13" s="212">
        <v>6.1179997974786175E-9</v>
      </c>
      <c r="Y13" s="212">
        <v>95.727827940780713</v>
      </c>
      <c r="Z13" s="212">
        <v>451.93033608164546</v>
      </c>
      <c r="AA13" s="237" t="s">
        <v>538</v>
      </c>
      <c r="AB13" s="54">
        <v>4</v>
      </c>
      <c r="AC13" s="54">
        <v>2</v>
      </c>
    </row>
    <row r="14" spans="1:31" ht="15" customHeight="1" x14ac:dyDescent="0.2">
      <c r="A14" s="54" t="s">
        <v>64</v>
      </c>
      <c r="B14" s="452" t="s">
        <v>40</v>
      </c>
      <c r="C14" s="461">
        <v>5.0000000000000001E-3</v>
      </c>
      <c r="D14" s="454" t="s">
        <v>2</v>
      </c>
      <c r="E14" s="455" t="s">
        <v>296</v>
      </c>
      <c r="G14" s="454" t="s">
        <v>12</v>
      </c>
      <c r="I14" s="459"/>
      <c r="K14" s="454" t="s">
        <v>297</v>
      </c>
      <c r="M14" s="454" t="s">
        <v>40</v>
      </c>
      <c r="N14" s="454" t="s">
        <v>7</v>
      </c>
      <c r="O14" s="459">
        <f>C14*0.1</f>
        <v>5.0000000000000001E-4</v>
      </c>
      <c r="P14" s="454" t="s">
        <v>2</v>
      </c>
      <c r="T14" s="454" t="s">
        <v>24</v>
      </c>
      <c r="U14" s="326">
        <v>0</v>
      </c>
      <c r="V14" s="212">
        <v>0</v>
      </c>
      <c r="W14" s="212">
        <v>0</v>
      </c>
      <c r="X14" s="212">
        <v>0</v>
      </c>
      <c r="Y14" s="212">
        <v>7.4</v>
      </c>
      <c r="Z14" s="212">
        <v>17.7</v>
      </c>
      <c r="AA14" s="237" t="s">
        <v>539</v>
      </c>
      <c r="AB14" s="54">
        <v>4</v>
      </c>
      <c r="AC14" s="54">
        <v>3</v>
      </c>
    </row>
    <row r="15" spans="1:31" ht="15" customHeight="1" x14ac:dyDescent="0.2">
      <c r="A15" s="54" t="s">
        <v>64</v>
      </c>
      <c r="B15" s="452" t="s">
        <v>87</v>
      </c>
      <c r="C15" s="461"/>
      <c r="E15" s="455" t="s">
        <v>1370</v>
      </c>
      <c r="G15" s="454" t="s">
        <v>3</v>
      </c>
      <c r="H15" s="454" t="s">
        <v>456</v>
      </c>
      <c r="I15" s="459">
        <f>C12*0.001*0.001</f>
        <v>1.0000000000000001E-7</v>
      </c>
      <c r="J15" s="454" t="s">
        <v>2</v>
      </c>
      <c r="M15" s="454" t="s">
        <v>3</v>
      </c>
      <c r="N15" s="454" t="s">
        <v>7</v>
      </c>
      <c r="O15" s="459">
        <f>C12*0.001*0.1*0.1</f>
        <v>1.0000000000000002E-6</v>
      </c>
      <c r="P15" s="454" t="s">
        <v>2</v>
      </c>
      <c r="Q15" s="454" t="s">
        <v>1371</v>
      </c>
      <c r="T15" s="454" t="s">
        <v>28</v>
      </c>
      <c r="U15" s="326">
        <v>2.5208446330720887E-5</v>
      </c>
      <c r="V15" s="212">
        <v>2.6504960021309262E-7</v>
      </c>
      <c r="W15" s="212">
        <v>1.4222228897488039E-7</v>
      </c>
      <c r="X15" s="212">
        <v>3.170874313501273E-7</v>
      </c>
      <c r="Y15" s="212">
        <v>17.989178582912412</v>
      </c>
      <c r="Z15" s="212">
        <v>290.05086067463066</v>
      </c>
      <c r="AA15" s="237" t="s">
        <v>537</v>
      </c>
      <c r="AB15" s="54">
        <v>4</v>
      </c>
      <c r="AC15" s="54">
        <v>4</v>
      </c>
    </row>
    <row r="16" spans="1:31" ht="15" customHeight="1" x14ac:dyDescent="0.2">
      <c r="A16" s="54" t="s">
        <v>47</v>
      </c>
      <c r="B16" s="454" t="s">
        <v>5</v>
      </c>
      <c r="C16" s="453">
        <v>1</v>
      </c>
      <c r="D16" s="454" t="s">
        <v>2</v>
      </c>
      <c r="E16" s="460">
        <v>1</v>
      </c>
      <c r="F16" s="460"/>
      <c r="G16" s="454" t="s">
        <v>12</v>
      </c>
      <c r="I16" s="459"/>
      <c r="K16" s="454" t="s">
        <v>297</v>
      </c>
      <c r="M16" s="454" t="s">
        <v>5</v>
      </c>
      <c r="N16" s="454" t="s">
        <v>7</v>
      </c>
      <c r="O16" s="459">
        <f>C16*0.1</f>
        <v>0.1</v>
      </c>
      <c r="P16" s="454" t="s">
        <v>2</v>
      </c>
      <c r="T16" s="454" t="s">
        <v>25</v>
      </c>
      <c r="U16" s="326">
        <v>0</v>
      </c>
      <c r="V16" s="212">
        <v>0</v>
      </c>
      <c r="W16" s="212">
        <v>0</v>
      </c>
      <c r="X16" s="212">
        <v>0</v>
      </c>
      <c r="Y16" s="212">
        <v>164.24</v>
      </c>
      <c r="Z16" s="212">
        <v>400.09</v>
      </c>
      <c r="AA16" s="237" t="s">
        <v>539</v>
      </c>
      <c r="AB16" s="54">
        <v>5</v>
      </c>
      <c r="AC16" s="54">
        <v>1</v>
      </c>
    </row>
    <row r="17" spans="1:29" ht="15" customHeight="1" x14ac:dyDescent="0.2">
      <c r="A17" s="50" t="s">
        <v>1048</v>
      </c>
      <c r="B17" s="454" t="s">
        <v>1</v>
      </c>
      <c r="C17" s="453">
        <v>1</v>
      </c>
      <c r="D17" s="454" t="s">
        <v>2</v>
      </c>
      <c r="E17" s="460">
        <v>1</v>
      </c>
      <c r="F17" s="460"/>
      <c r="G17" s="454" t="s">
        <v>1</v>
      </c>
      <c r="H17" s="454" t="s">
        <v>456</v>
      </c>
      <c r="I17" s="459">
        <v>1E-3</v>
      </c>
      <c r="J17" s="454" t="s">
        <v>2</v>
      </c>
      <c r="M17" s="454" t="s">
        <v>1</v>
      </c>
      <c r="N17" s="454" t="s">
        <v>7</v>
      </c>
      <c r="O17" s="459">
        <f>C17*0.1*0.1</f>
        <v>1.0000000000000002E-2</v>
      </c>
      <c r="P17" s="454" t="s">
        <v>2</v>
      </c>
      <c r="Q17" s="454" t="s">
        <v>1368</v>
      </c>
      <c r="T17" s="454" t="s">
        <v>23</v>
      </c>
      <c r="U17" s="326">
        <v>0</v>
      </c>
      <c r="V17" s="212">
        <v>0</v>
      </c>
      <c r="W17" s="212">
        <v>0</v>
      </c>
      <c r="X17" s="212">
        <v>0</v>
      </c>
      <c r="Y17" s="212">
        <v>220</v>
      </c>
      <c r="Z17" s="212">
        <v>532</v>
      </c>
      <c r="AA17" s="237" t="s">
        <v>539</v>
      </c>
      <c r="AB17" s="54">
        <v>6</v>
      </c>
      <c r="AC17" s="54">
        <v>1</v>
      </c>
    </row>
    <row r="18" spans="1:29" ht="15" customHeight="1" x14ac:dyDescent="0.2">
      <c r="A18" s="54" t="s">
        <v>10</v>
      </c>
      <c r="B18" s="454" t="s">
        <v>38</v>
      </c>
      <c r="C18" s="453">
        <v>1</v>
      </c>
      <c r="D18" s="454" t="s">
        <v>2</v>
      </c>
      <c r="E18" s="455" t="s">
        <v>298</v>
      </c>
      <c r="G18" s="454" t="s">
        <v>12</v>
      </c>
      <c r="I18" s="459"/>
      <c r="M18" s="454" t="s">
        <v>38</v>
      </c>
      <c r="N18" s="454" t="s">
        <v>7</v>
      </c>
      <c r="O18" s="459">
        <f>C18*0.05*0.1</f>
        <v>5.000000000000001E-3</v>
      </c>
      <c r="P18" s="454" t="s">
        <v>2</v>
      </c>
      <c r="Q18" s="454" t="s">
        <v>562</v>
      </c>
      <c r="T18" s="454" t="s">
        <v>29</v>
      </c>
      <c r="U18" s="326">
        <v>0</v>
      </c>
      <c r="V18" s="212">
        <v>0</v>
      </c>
      <c r="W18" s="212">
        <v>0</v>
      </c>
      <c r="X18" s="212">
        <v>0</v>
      </c>
      <c r="Y18" s="212">
        <v>7.1</v>
      </c>
      <c r="Z18" s="212">
        <v>406.71</v>
      </c>
      <c r="AA18" s="237" t="s">
        <v>539</v>
      </c>
      <c r="AB18" s="54">
        <v>7</v>
      </c>
      <c r="AC18" s="54">
        <v>1</v>
      </c>
    </row>
    <row r="19" spans="1:29" ht="15" customHeight="1" x14ac:dyDescent="0.2">
      <c r="A19" s="54" t="s">
        <v>430</v>
      </c>
      <c r="B19" s="454" t="s">
        <v>44</v>
      </c>
      <c r="C19" s="453">
        <v>1</v>
      </c>
      <c r="D19" s="454" t="s">
        <v>2</v>
      </c>
      <c r="E19" s="460">
        <v>1</v>
      </c>
      <c r="F19" s="460"/>
      <c r="G19" s="454" t="s">
        <v>44</v>
      </c>
      <c r="H19" s="454" t="s">
        <v>456</v>
      </c>
      <c r="I19" s="459">
        <v>1E-3</v>
      </c>
      <c r="J19" s="454" t="s">
        <v>2</v>
      </c>
      <c r="M19" s="454" t="s">
        <v>44</v>
      </c>
      <c r="N19" s="454" t="s">
        <v>7</v>
      </c>
      <c r="O19" s="459">
        <f>C19*0.1</f>
        <v>0.1</v>
      </c>
      <c r="P19" s="454" t="s">
        <v>2</v>
      </c>
      <c r="T19" s="454" t="s">
        <v>78</v>
      </c>
      <c r="U19" s="326">
        <v>0</v>
      </c>
      <c r="V19" s="212">
        <v>0</v>
      </c>
      <c r="W19" s="212">
        <v>0</v>
      </c>
      <c r="X19" s="212">
        <v>0</v>
      </c>
      <c r="Y19" s="212">
        <v>49.010721972656775</v>
      </c>
      <c r="Z19" s="212">
        <v>299.66222151864491</v>
      </c>
      <c r="AA19" s="237" t="s">
        <v>537</v>
      </c>
      <c r="AB19" s="54">
        <v>8</v>
      </c>
      <c r="AC19" s="54">
        <v>1</v>
      </c>
    </row>
    <row r="20" spans="1:29" ht="15" customHeight="1" x14ac:dyDescent="0.2">
      <c r="A20" s="54" t="s">
        <v>299</v>
      </c>
      <c r="B20" s="452" t="s">
        <v>36</v>
      </c>
      <c r="C20" s="453">
        <v>0.2</v>
      </c>
      <c r="D20" s="454" t="s">
        <v>2</v>
      </c>
      <c r="E20" s="455" t="s">
        <v>294</v>
      </c>
      <c r="G20" s="454" t="s">
        <v>12</v>
      </c>
      <c r="I20" s="459"/>
      <c r="M20" s="454" t="s">
        <v>36</v>
      </c>
      <c r="N20" s="454" t="s">
        <v>7</v>
      </c>
      <c r="O20" s="459">
        <f>C20*0.05*0.1</f>
        <v>1.0000000000000002E-3</v>
      </c>
      <c r="P20" s="454" t="s">
        <v>2</v>
      </c>
      <c r="Q20" s="454" t="s">
        <v>562</v>
      </c>
      <c r="T20" s="456" t="s">
        <v>37</v>
      </c>
      <c r="U20" s="326">
        <v>0</v>
      </c>
      <c r="V20" s="212">
        <v>0</v>
      </c>
      <c r="W20" s="212">
        <v>0</v>
      </c>
      <c r="X20" s="212">
        <v>0</v>
      </c>
      <c r="Y20" s="212">
        <v>9.2999999999999999E-2</v>
      </c>
      <c r="Z20" s="212">
        <v>33.799999999999997</v>
      </c>
      <c r="AA20" s="237" t="s">
        <v>539</v>
      </c>
      <c r="AB20" s="54">
        <v>9</v>
      </c>
      <c r="AC20" s="54">
        <v>1</v>
      </c>
    </row>
    <row r="21" spans="1:29" ht="15" customHeight="1" x14ac:dyDescent="0.2">
      <c r="A21" s="54" t="s">
        <v>299</v>
      </c>
      <c r="B21" s="452" t="s">
        <v>26</v>
      </c>
      <c r="C21" s="457">
        <v>0.03</v>
      </c>
      <c r="D21" s="454" t="s">
        <v>2</v>
      </c>
      <c r="E21" s="455" t="s">
        <v>294</v>
      </c>
      <c r="G21" s="454" t="s">
        <v>12</v>
      </c>
      <c r="I21" s="459"/>
      <c r="M21" s="454" t="s">
        <v>26</v>
      </c>
      <c r="N21" s="454" t="s">
        <v>7</v>
      </c>
      <c r="O21" s="459">
        <f>C21*0.05*0.1</f>
        <v>1.5000000000000001E-4</v>
      </c>
      <c r="P21" s="454" t="s">
        <v>2</v>
      </c>
      <c r="Q21" s="454" t="s">
        <v>562</v>
      </c>
      <c r="T21" s="454" t="s">
        <v>27</v>
      </c>
      <c r="U21" s="326">
        <v>0</v>
      </c>
      <c r="V21" s="212">
        <v>0</v>
      </c>
      <c r="W21" s="212">
        <v>0</v>
      </c>
      <c r="X21" s="212">
        <v>0</v>
      </c>
      <c r="Y21" s="212">
        <v>0.92690099117499369</v>
      </c>
      <c r="Z21" s="212">
        <v>47.139947928233759</v>
      </c>
      <c r="AA21" s="237" t="s">
        <v>537</v>
      </c>
      <c r="AB21" s="54">
        <v>9</v>
      </c>
      <c r="AC21" s="54">
        <v>2</v>
      </c>
    </row>
    <row r="22" spans="1:29" ht="15" customHeight="1" x14ac:dyDescent="0.2">
      <c r="A22" s="54" t="s">
        <v>308</v>
      </c>
      <c r="B22" s="452" t="s">
        <v>19</v>
      </c>
      <c r="C22" s="453">
        <v>0.3</v>
      </c>
      <c r="D22" s="454" t="s">
        <v>2</v>
      </c>
      <c r="E22" s="455" t="s">
        <v>294</v>
      </c>
      <c r="G22" s="454" t="s">
        <v>65</v>
      </c>
      <c r="H22" s="454" t="s">
        <v>456</v>
      </c>
      <c r="I22" s="459">
        <f>0.3*0.001</f>
        <v>2.9999999999999997E-4</v>
      </c>
      <c r="M22" s="454" t="s">
        <v>65</v>
      </c>
      <c r="N22" s="454" t="s">
        <v>7</v>
      </c>
      <c r="O22" s="459">
        <f>C22*0.1</f>
        <v>0.03</v>
      </c>
      <c r="P22" s="454" t="s">
        <v>2</v>
      </c>
      <c r="T22" s="454" t="s">
        <v>20</v>
      </c>
      <c r="U22" s="326">
        <v>0</v>
      </c>
      <c r="V22" s="212">
        <v>2.5624272316803493E-8</v>
      </c>
      <c r="W22" s="212">
        <v>0</v>
      </c>
      <c r="X22" s="212">
        <v>6.1179997974786175E-9</v>
      </c>
      <c r="Y22" s="212">
        <v>95.727827940780713</v>
      </c>
      <c r="Z22" s="212">
        <v>451.93033608164546</v>
      </c>
      <c r="AA22" s="237" t="s">
        <v>538</v>
      </c>
      <c r="AB22" s="54">
        <v>10</v>
      </c>
      <c r="AC22" s="54">
        <v>1</v>
      </c>
    </row>
    <row r="23" spans="1:29" ht="15" customHeight="1" x14ac:dyDescent="0.2">
      <c r="A23" s="54" t="s">
        <v>1049</v>
      </c>
      <c r="B23" s="454" t="s">
        <v>527</v>
      </c>
      <c r="C23" s="454">
        <v>0.6</v>
      </c>
      <c r="D23" s="454" t="s">
        <v>2</v>
      </c>
      <c r="E23" s="455" t="s">
        <v>294</v>
      </c>
      <c r="G23" s="454" t="s">
        <v>12</v>
      </c>
      <c r="M23" s="454" t="s">
        <v>68</v>
      </c>
      <c r="N23" s="454" t="s">
        <v>7</v>
      </c>
      <c r="O23" s="459">
        <f>C23*0.1</f>
        <v>0.06</v>
      </c>
      <c r="P23" s="454" t="s">
        <v>2</v>
      </c>
      <c r="T23" s="454" t="s">
        <v>526</v>
      </c>
      <c r="U23" s="326">
        <v>0</v>
      </c>
      <c r="V23" s="212">
        <v>1.6437731647150863E-6</v>
      </c>
      <c r="W23" s="212">
        <v>0</v>
      </c>
      <c r="X23" s="212">
        <v>9.8891167609639291E-6</v>
      </c>
      <c r="Y23" s="212">
        <v>25539.178143122717</v>
      </c>
      <c r="Z23" s="212">
        <v>766743.80504211958</v>
      </c>
      <c r="AA23" s="237" t="s">
        <v>538</v>
      </c>
      <c r="AB23" s="54">
        <v>11</v>
      </c>
      <c r="AC23" s="54">
        <v>1</v>
      </c>
    </row>
    <row r="24" spans="1:29" ht="15" customHeight="1" x14ac:dyDescent="0.2">
      <c r="A24" s="54" t="s">
        <v>1049</v>
      </c>
      <c r="B24" s="454" t="s">
        <v>84</v>
      </c>
      <c r="C24" s="454">
        <v>0.2</v>
      </c>
      <c r="D24" s="454" t="s">
        <v>2</v>
      </c>
      <c r="E24" s="455" t="s">
        <v>294</v>
      </c>
      <c r="G24" s="454" t="s">
        <v>84</v>
      </c>
      <c r="H24" s="454" t="s">
        <v>456</v>
      </c>
      <c r="I24" s="459">
        <f>0.2*0.001</f>
        <v>2.0000000000000001E-4</v>
      </c>
      <c r="J24" s="454" t="s">
        <v>2</v>
      </c>
      <c r="M24" s="454" t="s">
        <v>73</v>
      </c>
      <c r="N24" s="454" t="s">
        <v>7</v>
      </c>
      <c r="O24" s="459">
        <f>C24*0.1</f>
        <v>2.0000000000000004E-2</v>
      </c>
      <c r="P24" s="454" t="s">
        <v>2</v>
      </c>
      <c r="T24" s="454" t="s">
        <v>62</v>
      </c>
      <c r="U24" s="326">
        <v>3.1027213023718394E-8</v>
      </c>
      <c r="V24" s="212">
        <v>0</v>
      </c>
      <c r="W24" s="212">
        <v>1.7206281348183625E-8</v>
      </c>
      <c r="X24" s="371">
        <v>0</v>
      </c>
      <c r="Y24" s="212">
        <v>2.6323079574736696</v>
      </c>
      <c r="Z24" s="212">
        <v>191.63613931032927</v>
      </c>
      <c r="AA24" s="237" t="s">
        <v>537</v>
      </c>
      <c r="AB24" s="54">
        <v>11</v>
      </c>
      <c r="AC24" s="54">
        <v>2</v>
      </c>
    </row>
    <row r="25" spans="1:29" ht="15" customHeight="1" x14ac:dyDescent="0.2">
      <c r="A25" s="54" t="s">
        <v>1049</v>
      </c>
      <c r="B25" s="454" t="s">
        <v>85</v>
      </c>
      <c r="C25" s="454">
        <v>0.1</v>
      </c>
      <c r="D25" s="454" t="s">
        <v>2</v>
      </c>
      <c r="E25" s="455" t="s">
        <v>294</v>
      </c>
      <c r="G25" s="454" t="s">
        <v>43</v>
      </c>
      <c r="H25" s="454" t="s">
        <v>456</v>
      </c>
      <c r="I25" s="459">
        <f>0.1*0.001</f>
        <v>1E-4</v>
      </c>
      <c r="J25" s="454" t="s">
        <v>2</v>
      </c>
      <c r="M25" s="454" t="s">
        <v>43</v>
      </c>
      <c r="N25" s="454" t="s">
        <v>7</v>
      </c>
      <c r="O25" s="459">
        <f>C25*0.1</f>
        <v>1.0000000000000002E-2</v>
      </c>
      <c r="P25" s="454" t="s">
        <v>2</v>
      </c>
      <c r="T25" s="454" t="s">
        <v>92</v>
      </c>
      <c r="U25" s="326">
        <v>0</v>
      </c>
      <c r="V25" s="212">
        <v>0</v>
      </c>
      <c r="W25" s="212">
        <v>0</v>
      </c>
      <c r="X25" s="212">
        <v>0</v>
      </c>
      <c r="Y25" s="212">
        <v>63</v>
      </c>
      <c r="Z25" s="212">
        <v>2910</v>
      </c>
      <c r="AA25" s="237" t="s">
        <v>539</v>
      </c>
      <c r="AB25" s="54">
        <v>11</v>
      </c>
      <c r="AC25" s="54">
        <v>3</v>
      </c>
    </row>
    <row r="26" spans="1:29" ht="15" customHeight="1" x14ac:dyDescent="0.2">
      <c r="A26" s="54" t="s">
        <v>1049</v>
      </c>
      <c r="B26" s="454" t="s">
        <v>67</v>
      </c>
      <c r="E26" s="455" t="s">
        <v>301</v>
      </c>
      <c r="G26" s="454" t="s">
        <v>12</v>
      </c>
      <c r="I26" s="459"/>
      <c r="M26" s="454" t="s">
        <v>67</v>
      </c>
      <c r="N26" s="454" t="s">
        <v>7</v>
      </c>
      <c r="O26" s="459">
        <f>C25*0.001*0.1</f>
        <v>1.0000000000000001E-5</v>
      </c>
      <c r="P26" s="454" t="s">
        <v>2</v>
      </c>
      <c r="Q26" s="454" t="s">
        <v>1366</v>
      </c>
      <c r="T26" s="454" t="s">
        <v>94</v>
      </c>
      <c r="U26" s="326">
        <v>0</v>
      </c>
      <c r="V26" s="212">
        <v>0</v>
      </c>
      <c r="W26" s="212">
        <v>0</v>
      </c>
      <c r="X26" s="212">
        <v>0</v>
      </c>
      <c r="Y26" s="212">
        <v>63.500038841149426</v>
      </c>
      <c r="Z26" s="212">
        <v>10848.472578502809</v>
      </c>
      <c r="AA26" s="237" t="s">
        <v>537</v>
      </c>
      <c r="AB26" s="54">
        <v>11</v>
      </c>
      <c r="AC26" s="54">
        <v>4</v>
      </c>
    </row>
    <row r="27" spans="1:29" ht="15" customHeight="1" x14ac:dyDescent="0.2">
      <c r="A27" s="54" t="s">
        <v>75</v>
      </c>
      <c r="B27" s="454" t="s">
        <v>66</v>
      </c>
      <c r="C27" s="454">
        <v>0.05</v>
      </c>
      <c r="D27" s="454" t="s">
        <v>2</v>
      </c>
      <c r="E27" s="455" t="s">
        <v>294</v>
      </c>
      <c r="G27" s="454" t="s">
        <v>12</v>
      </c>
      <c r="I27" s="459"/>
      <c r="M27" s="454" t="s">
        <v>66</v>
      </c>
      <c r="N27" s="454" t="s">
        <v>7</v>
      </c>
      <c r="O27" s="459">
        <f t="shared" ref="O27:O35" si="0">C27*0.1</f>
        <v>5.000000000000001E-3</v>
      </c>
      <c r="P27" s="454" t="s">
        <v>2</v>
      </c>
      <c r="T27" s="454" t="s">
        <v>61</v>
      </c>
      <c r="U27" s="326">
        <v>0</v>
      </c>
      <c r="V27" s="212">
        <v>3.4962401965755862E-5</v>
      </c>
      <c r="W27" s="212">
        <v>0</v>
      </c>
      <c r="X27" s="212">
        <v>1.4442852689626513E-7</v>
      </c>
      <c r="Y27" s="212">
        <v>1.7253896630384493</v>
      </c>
      <c r="Z27" s="212">
        <v>5.4794308572283885</v>
      </c>
      <c r="AA27" s="237" t="s">
        <v>538</v>
      </c>
      <c r="AB27" s="54">
        <v>12</v>
      </c>
      <c r="AC27" s="54">
        <v>1</v>
      </c>
    </row>
    <row r="28" spans="1:29" ht="15" customHeight="1" x14ac:dyDescent="0.2">
      <c r="A28" s="54" t="s">
        <v>75</v>
      </c>
      <c r="B28" s="454" t="s">
        <v>5</v>
      </c>
      <c r="C28" s="454">
        <v>0.02</v>
      </c>
      <c r="D28" s="454" t="s">
        <v>2</v>
      </c>
      <c r="E28" s="455" t="s">
        <v>294</v>
      </c>
      <c r="G28" s="454" t="s">
        <v>12</v>
      </c>
      <c r="I28" s="459"/>
      <c r="M28" s="454" t="s">
        <v>5</v>
      </c>
      <c r="N28" s="454" t="s">
        <v>7</v>
      </c>
      <c r="O28" s="459">
        <f t="shared" si="0"/>
        <v>2E-3</v>
      </c>
      <c r="P28" s="454" t="s">
        <v>2</v>
      </c>
      <c r="T28" s="454" t="s">
        <v>25</v>
      </c>
      <c r="U28" s="326">
        <v>0</v>
      </c>
      <c r="V28" s="212">
        <v>0</v>
      </c>
      <c r="W28" s="212">
        <v>0</v>
      </c>
      <c r="X28" s="212">
        <v>0</v>
      </c>
      <c r="Y28" s="212">
        <v>164.24</v>
      </c>
      <c r="Z28" s="212">
        <v>400.09</v>
      </c>
      <c r="AA28" s="237" t="s">
        <v>539</v>
      </c>
      <c r="AB28" s="54">
        <v>12</v>
      </c>
      <c r="AC28" s="54">
        <v>2</v>
      </c>
    </row>
    <row r="29" spans="1:29" ht="15" customHeight="1" x14ac:dyDescent="0.2">
      <c r="A29" s="54" t="s">
        <v>75</v>
      </c>
      <c r="B29" s="454" t="s">
        <v>76</v>
      </c>
      <c r="C29" s="454">
        <v>1E-3</v>
      </c>
      <c r="D29" s="454" t="s">
        <v>2</v>
      </c>
      <c r="E29" s="455" t="s">
        <v>294</v>
      </c>
      <c r="G29" s="454" t="s">
        <v>12</v>
      </c>
      <c r="I29" s="459"/>
      <c r="M29" s="454" t="s">
        <v>72</v>
      </c>
      <c r="N29" s="454" t="s">
        <v>7</v>
      </c>
      <c r="O29" s="459">
        <f t="shared" si="0"/>
        <v>1E-4</v>
      </c>
      <c r="P29" s="454" t="s">
        <v>2</v>
      </c>
      <c r="T29" s="454" t="s">
        <v>81</v>
      </c>
      <c r="U29" s="326">
        <v>0</v>
      </c>
      <c r="V29" s="212">
        <v>0</v>
      </c>
      <c r="W29" s="212">
        <v>0</v>
      </c>
      <c r="X29" s="212">
        <v>0</v>
      </c>
      <c r="Y29" s="212">
        <v>306.24811854656059</v>
      </c>
      <c r="Z29" s="212">
        <v>2239.9292193792821</v>
      </c>
      <c r="AA29" s="237" t="s">
        <v>537</v>
      </c>
      <c r="AB29" s="54">
        <v>12</v>
      </c>
      <c r="AC29" s="54">
        <v>3</v>
      </c>
    </row>
    <row r="30" spans="1:29" ht="15" customHeight="1" x14ac:dyDescent="0.2">
      <c r="A30" s="54" t="s">
        <v>75</v>
      </c>
      <c r="B30" s="454" t="s">
        <v>77</v>
      </c>
      <c r="C30" s="454">
        <v>1E-3</v>
      </c>
      <c r="D30" s="454" t="s">
        <v>2</v>
      </c>
      <c r="E30" s="455" t="s">
        <v>294</v>
      </c>
      <c r="G30" s="454" t="s">
        <v>12</v>
      </c>
      <c r="I30" s="459"/>
      <c r="M30" s="454" t="s">
        <v>71</v>
      </c>
      <c r="N30" s="454" t="s">
        <v>7</v>
      </c>
      <c r="O30" s="459">
        <f t="shared" si="0"/>
        <v>1E-4</v>
      </c>
      <c r="P30" s="454" t="s">
        <v>2</v>
      </c>
      <c r="T30" s="454" t="s">
        <v>95</v>
      </c>
      <c r="U30" s="326">
        <v>0</v>
      </c>
      <c r="V30" s="212">
        <v>0</v>
      </c>
      <c r="W30" s="212">
        <v>0</v>
      </c>
      <c r="X30" s="212">
        <v>0</v>
      </c>
      <c r="Y30" s="212">
        <v>6089.5109426939807</v>
      </c>
      <c r="Z30" s="212">
        <v>54476.932420915044</v>
      </c>
      <c r="AA30" s="237" t="s">
        <v>537</v>
      </c>
      <c r="AB30" s="54">
        <v>12</v>
      </c>
      <c r="AC30" s="54">
        <v>4</v>
      </c>
    </row>
    <row r="31" spans="1:29" ht="15" customHeight="1" x14ac:dyDescent="0.2">
      <c r="A31" s="54" t="s">
        <v>75</v>
      </c>
      <c r="B31" s="454" t="s">
        <v>70</v>
      </c>
      <c r="C31" s="454">
        <v>1E-3</v>
      </c>
      <c r="D31" s="454" t="s">
        <v>2</v>
      </c>
      <c r="E31" s="455" t="s">
        <v>294</v>
      </c>
      <c r="G31" s="454" t="s">
        <v>12</v>
      </c>
      <c r="I31" s="459"/>
      <c r="M31" s="454" t="s">
        <v>70</v>
      </c>
      <c r="N31" s="454" t="s">
        <v>7</v>
      </c>
      <c r="O31" s="459">
        <f t="shared" si="0"/>
        <v>1E-4</v>
      </c>
      <c r="P31" s="454" t="s">
        <v>2</v>
      </c>
      <c r="T31" s="454" t="s">
        <v>96</v>
      </c>
      <c r="U31" s="326">
        <v>0</v>
      </c>
      <c r="V31" s="212">
        <v>0</v>
      </c>
      <c r="W31" s="212">
        <v>0</v>
      </c>
      <c r="X31" s="212">
        <v>0</v>
      </c>
      <c r="Y31" s="212">
        <v>15653.997644153058</v>
      </c>
      <c r="Z31" s="212">
        <v>184815.26625319294</v>
      </c>
      <c r="AA31" s="237" t="s">
        <v>537</v>
      </c>
      <c r="AB31" s="54">
        <v>12</v>
      </c>
      <c r="AC31" s="54">
        <v>5</v>
      </c>
    </row>
    <row r="32" spans="1:29" ht="15" customHeight="1" x14ac:dyDescent="0.2">
      <c r="A32" s="54" t="s">
        <v>55</v>
      </c>
      <c r="B32" s="454" t="s">
        <v>79</v>
      </c>
      <c r="C32" s="453">
        <v>1</v>
      </c>
      <c r="D32" s="454" t="s">
        <v>2</v>
      </c>
      <c r="E32" s="460">
        <v>1</v>
      </c>
      <c r="F32" s="460"/>
      <c r="G32" s="454" t="s">
        <v>12</v>
      </c>
      <c r="I32" s="459"/>
      <c r="K32" s="454" t="s">
        <v>297</v>
      </c>
      <c r="M32" s="454" t="s">
        <v>79</v>
      </c>
      <c r="N32" s="454" t="s">
        <v>7</v>
      </c>
      <c r="O32" s="459">
        <f t="shared" si="0"/>
        <v>0.1</v>
      </c>
      <c r="P32" s="454" t="s">
        <v>2</v>
      </c>
      <c r="T32" s="454" t="s">
        <v>80</v>
      </c>
      <c r="U32" s="326">
        <v>0</v>
      </c>
      <c r="V32" s="212">
        <v>0</v>
      </c>
      <c r="W32" s="212">
        <v>0</v>
      </c>
      <c r="X32" s="212">
        <v>0</v>
      </c>
      <c r="Y32" s="212">
        <v>31</v>
      </c>
      <c r="Z32" s="212">
        <v>73.7</v>
      </c>
      <c r="AA32" s="237" t="s">
        <v>539</v>
      </c>
      <c r="AB32" s="54">
        <v>13</v>
      </c>
      <c r="AC32" s="54">
        <v>1</v>
      </c>
    </row>
    <row r="33" spans="1:29" ht="15" customHeight="1" x14ac:dyDescent="0.2">
      <c r="A33" s="54" t="s">
        <v>389</v>
      </c>
      <c r="B33" s="454" t="s">
        <v>392</v>
      </c>
      <c r="C33" s="457">
        <v>0.1</v>
      </c>
      <c r="D33" s="454" t="s">
        <v>2</v>
      </c>
      <c r="E33" s="455" t="s">
        <v>294</v>
      </c>
      <c r="G33" s="452" t="s">
        <v>392</v>
      </c>
      <c r="H33" s="454" t="s">
        <v>456</v>
      </c>
      <c r="I33" s="459">
        <f>0.1*0.001</f>
        <v>1E-4</v>
      </c>
      <c r="J33" s="454" t="s">
        <v>2</v>
      </c>
      <c r="M33" s="452" t="s">
        <v>392</v>
      </c>
      <c r="N33" s="454" t="s">
        <v>7</v>
      </c>
      <c r="O33" s="459">
        <f t="shared" si="0"/>
        <v>1.0000000000000002E-2</v>
      </c>
      <c r="P33" s="454" t="s">
        <v>2</v>
      </c>
      <c r="T33" s="452" t="s">
        <v>17</v>
      </c>
      <c r="U33" s="326">
        <v>0</v>
      </c>
      <c r="V33" s="212">
        <v>0</v>
      </c>
      <c r="W33" s="212">
        <v>0</v>
      </c>
      <c r="X33" s="212">
        <v>0</v>
      </c>
      <c r="Y33" s="212">
        <v>47</v>
      </c>
      <c r="Z33" s="212">
        <v>913</v>
      </c>
      <c r="AA33" s="237" t="s">
        <v>539</v>
      </c>
      <c r="AB33" s="54">
        <v>14</v>
      </c>
      <c r="AC33" s="54">
        <v>1</v>
      </c>
    </row>
    <row r="34" spans="1:29" ht="15" customHeight="1" x14ac:dyDescent="0.2">
      <c r="A34" s="54" t="s">
        <v>389</v>
      </c>
      <c r="B34" s="454" t="s">
        <v>390</v>
      </c>
      <c r="C34" s="454">
        <v>0.2</v>
      </c>
      <c r="D34" s="454" t="s">
        <v>2</v>
      </c>
      <c r="E34" s="455" t="s">
        <v>294</v>
      </c>
      <c r="G34" s="452" t="s">
        <v>390</v>
      </c>
      <c r="H34" s="454" t="s">
        <v>456</v>
      </c>
      <c r="I34" s="459">
        <f>0.2*0.001</f>
        <v>2.0000000000000001E-4</v>
      </c>
      <c r="J34" s="454" t="s">
        <v>2</v>
      </c>
      <c r="M34" s="452" t="s">
        <v>390</v>
      </c>
      <c r="N34" s="454" t="s">
        <v>7</v>
      </c>
      <c r="O34" s="459">
        <f t="shared" si="0"/>
        <v>2.0000000000000004E-2</v>
      </c>
      <c r="P34" s="454" t="s">
        <v>2</v>
      </c>
      <c r="T34" s="454" t="s">
        <v>391</v>
      </c>
      <c r="U34" s="326">
        <v>0</v>
      </c>
      <c r="V34" s="212">
        <v>0</v>
      </c>
      <c r="W34" s="212">
        <v>0</v>
      </c>
      <c r="X34" s="212">
        <v>0</v>
      </c>
      <c r="Y34" s="212">
        <v>53</v>
      </c>
      <c r="Z34" s="212">
        <v>687</v>
      </c>
      <c r="AA34" s="237" t="s">
        <v>539</v>
      </c>
      <c r="AB34" s="54">
        <v>14</v>
      </c>
      <c r="AC34" s="54">
        <v>2</v>
      </c>
    </row>
    <row r="35" spans="1:29" ht="15" customHeight="1" x14ac:dyDescent="0.2">
      <c r="A35" s="54" t="s">
        <v>148</v>
      </c>
      <c r="B35" s="454" t="s">
        <v>393</v>
      </c>
      <c r="C35" s="453">
        <v>1</v>
      </c>
      <c r="D35" s="454" t="s">
        <v>2</v>
      </c>
      <c r="E35" s="460">
        <v>1</v>
      </c>
      <c r="F35" s="460"/>
      <c r="G35" s="454" t="s">
        <v>12</v>
      </c>
      <c r="I35" s="459"/>
      <c r="M35" s="454" t="s">
        <v>393</v>
      </c>
      <c r="N35" s="454" t="s">
        <v>7</v>
      </c>
      <c r="O35" s="459">
        <f t="shared" si="0"/>
        <v>0.1</v>
      </c>
      <c r="P35" s="454" t="s">
        <v>2</v>
      </c>
      <c r="T35" s="454" t="s">
        <v>394</v>
      </c>
      <c r="U35" s="326">
        <v>0</v>
      </c>
      <c r="V35" s="212">
        <v>0</v>
      </c>
      <c r="W35" s="212">
        <v>0</v>
      </c>
      <c r="X35" s="212">
        <v>0</v>
      </c>
      <c r="Y35" s="212">
        <v>4.9000000000000004</v>
      </c>
      <c r="Z35" s="212">
        <v>100</v>
      </c>
      <c r="AA35" s="237" t="s">
        <v>539</v>
      </c>
      <c r="AB35" s="54">
        <v>15</v>
      </c>
      <c r="AC35" s="54">
        <v>1</v>
      </c>
    </row>
    <row r="36" spans="1:29" ht="15" customHeight="1" x14ac:dyDescent="0.2">
      <c r="A36" s="54" t="s">
        <v>149</v>
      </c>
      <c r="B36" s="454" t="s">
        <v>1</v>
      </c>
      <c r="C36" s="453">
        <v>1</v>
      </c>
      <c r="D36" s="454" t="s">
        <v>2</v>
      </c>
      <c r="E36" s="460">
        <v>1</v>
      </c>
      <c r="F36" s="460"/>
      <c r="G36" s="454" t="s">
        <v>1</v>
      </c>
      <c r="H36" s="454" t="s">
        <v>456</v>
      </c>
      <c r="I36" s="459">
        <v>1E-3</v>
      </c>
      <c r="J36" s="454" t="s">
        <v>2</v>
      </c>
      <c r="M36" s="454" t="s">
        <v>1</v>
      </c>
      <c r="N36" s="454" t="s">
        <v>7</v>
      </c>
      <c r="O36" s="459">
        <f>C36*0.1*0.1</f>
        <v>1.0000000000000002E-2</v>
      </c>
      <c r="P36" s="454" t="s">
        <v>2</v>
      </c>
      <c r="Q36" s="454" t="s">
        <v>1365</v>
      </c>
      <c r="T36" s="454" t="s">
        <v>23</v>
      </c>
      <c r="U36" s="326">
        <v>0</v>
      </c>
      <c r="V36" s="212">
        <v>0</v>
      </c>
      <c r="W36" s="212">
        <v>0</v>
      </c>
      <c r="X36" s="212">
        <v>0</v>
      </c>
      <c r="Y36" s="212">
        <v>222</v>
      </c>
      <c r="Z36" s="212">
        <v>53200</v>
      </c>
      <c r="AA36" s="237" t="s">
        <v>539</v>
      </c>
      <c r="AB36" s="54">
        <v>16</v>
      </c>
      <c r="AC36" s="54">
        <v>1</v>
      </c>
    </row>
    <row r="37" spans="1:29" ht="15" customHeight="1" x14ac:dyDescent="0.2">
      <c r="A37" s="54" t="s">
        <v>404</v>
      </c>
      <c r="B37" s="454" t="s">
        <v>405</v>
      </c>
      <c r="C37" s="454">
        <v>0.05</v>
      </c>
      <c r="D37" s="454" t="s">
        <v>2</v>
      </c>
      <c r="E37" s="455" t="s">
        <v>294</v>
      </c>
      <c r="G37" s="454" t="s">
        <v>405</v>
      </c>
      <c r="H37" s="454" t="s">
        <v>456</v>
      </c>
      <c r="I37" s="459">
        <f>0.05*0.001</f>
        <v>5.0000000000000002E-5</v>
      </c>
      <c r="J37" s="454" t="s">
        <v>2</v>
      </c>
      <c r="M37" s="454" t="s">
        <v>405</v>
      </c>
      <c r="N37" s="454" t="s">
        <v>7</v>
      </c>
      <c r="O37" s="459">
        <f>C37*0.05*0.1</f>
        <v>2.5000000000000006E-4</v>
      </c>
      <c r="P37" s="454" t="s">
        <v>2</v>
      </c>
      <c r="Q37" s="454" t="s">
        <v>562</v>
      </c>
      <c r="T37" s="454" t="s">
        <v>406</v>
      </c>
      <c r="U37" s="326">
        <v>0</v>
      </c>
      <c r="V37" s="212">
        <v>9.5237882440380552E-7</v>
      </c>
      <c r="W37" s="212">
        <v>0</v>
      </c>
      <c r="X37" s="212">
        <v>4.0376928672343864E-7</v>
      </c>
      <c r="Y37" s="212">
        <v>42728.411313321136</v>
      </c>
      <c r="Z37" s="212">
        <v>340826.10041745222</v>
      </c>
      <c r="AA37" s="237" t="s">
        <v>538</v>
      </c>
      <c r="AB37" s="54">
        <v>17</v>
      </c>
      <c r="AC37" s="54">
        <v>1</v>
      </c>
    </row>
    <row r="38" spans="1:29" ht="15" customHeight="1" x14ac:dyDescent="0.2">
      <c r="A38" s="54" t="s">
        <v>404</v>
      </c>
      <c r="B38" s="454" t="s">
        <v>407</v>
      </c>
      <c r="C38" s="454">
        <v>0.05</v>
      </c>
      <c r="D38" s="454" t="s">
        <v>2</v>
      </c>
      <c r="E38" s="455" t="s">
        <v>294</v>
      </c>
      <c r="G38" s="454" t="s">
        <v>407</v>
      </c>
      <c r="H38" s="454" t="s">
        <v>456</v>
      </c>
      <c r="I38" s="459">
        <f>0.05*0.001</f>
        <v>5.0000000000000002E-5</v>
      </c>
      <c r="J38" s="454" t="s">
        <v>2</v>
      </c>
      <c r="M38" s="454" t="s">
        <v>407</v>
      </c>
      <c r="N38" s="454" t="s">
        <v>7</v>
      </c>
      <c r="O38" s="459">
        <f>C38*0.05*0.1</f>
        <v>2.5000000000000006E-4</v>
      </c>
      <c r="P38" s="454" t="s">
        <v>2</v>
      </c>
      <c r="Q38" s="454" t="s">
        <v>562</v>
      </c>
      <c r="T38" s="454" t="s">
        <v>408</v>
      </c>
      <c r="U38" s="326">
        <v>3.2402001402515103E-6</v>
      </c>
      <c r="V38" s="212">
        <v>3.1758450329400821E-6</v>
      </c>
      <c r="W38" s="212">
        <v>3.1278405194725915E-6</v>
      </c>
      <c r="X38" s="212">
        <v>3.06571703833847E-6</v>
      </c>
      <c r="Y38" s="212">
        <v>2135.3073415858121</v>
      </c>
      <c r="Z38" s="212">
        <v>12814.417967387339</v>
      </c>
      <c r="AA38" s="237" t="s">
        <v>538</v>
      </c>
      <c r="AB38" s="54">
        <v>17</v>
      </c>
      <c r="AC38" s="54">
        <v>2</v>
      </c>
    </row>
    <row r="39" spans="1:29" ht="15" customHeight="1" x14ac:dyDescent="0.2">
      <c r="A39" s="54" t="s">
        <v>404</v>
      </c>
      <c r="B39" s="454" t="s">
        <v>409</v>
      </c>
      <c r="C39" s="457">
        <v>0.25</v>
      </c>
      <c r="D39" s="454" t="s">
        <v>2</v>
      </c>
      <c r="E39" s="455" t="s">
        <v>294</v>
      </c>
      <c r="G39" s="452" t="s">
        <v>409</v>
      </c>
      <c r="H39" s="454" t="s">
        <v>456</v>
      </c>
      <c r="I39" s="459">
        <f>0.25*0.001</f>
        <v>2.5000000000000001E-4</v>
      </c>
      <c r="J39" s="454" t="s">
        <v>2</v>
      </c>
      <c r="M39" s="452" t="s">
        <v>409</v>
      </c>
      <c r="N39" s="454" t="s">
        <v>7</v>
      </c>
      <c r="O39" s="459">
        <f>C39*0.05*0.1</f>
        <v>1.2500000000000002E-3</v>
      </c>
      <c r="P39" s="454" t="s">
        <v>2</v>
      </c>
      <c r="Q39" s="454" t="s">
        <v>562</v>
      </c>
      <c r="T39" s="452" t="s">
        <v>410</v>
      </c>
      <c r="U39" s="326">
        <v>0</v>
      </c>
      <c r="V39" s="212">
        <v>8.7003832462917092E-7</v>
      </c>
      <c r="W39" s="212">
        <v>0</v>
      </c>
      <c r="X39" s="212">
        <v>2.7457260536474955E-6</v>
      </c>
      <c r="Y39" s="212">
        <v>52.321095912391769</v>
      </c>
      <c r="Z39" s="212">
        <v>874.99372991643975</v>
      </c>
      <c r="AA39" s="237" t="s">
        <v>538</v>
      </c>
      <c r="AB39" s="54">
        <v>17</v>
      </c>
      <c r="AC39" s="54">
        <v>3</v>
      </c>
    </row>
    <row r="40" spans="1:29" ht="15" customHeight="1" x14ac:dyDescent="0.2">
      <c r="A40" s="54" t="s">
        <v>404</v>
      </c>
      <c r="B40" s="454" t="s">
        <v>411</v>
      </c>
      <c r="C40" s="457">
        <v>0.05</v>
      </c>
      <c r="D40" s="454" t="s">
        <v>2</v>
      </c>
      <c r="E40" s="455" t="s">
        <v>412</v>
      </c>
      <c r="G40" s="452" t="s">
        <v>411</v>
      </c>
      <c r="H40" s="454" t="s">
        <v>456</v>
      </c>
      <c r="I40" s="459">
        <f>0.05*0.001</f>
        <v>5.0000000000000002E-5</v>
      </c>
      <c r="J40" s="454" t="s">
        <v>2</v>
      </c>
      <c r="M40" s="452" t="s">
        <v>411</v>
      </c>
      <c r="N40" s="454" t="s">
        <v>7</v>
      </c>
      <c r="O40" s="459">
        <f>C40*0.05*0.1</f>
        <v>2.5000000000000006E-4</v>
      </c>
      <c r="P40" s="454" t="s">
        <v>2</v>
      </c>
      <c r="Q40" s="454" t="s">
        <v>562</v>
      </c>
      <c r="T40" s="452" t="s">
        <v>413</v>
      </c>
      <c r="U40" s="326">
        <v>2.2701039332195017E-6</v>
      </c>
      <c r="V40" s="212">
        <v>1.0897838795924354E-6</v>
      </c>
      <c r="W40" s="212">
        <v>1.8624372526347541E-5</v>
      </c>
      <c r="X40" s="212">
        <v>8.9407981060818138E-6</v>
      </c>
      <c r="Y40" s="212">
        <v>907.36586611441669</v>
      </c>
      <c r="Z40" s="212">
        <v>26769.356812364109</v>
      </c>
      <c r="AA40" s="242" t="s">
        <v>538</v>
      </c>
      <c r="AB40" s="54">
        <v>17</v>
      </c>
      <c r="AC40" s="54">
        <v>4</v>
      </c>
    </row>
    <row r="41" spans="1:29" ht="15" customHeight="1" x14ac:dyDescent="0.2">
      <c r="A41" s="54" t="s">
        <v>51</v>
      </c>
      <c r="B41" s="454" t="s">
        <v>82</v>
      </c>
      <c r="C41" s="453">
        <v>0.9</v>
      </c>
      <c r="D41" s="454" t="s">
        <v>2</v>
      </c>
      <c r="E41" s="455" t="s">
        <v>294</v>
      </c>
      <c r="G41" s="454" t="s">
        <v>12</v>
      </c>
      <c r="I41" s="459"/>
      <c r="M41" s="454" t="s">
        <v>82</v>
      </c>
      <c r="N41" s="454" t="s">
        <v>7</v>
      </c>
      <c r="O41" s="459">
        <f>C41*0.1</f>
        <v>9.0000000000000011E-2</v>
      </c>
      <c r="P41" s="454" t="s">
        <v>2</v>
      </c>
      <c r="T41" s="454" t="s">
        <v>302</v>
      </c>
      <c r="U41" s="326">
        <v>0</v>
      </c>
      <c r="V41" s="212">
        <v>0</v>
      </c>
      <c r="W41" s="212">
        <v>0</v>
      </c>
      <c r="X41" s="212">
        <v>0</v>
      </c>
      <c r="Y41" s="212">
        <v>52.575000000000003</v>
      </c>
      <c r="Z41" s="212">
        <v>125.31</v>
      </c>
      <c r="AA41" s="242" t="s">
        <v>539</v>
      </c>
      <c r="AB41" s="54">
        <v>18</v>
      </c>
      <c r="AC41" s="54">
        <v>1</v>
      </c>
    </row>
    <row r="42" spans="1:29" ht="15" customHeight="1" x14ac:dyDescent="0.2">
      <c r="A42" s="54" t="s">
        <v>51</v>
      </c>
      <c r="B42" s="452" t="s">
        <v>83</v>
      </c>
      <c r="C42" s="457">
        <v>0.08</v>
      </c>
      <c r="D42" s="454" t="s">
        <v>2</v>
      </c>
      <c r="E42" s="455" t="s">
        <v>294</v>
      </c>
      <c r="G42" s="452" t="s">
        <v>12</v>
      </c>
      <c r="I42" s="459"/>
      <c r="M42" s="452" t="s">
        <v>83</v>
      </c>
      <c r="N42" s="454" t="s">
        <v>7</v>
      </c>
      <c r="O42" s="459">
        <f>C42*0.1</f>
        <v>8.0000000000000002E-3</v>
      </c>
      <c r="P42" s="454" t="s">
        <v>2</v>
      </c>
      <c r="T42" s="454" t="s">
        <v>300</v>
      </c>
      <c r="U42" s="326">
        <v>0</v>
      </c>
      <c r="V42" s="212">
        <v>0</v>
      </c>
      <c r="W42" s="212">
        <v>0</v>
      </c>
      <c r="X42" s="212">
        <v>0</v>
      </c>
      <c r="Y42" s="212">
        <v>6.0401999999999996</v>
      </c>
      <c r="Z42" s="212">
        <v>126.48</v>
      </c>
      <c r="AA42" s="237" t="s">
        <v>539</v>
      </c>
      <c r="AB42" s="54">
        <v>18</v>
      </c>
      <c r="AC42" s="54">
        <v>2</v>
      </c>
    </row>
    <row r="43" spans="1:29" ht="15" customHeight="1" x14ac:dyDescent="0.2">
      <c r="A43" s="54" t="s">
        <v>51</v>
      </c>
      <c r="B43" s="454" t="s">
        <v>79</v>
      </c>
      <c r="C43" s="454">
        <v>0.02</v>
      </c>
      <c r="D43" s="454" t="s">
        <v>2</v>
      </c>
      <c r="E43" s="455" t="s">
        <v>294</v>
      </c>
      <c r="G43" s="454" t="s">
        <v>12</v>
      </c>
      <c r="I43" s="459"/>
      <c r="K43" s="454" t="s">
        <v>297</v>
      </c>
      <c r="M43" s="454" t="s">
        <v>79</v>
      </c>
      <c r="N43" s="454" t="s">
        <v>7</v>
      </c>
      <c r="O43" s="459">
        <f>C43*0.1</f>
        <v>2E-3</v>
      </c>
      <c r="P43" s="454" t="s">
        <v>2</v>
      </c>
      <c r="T43" s="454" t="s">
        <v>80</v>
      </c>
      <c r="U43" s="326">
        <v>0</v>
      </c>
      <c r="V43" s="212">
        <v>0</v>
      </c>
      <c r="W43" s="212">
        <v>0</v>
      </c>
      <c r="X43" s="212">
        <v>0</v>
      </c>
      <c r="Y43" s="212">
        <v>31</v>
      </c>
      <c r="Z43" s="212">
        <v>73.7</v>
      </c>
      <c r="AA43" s="237" t="s">
        <v>539</v>
      </c>
      <c r="AB43" s="54">
        <v>18</v>
      </c>
      <c r="AC43" s="54">
        <v>3</v>
      </c>
    </row>
    <row r="44" spans="1:29" ht="15" customHeight="1" x14ac:dyDescent="0.2">
      <c r="A44" s="54" t="s">
        <v>51</v>
      </c>
      <c r="B44" s="454" t="s">
        <v>87</v>
      </c>
      <c r="E44" s="455" t="s">
        <v>294</v>
      </c>
      <c r="G44" s="454" t="s">
        <v>12</v>
      </c>
      <c r="I44" s="459"/>
      <c r="K44" s="454" t="s">
        <v>297</v>
      </c>
      <c r="M44" s="454" t="s">
        <v>42</v>
      </c>
      <c r="N44" s="454" t="s">
        <v>7</v>
      </c>
      <c r="O44" s="459">
        <f>C41*0.001*0.1</f>
        <v>9.0000000000000019E-5</v>
      </c>
      <c r="P44" s="454" t="s">
        <v>2</v>
      </c>
      <c r="Q44" s="454" t="s">
        <v>1366</v>
      </c>
      <c r="T44" s="454" t="s">
        <v>93</v>
      </c>
      <c r="U44" s="326">
        <v>0</v>
      </c>
      <c r="V44" s="212">
        <v>0</v>
      </c>
      <c r="W44" s="212">
        <v>0</v>
      </c>
      <c r="X44" s="212">
        <v>0</v>
      </c>
      <c r="Y44" s="212">
        <v>13</v>
      </c>
      <c r="Z44" s="212">
        <v>31.7</v>
      </c>
      <c r="AA44" s="237" t="s">
        <v>539</v>
      </c>
      <c r="AB44" s="54">
        <v>18</v>
      </c>
      <c r="AC44" s="54">
        <v>4</v>
      </c>
    </row>
    <row r="45" spans="1:29" ht="15" customHeight="1" x14ac:dyDescent="0.2">
      <c r="A45" s="54" t="s">
        <v>151</v>
      </c>
      <c r="B45" s="454" t="s">
        <v>402</v>
      </c>
      <c r="C45" s="453">
        <v>1</v>
      </c>
      <c r="D45" s="454" t="s">
        <v>2</v>
      </c>
      <c r="E45" s="460">
        <v>1</v>
      </c>
      <c r="F45" s="460"/>
      <c r="G45" s="454" t="s">
        <v>12</v>
      </c>
      <c r="I45" s="459"/>
      <c r="M45" s="452" t="s">
        <v>402</v>
      </c>
      <c r="N45" s="454" t="s">
        <v>7</v>
      </c>
      <c r="O45" s="459">
        <f t="shared" ref="O45:O55" si="1">C45*0.1</f>
        <v>0.1</v>
      </c>
      <c r="P45" s="454" t="s">
        <v>2</v>
      </c>
      <c r="T45" s="454" t="s">
        <v>403</v>
      </c>
      <c r="U45" s="326">
        <v>0</v>
      </c>
      <c r="V45" s="212">
        <v>0</v>
      </c>
      <c r="W45" s="212">
        <v>0</v>
      </c>
      <c r="X45" s="212">
        <v>0</v>
      </c>
      <c r="Y45" s="212">
        <v>22</v>
      </c>
      <c r="Z45" s="212">
        <v>51.7</v>
      </c>
      <c r="AA45" s="237" t="s">
        <v>539</v>
      </c>
      <c r="AB45" s="54">
        <v>20</v>
      </c>
      <c r="AC45" s="54">
        <v>1</v>
      </c>
    </row>
    <row r="46" spans="1:29" ht="15" customHeight="1" x14ac:dyDescent="0.2">
      <c r="A46" s="54" t="s">
        <v>370</v>
      </c>
      <c r="B46" s="454" t="s">
        <v>376</v>
      </c>
      <c r="C46" s="457">
        <v>0.7</v>
      </c>
      <c r="D46" s="454" t="s">
        <v>2</v>
      </c>
      <c r="E46" s="455" t="s">
        <v>294</v>
      </c>
      <c r="G46" s="454" t="s">
        <v>377</v>
      </c>
      <c r="H46" s="454" t="s">
        <v>456</v>
      </c>
      <c r="I46" s="454">
        <f>0.7*0.001</f>
        <v>6.9999999999999999E-4</v>
      </c>
      <c r="J46" s="454" t="s">
        <v>2</v>
      </c>
      <c r="M46" s="454" t="s">
        <v>377</v>
      </c>
      <c r="N46" s="454" t="s">
        <v>7</v>
      </c>
      <c r="O46" s="459">
        <f t="shared" si="1"/>
        <v>6.9999999999999993E-2</v>
      </c>
      <c r="P46" s="454" t="s">
        <v>2</v>
      </c>
      <c r="T46" s="454" t="s">
        <v>378</v>
      </c>
      <c r="U46" s="326">
        <v>0</v>
      </c>
      <c r="V46" s="212">
        <v>0</v>
      </c>
      <c r="W46" s="212">
        <v>0</v>
      </c>
      <c r="X46" s="212">
        <v>0</v>
      </c>
      <c r="Y46" s="212">
        <v>87</v>
      </c>
      <c r="Z46" s="212">
        <v>2740</v>
      </c>
      <c r="AA46" s="237" t="s">
        <v>539</v>
      </c>
      <c r="AB46" s="54">
        <v>21</v>
      </c>
      <c r="AC46" s="54">
        <v>1</v>
      </c>
    </row>
    <row r="47" spans="1:29" ht="15" customHeight="1" x14ac:dyDescent="0.2">
      <c r="A47" s="54" t="s">
        <v>370</v>
      </c>
      <c r="B47" s="454" t="s">
        <v>371</v>
      </c>
      <c r="C47" s="457">
        <v>0.15</v>
      </c>
      <c r="D47" s="454" t="s">
        <v>2</v>
      </c>
      <c r="E47" s="455" t="s">
        <v>294</v>
      </c>
      <c r="G47" s="454" t="s">
        <v>371</v>
      </c>
      <c r="H47" s="454" t="s">
        <v>456</v>
      </c>
      <c r="I47" s="454">
        <f>0.15*0.001</f>
        <v>1.4999999999999999E-4</v>
      </c>
      <c r="J47" s="454" t="s">
        <v>2</v>
      </c>
      <c r="M47" s="454" t="s">
        <v>371</v>
      </c>
      <c r="N47" s="454" t="s">
        <v>7</v>
      </c>
      <c r="O47" s="459">
        <f t="shared" si="1"/>
        <v>1.4999999999999999E-2</v>
      </c>
      <c r="P47" s="454" t="s">
        <v>2</v>
      </c>
      <c r="T47" s="454" t="s">
        <v>372</v>
      </c>
      <c r="U47" s="326">
        <v>0</v>
      </c>
      <c r="V47" s="212">
        <v>0</v>
      </c>
      <c r="W47" s="212">
        <v>0</v>
      </c>
      <c r="X47" s="212">
        <v>0</v>
      </c>
      <c r="Y47" s="212">
        <v>1.5026837363888605</v>
      </c>
      <c r="Z47" s="212">
        <v>72.122957517746116</v>
      </c>
      <c r="AA47" s="237" t="s">
        <v>537</v>
      </c>
      <c r="AB47" s="54">
        <v>21</v>
      </c>
      <c r="AC47" s="54">
        <v>2</v>
      </c>
    </row>
    <row r="48" spans="1:29" ht="15" customHeight="1" x14ac:dyDescent="0.2">
      <c r="A48" s="54" t="s">
        <v>370</v>
      </c>
      <c r="B48" s="454" t="s">
        <v>374</v>
      </c>
      <c r="C48" s="457">
        <v>0.1</v>
      </c>
      <c r="D48" s="454" t="s">
        <v>2</v>
      </c>
      <c r="E48" s="455" t="s">
        <v>294</v>
      </c>
      <c r="G48" s="454" t="s">
        <v>374</v>
      </c>
      <c r="H48" s="454" t="s">
        <v>456</v>
      </c>
      <c r="I48" s="454">
        <f>0.1*0.001</f>
        <v>1E-4</v>
      </c>
      <c r="J48" s="454" t="s">
        <v>2</v>
      </c>
      <c r="M48" s="454" t="s">
        <v>374</v>
      </c>
      <c r="N48" s="454" t="s">
        <v>7</v>
      </c>
      <c r="O48" s="459">
        <f t="shared" si="1"/>
        <v>1.0000000000000002E-2</v>
      </c>
      <c r="P48" s="454" t="s">
        <v>2</v>
      </c>
      <c r="T48" s="454" t="s">
        <v>375</v>
      </c>
      <c r="U48" s="326">
        <v>1.0125738980457451E-5</v>
      </c>
      <c r="V48" s="212">
        <v>2.402763568235903E-7</v>
      </c>
      <c r="W48" s="212">
        <v>3.0394472430218979E-5</v>
      </c>
      <c r="X48" s="212">
        <v>7.2123853056087206E-7</v>
      </c>
      <c r="Y48" s="212">
        <v>299.02729835072751</v>
      </c>
      <c r="Z48" s="212">
        <v>4766.6238513685685</v>
      </c>
      <c r="AA48" s="237" t="s">
        <v>538</v>
      </c>
      <c r="AB48" s="54">
        <v>21</v>
      </c>
      <c r="AC48" s="54">
        <v>3</v>
      </c>
    </row>
    <row r="49" spans="1:29" ht="15" customHeight="1" x14ac:dyDescent="0.2">
      <c r="A49" s="54" t="s">
        <v>370</v>
      </c>
      <c r="B49" s="454" t="s">
        <v>373</v>
      </c>
      <c r="C49" s="457">
        <v>0.05</v>
      </c>
      <c r="D49" s="454" t="s">
        <v>2</v>
      </c>
      <c r="E49" s="455" t="s">
        <v>294</v>
      </c>
      <c r="G49" s="454" t="s">
        <v>373</v>
      </c>
      <c r="H49" s="454" t="s">
        <v>456</v>
      </c>
      <c r="I49" s="454">
        <f>0.05*0.001</f>
        <v>5.0000000000000002E-5</v>
      </c>
      <c r="J49" s="454" t="s">
        <v>2</v>
      </c>
      <c r="M49" s="454" t="s">
        <v>373</v>
      </c>
      <c r="N49" s="454" t="s">
        <v>7</v>
      </c>
      <c r="O49" s="459">
        <f t="shared" si="1"/>
        <v>5.000000000000001E-3</v>
      </c>
      <c r="P49" s="454" t="s">
        <v>2</v>
      </c>
      <c r="T49" s="454" t="s">
        <v>521</v>
      </c>
      <c r="U49" s="326">
        <v>0</v>
      </c>
      <c r="V49" s="212">
        <v>2.0520474093865351E-7</v>
      </c>
      <c r="W49" s="212">
        <v>0</v>
      </c>
      <c r="X49" s="212">
        <v>1.1065026602356948E-5</v>
      </c>
      <c r="Y49" s="212">
        <v>1067.7302200139782</v>
      </c>
      <c r="Z49" s="212">
        <v>79444.76315026985</v>
      </c>
      <c r="AA49" s="237" t="s">
        <v>538</v>
      </c>
      <c r="AB49" s="54">
        <v>21</v>
      </c>
      <c r="AC49" s="54">
        <v>4</v>
      </c>
    </row>
    <row r="50" spans="1:29" ht="15" customHeight="1" x14ac:dyDescent="0.2">
      <c r="A50" s="50" t="s">
        <v>1380</v>
      </c>
      <c r="B50" s="454" t="s">
        <v>311</v>
      </c>
      <c r="C50" s="454">
        <v>0.35</v>
      </c>
      <c r="D50" s="454" t="s">
        <v>2</v>
      </c>
      <c r="E50" s="455" t="s">
        <v>294</v>
      </c>
      <c r="G50" s="454" t="s">
        <v>311</v>
      </c>
      <c r="H50" s="454" t="s">
        <v>456</v>
      </c>
      <c r="I50" s="459">
        <f>0.35*0.001</f>
        <v>3.5E-4</v>
      </c>
      <c r="J50" s="454" t="s">
        <v>2</v>
      </c>
      <c r="M50" s="454" t="s">
        <v>311</v>
      </c>
      <c r="N50" s="454" t="s">
        <v>7</v>
      </c>
      <c r="O50" s="459">
        <f t="shared" si="1"/>
        <v>3.4999999999999996E-2</v>
      </c>
      <c r="P50" s="454" t="s">
        <v>2</v>
      </c>
      <c r="T50" s="454" t="s">
        <v>312</v>
      </c>
      <c r="U50" s="326">
        <v>0</v>
      </c>
      <c r="V50" s="212">
        <v>0</v>
      </c>
      <c r="W50" s="212">
        <v>0</v>
      </c>
      <c r="X50" s="212">
        <v>0</v>
      </c>
      <c r="Y50" s="212">
        <v>0.5</v>
      </c>
      <c r="Z50" s="212">
        <v>39.5</v>
      </c>
      <c r="AA50" s="237" t="s">
        <v>539</v>
      </c>
      <c r="AB50" s="54">
        <v>22</v>
      </c>
      <c r="AC50" s="54">
        <v>1</v>
      </c>
    </row>
    <row r="51" spans="1:29" ht="15" customHeight="1" x14ac:dyDescent="0.2">
      <c r="A51" s="50" t="s">
        <v>1380</v>
      </c>
      <c r="B51" s="452" t="s">
        <v>313</v>
      </c>
      <c r="C51" s="457">
        <v>0.05</v>
      </c>
      <c r="D51" s="454" t="s">
        <v>2</v>
      </c>
      <c r="E51" s="455" t="s">
        <v>294</v>
      </c>
      <c r="G51" s="452" t="s">
        <v>313</v>
      </c>
      <c r="H51" s="454" t="s">
        <v>456</v>
      </c>
      <c r="I51" s="459">
        <f>0.05*0.001</f>
        <v>5.0000000000000002E-5</v>
      </c>
      <c r="J51" s="454" t="s">
        <v>2</v>
      </c>
      <c r="M51" s="452" t="s">
        <v>313</v>
      </c>
      <c r="N51" s="454" t="s">
        <v>7</v>
      </c>
      <c r="O51" s="459">
        <f t="shared" si="1"/>
        <v>5.000000000000001E-3</v>
      </c>
      <c r="P51" s="454" t="s">
        <v>2</v>
      </c>
      <c r="T51" s="456" t="s">
        <v>314</v>
      </c>
      <c r="U51" s="326">
        <v>0</v>
      </c>
      <c r="V51" s="212">
        <v>1.1135698593690228E-7</v>
      </c>
      <c r="W51" s="212">
        <v>0</v>
      </c>
      <c r="X51" s="212">
        <v>5.8568889081207134E-7</v>
      </c>
      <c r="Y51" s="212">
        <v>9807.1010123430624</v>
      </c>
      <c r="Z51" s="212">
        <v>478403.0544103132</v>
      </c>
      <c r="AA51" s="237" t="s">
        <v>538</v>
      </c>
      <c r="AB51" s="54">
        <v>22</v>
      </c>
      <c r="AC51" s="54">
        <v>2</v>
      </c>
    </row>
    <row r="52" spans="1:29" ht="15" customHeight="1" x14ac:dyDescent="0.2">
      <c r="A52" s="50" t="s">
        <v>1380</v>
      </c>
      <c r="B52" s="452" t="s">
        <v>309</v>
      </c>
      <c r="C52" s="453">
        <v>0.1</v>
      </c>
      <c r="D52" s="454" t="s">
        <v>2</v>
      </c>
      <c r="E52" s="455" t="s">
        <v>294</v>
      </c>
      <c r="G52" s="452" t="s">
        <v>309</v>
      </c>
      <c r="H52" s="454" t="s">
        <v>456</v>
      </c>
      <c r="I52" s="459">
        <f>0.1*0.001</f>
        <v>1E-4</v>
      </c>
      <c r="J52" s="454" t="s">
        <v>2</v>
      </c>
      <c r="M52" s="452" t="s">
        <v>309</v>
      </c>
      <c r="N52" s="454" t="s">
        <v>7</v>
      </c>
      <c r="O52" s="459">
        <f t="shared" si="1"/>
        <v>1.0000000000000002E-2</v>
      </c>
      <c r="P52" s="454" t="s">
        <v>2</v>
      </c>
      <c r="T52" s="454" t="s">
        <v>310</v>
      </c>
      <c r="U52" s="326">
        <v>0</v>
      </c>
      <c r="V52" s="212">
        <v>0</v>
      </c>
      <c r="W52" s="212">
        <v>0</v>
      </c>
      <c r="X52" s="212">
        <v>0</v>
      </c>
      <c r="Y52" s="212">
        <v>1.1999999999999999E-3</v>
      </c>
      <c r="Z52" s="212">
        <v>165</v>
      </c>
      <c r="AA52" s="237" t="s">
        <v>539</v>
      </c>
      <c r="AB52" s="54">
        <v>22</v>
      </c>
      <c r="AC52" s="54">
        <v>3</v>
      </c>
    </row>
    <row r="53" spans="1:29" ht="15" customHeight="1" x14ac:dyDescent="0.2">
      <c r="A53" s="54" t="s">
        <v>170</v>
      </c>
      <c r="B53" s="454" t="s">
        <v>320</v>
      </c>
      <c r="C53" s="454">
        <v>0.5</v>
      </c>
      <c r="D53" s="454" t="s">
        <v>2</v>
      </c>
      <c r="E53" s="455" t="s">
        <v>294</v>
      </c>
      <c r="G53" s="454" t="s">
        <v>320</v>
      </c>
      <c r="H53" s="454" t="s">
        <v>456</v>
      </c>
      <c r="I53" s="459">
        <f>0.5*0.001</f>
        <v>5.0000000000000001E-4</v>
      </c>
      <c r="J53" s="454" t="s">
        <v>2</v>
      </c>
      <c r="M53" s="454" t="s">
        <v>320</v>
      </c>
      <c r="N53" s="454" t="s">
        <v>7</v>
      </c>
      <c r="O53" s="459">
        <f t="shared" si="1"/>
        <v>0.05</v>
      </c>
      <c r="P53" s="454" t="s">
        <v>2</v>
      </c>
      <c r="T53" s="454" t="s">
        <v>321</v>
      </c>
      <c r="U53" s="326">
        <v>0</v>
      </c>
      <c r="V53" s="212">
        <v>0</v>
      </c>
      <c r="W53" s="212">
        <v>0</v>
      </c>
      <c r="X53" s="212">
        <v>0</v>
      </c>
      <c r="Y53" s="212">
        <v>2.8999999999999998E-3</v>
      </c>
      <c r="Z53" s="212">
        <v>194</v>
      </c>
      <c r="AA53" s="237" t="s">
        <v>539</v>
      </c>
      <c r="AB53" s="54">
        <v>23</v>
      </c>
      <c r="AC53" s="54">
        <v>1</v>
      </c>
    </row>
    <row r="54" spans="1:29" ht="15" customHeight="1" x14ac:dyDescent="0.2">
      <c r="A54" s="54" t="s">
        <v>170</v>
      </c>
      <c r="B54" s="452" t="s">
        <v>318</v>
      </c>
      <c r="C54" s="453">
        <v>0.1</v>
      </c>
      <c r="D54" s="454" t="s">
        <v>2</v>
      </c>
      <c r="E54" s="455" t="s">
        <v>294</v>
      </c>
      <c r="G54" s="452" t="s">
        <v>318</v>
      </c>
      <c r="H54" s="454" t="s">
        <v>456</v>
      </c>
      <c r="I54" s="459">
        <f>0.1*0.001</f>
        <v>1E-4</v>
      </c>
      <c r="J54" s="454" t="s">
        <v>2</v>
      </c>
      <c r="M54" s="452" t="s">
        <v>318</v>
      </c>
      <c r="N54" s="454" t="s">
        <v>7</v>
      </c>
      <c r="O54" s="459">
        <f t="shared" si="1"/>
        <v>1.0000000000000002E-2</v>
      </c>
      <c r="P54" s="454" t="s">
        <v>2</v>
      </c>
      <c r="T54" s="454" t="s">
        <v>319</v>
      </c>
      <c r="U54" s="326">
        <v>0</v>
      </c>
      <c r="V54" s="212">
        <v>0</v>
      </c>
      <c r="W54" s="212">
        <v>0</v>
      </c>
      <c r="X54" s="212">
        <v>0</v>
      </c>
      <c r="Y54" s="212">
        <v>0.16</v>
      </c>
      <c r="Z54" s="212">
        <v>16.600000000000001</v>
      </c>
      <c r="AA54" s="237" t="s">
        <v>539</v>
      </c>
      <c r="AB54" s="54">
        <v>23</v>
      </c>
      <c r="AC54" s="54">
        <v>2</v>
      </c>
    </row>
    <row r="55" spans="1:29" ht="15" customHeight="1" x14ac:dyDescent="0.2">
      <c r="A55" s="54" t="s">
        <v>170</v>
      </c>
      <c r="B55" s="454" t="s">
        <v>315</v>
      </c>
      <c r="C55" s="454">
        <v>0.4</v>
      </c>
      <c r="D55" s="454" t="s">
        <v>2</v>
      </c>
      <c r="E55" s="455" t="s">
        <v>316</v>
      </c>
      <c r="G55" s="454" t="s">
        <v>315</v>
      </c>
      <c r="H55" s="454" t="s">
        <v>456</v>
      </c>
      <c r="I55" s="459">
        <f>0.4*0.001</f>
        <v>4.0000000000000002E-4</v>
      </c>
      <c r="J55" s="454" t="s">
        <v>2</v>
      </c>
      <c r="M55" s="454" t="s">
        <v>315</v>
      </c>
      <c r="N55" s="454" t="s">
        <v>7</v>
      </c>
      <c r="O55" s="459">
        <f t="shared" si="1"/>
        <v>4.0000000000000008E-2</v>
      </c>
      <c r="P55" s="454" t="s">
        <v>2</v>
      </c>
      <c r="T55" s="454" t="s">
        <v>317</v>
      </c>
      <c r="U55" s="326">
        <v>0</v>
      </c>
      <c r="V55" s="212">
        <v>0</v>
      </c>
      <c r="W55" s="212">
        <v>0</v>
      </c>
      <c r="X55" s="212">
        <v>0</v>
      </c>
      <c r="Y55" s="212">
        <v>11.002755396890556</v>
      </c>
      <c r="Z55" s="212">
        <v>992.92073813061654</v>
      </c>
      <c r="AA55" s="237" t="s">
        <v>537</v>
      </c>
      <c r="AB55" s="54">
        <v>23</v>
      </c>
      <c r="AC55" s="54">
        <v>3</v>
      </c>
    </row>
    <row r="56" spans="1:29" ht="15" customHeight="1" x14ac:dyDescent="0.2">
      <c r="A56" s="54" t="s">
        <v>379</v>
      </c>
      <c r="B56" s="454" t="s">
        <v>529</v>
      </c>
      <c r="C56" s="454">
        <v>0.75</v>
      </c>
      <c r="D56" s="454" t="s">
        <v>2</v>
      </c>
      <c r="E56" s="455" t="s">
        <v>294</v>
      </c>
      <c r="G56" s="452" t="s">
        <v>380</v>
      </c>
      <c r="H56" s="454" t="s">
        <v>456</v>
      </c>
      <c r="I56" s="454">
        <f>0.75*0.001</f>
        <v>7.5000000000000002E-4</v>
      </c>
      <c r="J56" s="454" t="s">
        <v>2</v>
      </c>
      <c r="M56" s="452" t="s">
        <v>380</v>
      </c>
      <c r="N56" s="454" t="s">
        <v>7</v>
      </c>
      <c r="O56" s="459">
        <f>C56*0.05*0.1</f>
        <v>3.7500000000000007E-3</v>
      </c>
      <c r="P56" s="454" t="s">
        <v>2</v>
      </c>
      <c r="Q56" s="454" t="s">
        <v>562</v>
      </c>
      <c r="T56" s="454" t="s">
        <v>528</v>
      </c>
      <c r="U56" s="326">
        <v>2.9376617915978413E-5</v>
      </c>
      <c r="V56" s="212">
        <v>1.5549232836361298E-6</v>
      </c>
      <c r="W56" s="212">
        <v>1.297252698814143E-4</v>
      </c>
      <c r="X56" s="212">
        <v>6.8664419842856388E-6</v>
      </c>
      <c r="Y56" s="212">
        <v>592.97072899355226</v>
      </c>
      <c r="Z56" s="212">
        <v>81.853308412925216</v>
      </c>
      <c r="AA56" s="242" t="s">
        <v>538</v>
      </c>
      <c r="AB56" s="54">
        <v>24</v>
      </c>
      <c r="AC56" s="54">
        <v>1</v>
      </c>
    </row>
    <row r="57" spans="1:29" ht="15" customHeight="1" x14ac:dyDescent="0.2">
      <c r="A57" s="50" t="s">
        <v>1381</v>
      </c>
      <c r="B57" s="454" t="s">
        <v>325</v>
      </c>
      <c r="C57" s="454">
        <v>0.2</v>
      </c>
      <c r="D57" s="454" t="s">
        <v>2</v>
      </c>
      <c r="E57" s="455" t="s">
        <v>294</v>
      </c>
      <c r="G57" s="454" t="s">
        <v>325</v>
      </c>
      <c r="H57" s="454" t="s">
        <v>456</v>
      </c>
      <c r="I57" s="459">
        <f>0.2*0.001</f>
        <v>2.0000000000000001E-4</v>
      </c>
      <c r="J57" s="454" t="s">
        <v>2</v>
      </c>
      <c r="M57" s="454" t="s">
        <v>325</v>
      </c>
      <c r="N57" s="454" t="s">
        <v>7</v>
      </c>
      <c r="O57" s="459">
        <f>C57*0.1</f>
        <v>2.0000000000000004E-2</v>
      </c>
      <c r="P57" s="454" t="s">
        <v>2</v>
      </c>
      <c r="T57" s="454" t="s">
        <v>326</v>
      </c>
      <c r="U57" s="326">
        <v>0</v>
      </c>
      <c r="V57" s="212">
        <v>0</v>
      </c>
      <c r="W57" s="212">
        <v>0</v>
      </c>
      <c r="X57" s="212">
        <v>0</v>
      </c>
      <c r="Y57" s="212">
        <v>1.1682046242533708</v>
      </c>
      <c r="Z57" s="212">
        <v>20.47656722055984</v>
      </c>
      <c r="AA57" s="237" t="s">
        <v>537</v>
      </c>
      <c r="AB57" s="54">
        <v>25</v>
      </c>
      <c r="AC57" s="54">
        <v>1</v>
      </c>
    </row>
    <row r="58" spans="1:29" ht="15" customHeight="1" x14ac:dyDescent="0.2">
      <c r="A58" s="50" t="s">
        <v>1381</v>
      </c>
      <c r="B58" s="454" t="s">
        <v>318</v>
      </c>
      <c r="C58" s="453">
        <v>0.1</v>
      </c>
      <c r="D58" s="454" t="s">
        <v>2</v>
      </c>
      <c r="E58" s="455" t="s">
        <v>294</v>
      </c>
      <c r="G58" s="452" t="s">
        <v>318</v>
      </c>
      <c r="H58" s="454" t="s">
        <v>456</v>
      </c>
      <c r="I58" s="459">
        <f>0.1*0.001</f>
        <v>1E-4</v>
      </c>
      <c r="J58" s="454" t="s">
        <v>2</v>
      </c>
      <c r="M58" s="452" t="s">
        <v>318</v>
      </c>
      <c r="N58" s="454" t="s">
        <v>7</v>
      </c>
      <c r="O58" s="459">
        <f>C58*0.1</f>
        <v>1.0000000000000002E-2</v>
      </c>
      <c r="P58" s="454" t="s">
        <v>2</v>
      </c>
      <c r="T58" s="454" t="s">
        <v>319</v>
      </c>
      <c r="U58" s="326">
        <v>0</v>
      </c>
      <c r="V58" s="212">
        <v>0</v>
      </c>
      <c r="W58" s="212">
        <v>0</v>
      </c>
      <c r="X58" s="212">
        <v>0</v>
      </c>
      <c r="Y58" s="212">
        <v>0.16</v>
      </c>
      <c r="Z58" s="212">
        <v>16.600000000000001</v>
      </c>
      <c r="AA58" s="237" t="s">
        <v>539</v>
      </c>
      <c r="AB58" s="54">
        <v>25</v>
      </c>
      <c r="AC58" s="54">
        <v>2</v>
      </c>
    </row>
    <row r="59" spans="1:29" ht="15" customHeight="1" x14ac:dyDescent="0.2">
      <c r="A59" s="54" t="s">
        <v>50</v>
      </c>
      <c r="B59" s="454" t="s">
        <v>41</v>
      </c>
      <c r="C59" s="453">
        <v>1</v>
      </c>
      <c r="D59" s="454" t="s">
        <v>2</v>
      </c>
      <c r="E59" s="460">
        <v>1</v>
      </c>
      <c r="F59" s="460"/>
      <c r="G59" s="454" t="s">
        <v>41</v>
      </c>
      <c r="H59" s="454" t="s">
        <v>456</v>
      </c>
      <c r="I59" s="459">
        <f>0.001*6</f>
        <v>6.0000000000000001E-3</v>
      </c>
      <c r="J59" s="454" t="s">
        <v>2</v>
      </c>
      <c r="K59" s="454" t="s">
        <v>307</v>
      </c>
      <c r="M59" s="454" t="s">
        <v>41</v>
      </c>
      <c r="N59" s="454" t="s">
        <v>7</v>
      </c>
      <c r="O59" s="459">
        <f>C59*0.05*0.1</f>
        <v>5.000000000000001E-3</v>
      </c>
      <c r="P59" s="454" t="s">
        <v>2</v>
      </c>
      <c r="Q59" s="454" t="s">
        <v>562</v>
      </c>
      <c r="T59" s="454" t="s">
        <v>63</v>
      </c>
      <c r="U59" s="326">
        <v>0</v>
      </c>
      <c r="V59" s="212">
        <v>0</v>
      </c>
      <c r="W59" s="212">
        <v>0</v>
      </c>
      <c r="X59" s="212">
        <v>0</v>
      </c>
      <c r="Y59" s="212">
        <v>8.8772465275976433</v>
      </c>
      <c r="Z59" s="212">
        <v>208.6033035913627</v>
      </c>
      <c r="AA59" s="237" t="s">
        <v>537</v>
      </c>
      <c r="AB59" s="54">
        <v>26</v>
      </c>
      <c r="AC59" s="54">
        <v>1</v>
      </c>
    </row>
    <row r="60" spans="1:29" ht="15" customHeight="1" x14ac:dyDescent="0.2">
      <c r="A60" s="54" t="s">
        <v>86</v>
      </c>
      <c r="B60" s="454" t="s">
        <v>74</v>
      </c>
      <c r="C60" s="453">
        <v>1</v>
      </c>
      <c r="D60" s="454" t="s">
        <v>2</v>
      </c>
      <c r="E60" s="460">
        <v>1</v>
      </c>
      <c r="F60" s="460"/>
      <c r="G60" s="454" t="s">
        <v>12</v>
      </c>
      <c r="I60" s="459"/>
      <c r="M60" s="454" t="s">
        <v>74</v>
      </c>
      <c r="N60" s="454" t="s">
        <v>7</v>
      </c>
      <c r="O60" s="459">
        <f>C60*0.1</f>
        <v>0.1</v>
      </c>
      <c r="P60" s="454" t="s">
        <v>2</v>
      </c>
      <c r="T60" s="454" t="s">
        <v>97</v>
      </c>
      <c r="U60" s="326">
        <v>0</v>
      </c>
      <c r="V60" s="212">
        <v>0</v>
      </c>
      <c r="W60" s="212">
        <v>0</v>
      </c>
      <c r="X60" s="212">
        <v>0</v>
      </c>
      <c r="Y60" s="212">
        <v>2.8</v>
      </c>
      <c r="Z60" s="212">
        <v>6.75</v>
      </c>
      <c r="AA60" s="237" t="s">
        <v>539</v>
      </c>
      <c r="AB60" s="54">
        <v>27</v>
      </c>
      <c r="AC60" s="54">
        <v>1</v>
      </c>
    </row>
    <row r="61" spans="1:29" ht="15" customHeight="1" x14ac:dyDescent="0.2">
      <c r="A61" s="54" t="s">
        <v>428</v>
      </c>
      <c r="B61" s="454" t="s">
        <v>4</v>
      </c>
      <c r="C61" s="453">
        <v>1</v>
      </c>
      <c r="D61" s="454" t="s">
        <v>2</v>
      </c>
      <c r="E61" s="460">
        <v>1</v>
      </c>
      <c r="F61" s="460"/>
      <c r="G61" s="454" t="s">
        <v>4</v>
      </c>
      <c r="H61" s="454" t="s">
        <v>456</v>
      </c>
      <c r="I61" s="459">
        <v>1E-3</v>
      </c>
      <c r="J61" s="454" t="s">
        <v>2</v>
      </c>
      <c r="M61" s="454" t="s">
        <v>4</v>
      </c>
      <c r="N61" s="454" t="s">
        <v>7</v>
      </c>
      <c r="O61" s="459">
        <f>C61*0.1</f>
        <v>0.1</v>
      </c>
      <c r="P61" s="454" t="s">
        <v>2</v>
      </c>
      <c r="T61" s="454" t="s">
        <v>22</v>
      </c>
      <c r="U61" s="326">
        <v>0</v>
      </c>
      <c r="V61" s="212">
        <v>0</v>
      </c>
      <c r="W61" s="212">
        <v>0</v>
      </c>
      <c r="X61" s="212">
        <v>0</v>
      </c>
      <c r="Y61" s="212">
        <v>2.980675662392851</v>
      </c>
      <c r="Z61" s="212">
        <v>49.950463101898926</v>
      </c>
      <c r="AA61" s="237" t="s">
        <v>537</v>
      </c>
      <c r="AB61" s="54">
        <v>28</v>
      </c>
      <c r="AC61" s="54">
        <v>1</v>
      </c>
    </row>
    <row r="62" spans="1:29" ht="15" customHeight="1" x14ac:dyDescent="0.2">
      <c r="A62" s="54" t="s">
        <v>417</v>
      </c>
      <c r="B62" s="454" t="s">
        <v>418</v>
      </c>
      <c r="C62" s="453">
        <v>1</v>
      </c>
      <c r="D62" s="454" t="s">
        <v>2</v>
      </c>
      <c r="E62" s="455" t="s">
        <v>1377</v>
      </c>
      <c r="G62" s="455" t="s">
        <v>1377</v>
      </c>
      <c r="M62" s="455" t="s">
        <v>1377</v>
      </c>
      <c r="T62" s="455" t="s">
        <v>1377</v>
      </c>
      <c r="U62" s="326" t="s">
        <v>1377</v>
      </c>
      <c r="V62" s="212"/>
      <c r="W62" s="212"/>
      <c r="X62" s="212"/>
      <c r="Y62" s="212"/>
      <c r="Z62" s="212"/>
      <c r="AA62" s="237"/>
      <c r="AB62" s="54">
        <v>29</v>
      </c>
      <c r="AC62" s="54">
        <v>1</v>
      </c>
    </row>
    <row r="63" spans="1:29" ht="15" customHeight="1" x14ac:dyDescent="0.2">
      <c r="A63" s="54" t="s">
        <v>366</v>
      </c>
      <c r="B63" s="454" t="s">
        <v>367</v>
      </c>
      <c r="C63" s="453">
        <v>1</v>
      </c>
      <c r="D63" s="454" t="s">
        <v>2</v>
      </c>
      <c r="E63" s="460">
        <v>1</v>
      </c>
      <c r="F63" s="460"/>
      <c r="G63" s="454" t="s">
        <v>12</v>
      </c>
      <c r="K63" s="454" t="s">
        <v>1383</v>
      </c>
      <c r="M63" s="454" t="s">
        <v>368</v>
      </c>
      <c r="N63" s="454" t="s">
        <v>7</v>
      </c>
      <c r="O63" s="454">
        <f>C63*0.1*0.05</f>
        <v>5.000000000000001E-3</v>
      </c>
      <c r="P63" s="454" t="s">
        <v>2</v>
      </c>
      <c r="Q63" s="454" t="s">
        <v>562</v>
      </c>
      <c r="T63" s="454" t="s">
        <v>369</v>
      </c>
      <c r="U63" s="326">
        <v>0</v>
      </c>
      <c r="V63" s="212">
        <v>0</v>
      </c>
      <c r="W63" s="212">
        <v>0</v>
      </c>
      <c r="X63" s="212">
        <v>0</v>
      </c>
      <c r="Y63" s="212">
        <v>1.9000000000000001E-5</v>
      </c>
      <c r="Z63" s="212">
        <v>12.9</v>
      </c>
      <c r="AA63" s="237" t="s">
        <v>539</v>
      </c>
      <c r="AB63" s="54">
        <v>30</v>
      </c>
      <c r="AC63" s="54">
        <v>1</v>
      </c>
    </row>
    <row r="64" spans="1:29" ht="15" customHeight="1" x14ac:dyDescent="0.2">
      <c r="A64" s="54" t="s">
        <v>1045</v>
      </c>
      <c r="B64" s="454" t="s">
        <v>360</v>
      </c>
      <c r="C64" s="454">
        <v>0.5</v>
      </c>
      <c r="D64" s="454" t="s">
        <v>2</v>
      </c>
      <c r="E64" s="462" t="s">
        <v>361</v>
      </c>
      <c r="F64" s="462"/>
      <c r="G64" s="454" t="s">
        <v>12</v>
      </c>
      <c r="I64" s="459"/>
      <c r="K64" s="454" t="s">
        <v>362</v>
      </c>
      <c r="M64" s="454" t="s">
        <v>360</v>
      </c>
      <c r="N64" s="454" t="s">
        <v>7</v>
      </c>
      <c r="O64" s="459">
        <f>C64*0.05*0.1</f>
        <v>2.5000000000000005E-3</v>
      </c>
      <c r="P64" s="454" t="s">
        <v>2</v>
      </c>
      <c r="Q64" s="454" t="s">
        <v>562</v>
      </c>
      <c r="T64" s="452" t="s">
        <v>363</v>
      </c>
      <c r="U64" s="326">
        <v>0</v>
      </c>
      <c r="V64" s="212">
        <v>4.8150971100649583E-7</v>
      </c>
      <c r="W64" s="212">
        <v>0</v>
      </c>
      <c r="X64" s="212">
        <v>3.4017420676238008E-5</v>
      </c>
      <c r="Y64" s="212">
        <v>0.21984397801517921</v>
      </c>
      <c r="Z64" s="212">
        <v>16.35619356945876</v>
      </c>
      <c r="AA64" s="237" t="s">
        <v>538</v>
      </c>
      <c r="AB64" s="54">
        <v>31</v>
      </c>
      <c r="AC64" s="54">
        <v>1</v>
      </c>
    </row>
    <row r="65" spans="1:29" ht="15" customHeight="1" x14ac:dyDescent="0.2">
      <c r="A65" s="54" t="s">
        <v>1045</v>
      </c>
      <c r="B65" s="454" t="s">
        <v>364</v>
      </c>
      <c r="C65" s="457">
        <v>0.03</v>
      </c>
      <c r="D65" s="454" t="s">
        <v>2</v>
      </c>
      <c r="E65" s="462" t="s">
        <v>294</v>
      </c>
      <c r="F65" s="462"/>
      <c r="G65" s="452" t="s">
        <v>364</v>
      </c>
      <c r="H65" s="454" t="s">
        <v>456</v>
      </c>
      <c r="I65" s="459">
        <f>0.03*0.001</f>
        <v>3.0000000000000001E-5</v>
      </c>
      <c r="J65" s="454" t="s">
        <v>2</v>
      </c>
      <c r="M65" s="452" t="s">
        <v>364</v>
      </c>
      <c r="N65" s="454" t="s">
        <v>7</v>
      </c>
      <c r="O65" s="459">
        <f>C65*0.1</f>
        <v>3.0000000000000001E-3</v>
      </c>
      <c r="T65" s="454" t="s">
        <v>365</v>
      </c>
      <c r="U65" s="326">
        <v>0</v>
      </c>
      <c r="V65" s="212">
        <v>0</v>
      </c>
      <c r="W65" s="212">
        <v>0</v>
      </c>
      <c r="X65" s="212">
        <v>0</v>
      </c>
      <c r="Y65" s="212">
        <v>3.6114752306981606</v>
      </c>
      <c r="Z65" s="212">
        <v>293.57375419425159</v>
      </c>
      <c r="AA65" s="237" t="s">
        <v>537</v>
      </c>
      <c r="AB65" s="54">
        <v>31</v>
      </c>
      <c r="AC65" s="54">
        <v>2</v>
      </c>
    </row>
    <row r="66" spans="1:29" ht="15" customHeight="1" x14ac:dyDescent="0.2">
      <c r="A66" s="54" t="s">
        <v>1045</v>
      </c>
      <c r="B66" s="454" t="s">
        <v>352</v>
      </c>
      <c r="E66" s="462" t="s">
        <v>353</v>
      </c>
      <c r="F66" s="462"/>
      <c r="G66" s="454" t="s">
        <v>354</v>
      </c>
      <c r="H66" s="454" t="s">
        <v>456</v>
      </c>
      <c r="I66" s="459">
        <f>0.005*0.01</f>
        <v>5.0000000000000002E-5</v>
      </c>
      <c r="J66" s="454" t="s">
        <v>2</v>
      </c>
      <c r="M66" s="454" t="s">
        <v>354</v>
      </c>
      <c r="N66" s="454" t="s">
        <v>7</v>
      </c>
      <c r="O66" s="459">
        <f>C64*0.01*0.1</f>
        <v>5.0000000000000001E-4</v>
      </c>
      <c r="P66" s="454" t="s">
        <v>2</v>
      </c>
      <c r="Q66" s="455" t="s">
        <v>1062</v>
      </c>
      <c r="T66" s="454" t="s">
        <v>355</v>
      </c>
      <c r="U66" s="326">
        <v>0</v>
      </c>
      <c r="V66" s="212">
        <v>5.8729527284859051E-7</v>
      </c>
      <c r="W66" s="212">
        <v>0</v>
      </c>
      <c r="X66" s="212">
        <v>4.9841317466958876E-7</v>
      </c>
      <c r="Y66" s="212">
        <v>0.72430805120024888</v>
      </c>
      <c r="Z66" s="212">
        <v>4.3581145649604585</v>
      </c>
      <c r="AA66" s="237" t="s">
        <v>538</v>
      </c>
      <c r="AB66" s="54">
        <v>31</v>
      </c>
      <c r="AC66" s="54">
        <v>3</v>
      </c>
    </row>
    <row r="67" spans="1:29" ht="15" customHeight="1" x14ac:dyDescent="0.2">
      <c r="A67" s="54" t="s">
        <v>1045</v>
      </c>
      <c r="B67" s="454" t="s">
        <v>356</v>
      </c>
      <c r="E67" s="455" t="s">
        <v>1062</v>
      </c>
      <c r="G67" s="454" t="s">
        <v>356</v>
      </c>
      <c r="H67" s="454" t="s">
        <v>456</v>
      </c>
      <c r="I67" s="459">
        <f>0.0005*0.01</f>
        <v>5.0000000000000004E-6</v>
      </c>
      <c r="J67" s="454" t="s">
        <v>2</v>
      </c>
      <c r="M67" s="454" t="s">
        <v>356</v>
      </c>
      <c r="N67" s="454" t="s">
        <v>7</v>
      </c>
      <c r="O67" s="459">
        <f>C64*0.01*0.1</f>
        <v>5.0000000000000001E-4</v>
      </c>
      <c r="P67" s="454" t="s">
        <v>2</v>
      </c>
      <c r="Q67" s="455" t="s">
        <v>1062</v>
      </c>
      <c r="T67" s="454" t="s">
        <v>357</v>
      </c>
      <c r="U67" s="326">
        <v>1.2989346582460636E-4</v>
      </c>
      <c r="V67" s="212">
        <v>6.0532463000159839E-8</v>
      </c>
      <c r="W67" s="212">
        <v>4.1441705731287989E-5</v>
      </c>
      <c r="X67" s="212">
        <v>1.9312507391480285E-8</v>
      </c>
      <c r="Y67" s="212">
        <v>16.293115472362601</v>
      </c>
      <c r="Z67" s="212">
        <v>462.56767404636184</v>
      </c>
      <c r="AA67" s="237" t="s">
        <v>539</v>
      </c>
      <c r="AB67" s="54">
        <v>31</v>
      </c>
      <c r="AC67" s="54">
        <v>4</v>
      </c>
    </row>
    <row r="68" spans="1:29" ht="15" customHeight="1" x14ac:dyDescent="0.2">
      <c r="A68" s="54" t="s">
        <v>1045</v>
      </c>
      <c r="B68" s="454" t="s">
        <v>358</v>
      </c>
      <c r="E68" s="455" t="s">
        <v>1062</v>
      </c>
      <c r="G68" s="454" t="s">
        <v>358</v>
      </c>
      <c r="H68" s="454" t="s">
        <v>456</v>
      </c>
      <c r="I68" s="459">
        <f>0.0005*0.01</f>
        <v>5.0000000000000004E-6</v>
      </c>
      <c r="J68" s="454" t="s">
        <v>2</v>
      </c>
      <c r="M68" s="454" t="s">
        <v>358</v>
      </c>
      <c r="N68" s="454" t="s">
        <v>7</v>
      </c>
      <c r="O68" s="459">
        <f>C64*0.01*0.1</f>
        <v>5.0000000000000001E-4</v>
      </c>
      <c r="P68" s="454" t="s">
        <v>2</v>
      </c>
      <c r="Q68" s="455" t="s">
        <v>1062</v>
      </c>
      <c r="T68" s="454" t="s">
        <v>359</v>
      </c>
      <c r="U68" s="326">
        <v>0</v>
      </c>
      <c r="V68" s="212">
        <v>0</v>
      </c>
      <c r="W68" s="212">
        <v>0</v>
      </c>
      <c r="X68" s="212">
        <v>0</v>
      </c>
      <c r="Y68" s="212">
        <v>22.652229020966026</v>
      </c>
      <c r="Z68" s="212">
        <v>215359.14100115595</v>
      </c>
      <c r="AA68" s="237" t="s">
        <v>537</v>
      </c>
      <c r="AB68" s="54">
        <v>31</v>
      </c>
      <c r="AC68" s="54">
        <v>5</v>
      </c>
    </row>
    <row r="69" spans="1:29" ht="15" customHeight="1" x14ac:dyDescent="0.2">
      <c r="A69" s="54" t="s">
        <v>1045</v>
      </c>
      <c r="B69" s="454" t="s">
        <v>349</v>
      </c>
      <c r="E69" s="462" t="s">
        <v>1372</v>
      </c>
      <c r="F69" s="462"/>
      <c r="G69" s="454" t="s">
        <v>350</v>
      </c>
      <c r="H69" s="454" t="s">
        <v>456</v>
      </c>
      <c r="I69" s="459">
        <f>0.0005*0.01</f>
        <v>5.0000000000000004E-6</v>
      </c>
      <c r="J69" s="454" t="s">
        <v>2</v>
      </c>
      <c r="M69" s="454" t="s">
        <v>350</v>
      </c>
      <c r="N69" s="454" t="s">
        <v>7</v>
      </c>
      <c r="O69" s="459">
        <f>C64*0.0001*0.1</f>
        <v>5.0000000000000004E-6</v>
      </c>
      <c r="P69" s="454" t="s">
        <v>2</v>
      </c>
      <c r="Q69" s="454" t="s">
        <v>1373</v>
      </c>
      <c r="T69" s="454" t="s">
        <v>351</v>
      </c>
      <c r="U69" s="326">
        <v>0</v>
      </c>
      <c r="V69" s="212">
        <v>2.0329061867301982E-8</v>
      </c>
      <c r="W69" s="212">
        <v>0</v>
      </c>
      <c r="X69" s="212">
        <v>1.6279569562509775E-8</v>
      </c>
      <c r="Y69" s="212">
        <v>0.53651638944850399</v>
      </c>
      <c r="Z69" s="212">
        <v>17.896737771834839</v>
      </c>
      <c r="AA69" s="237" t="s">
        <v>538</v>
      </c>
      <c r="AB69" s="54">
        <v>31</v>
      </c>
      <c r="AC69" s="54">
        <v>6</v>
      </c>
    </row>
    <row r="70" spans="1:29" ht="15" customHeight="1" x14ac:dyDescent="0.2">
      <c r="A70" s="54" t="s">
        <v>419</v>
      </c>
      <c r="B70" s="454" t="s">
        <v>420</v>
      </c>
      <c r="C70" s="453">
        <v>1</v>
      </c>
      <c r="D70" s="454" t="s">
        <v>2</v>
      </c>
      <c r="E70" s="459" t="s">
        <v>1377</v>
      </c>
      <c r="G70" s="459" t="s">
        <v>1377</v>
      </c>
      <c r="M70" s="459" t="s">
        <v>1377</v>
      </c>
      <c r="T70" s="455" t="s">
        <v>1377</v>
      </c>
      <c r="U70" s="326" t="s">
        <v>1377</v>
      </c>
      <c r="V70" s="212"/>
      <c r="W70" s="212"/>
      <c r="X70" s="212"/>
      <c r="Y70" s="212"/>
      <c r="Z70" s="212"/>
      <c r="AA70" s="237"/>
      <c r="AB70" s="54">
        <v>32</v>
      </c>
      <c r="AC70" s="54">
        <v>1</v>
      </c>
    </row>
    <row r="71" spans="1:29" ht="15" customHeight="1" x14ac:dyDescent="0.2">
      <c r="A71" s="54" t="s">
        <v>806</v>
      </c>
      <c r="B71" s="454" t="s">
        <v>810</v>
      </c>
      <c r="C71" s="453">
        <v>1</v>
      </c>
      <c r="D71" s="454" t="s">
        <v>2</v>
      </c>
      <c r="E71" s="455" t="s">
        <v>812</v>
      </c>
      <c r="G71" s="459" t="s">
        <v>1377</v>
      </c>
      <c r="M71" s="459" t="s">
        <v>1377</v>
      </c>
      <c r="T71" s="455" t="s">
        <v>811</v>
      </c>
      <c r="U71" s="326" t="s">
        <v>1377</v>
      </c>
      <c r="V71" s="212"/>
      <c r="W71" s="212"/>
      <c r="X71" s="212"/>
      <c r="Y71" s="212"/>
      <c r="Z71" s="212"/>
      <c r="AA71" s="237"/>
      <c r="AB71" s="54">
        <v>33</v>
      </c>
      <c r="AC71" s="54">
        <v>1</v>
      </c>
    </row>
    <row r="72" spans="1:29" ht="15" customHeight="1" x14ac:dyDescent="0.2">
      <c r="A72" s="54" t="s">
        <v>416</v>
      </c>
      <c r="B72" s="454" t="s">
        <v>1037</v>
      </c>
      <c r="C72" s="454">
        <v>0.3</v>
      </c>
      <c r="D72" s="454" t="s">
        <v>2</v>
      </c>
      <c r="E72" s="455" t="s">
        <v>296</v>
      </c>
      <c r="G72" s="452" t="s">
        <v>12</v>
      </c>
      <c r="I72" s="459"/>
      <c r="M72" s="452" t="s">
        <v>35</v>
      </c>
      <c r="N72" s="454" t="s">
        <v>7</v>
      </c>
      <c r="O72" s="459">
        <f>C72*0.99*0.1</f>
        <v>2.9700000000000001E-2</v>
      </c>
      <c r="P72" s="454" t="s">
        <v>2</v>
      </c>
      <c r="Q72" s="454" t="s">
        <v>1367</v>
      </c>
      <c r="T72" s="454" t="s">
        <v>524</v>
      </c>
      <c r="U72" s="326">
        <v>0</v>
      </c>
      <c r="V72" s="212">
        <v>1.318367210059499E-10</v>
      </c>
      <c r="W72" s="212">
        <v>0</v>
      </c>
      <c r="X72" s="212">
        <v>1.3016448977650344E-10</v>
      </c>
      <c r="Y72" s="212">
        <v>1.1181204517092254</v>
      </c>
      <c r="Z72" s="212">
        <v>78.957506928451508</v>
      </c>
      <c r="AA72" s="237" t="s">
        <v>538</v>
      </c>
      <c r="AB72" s="54">
        <v>34</v>
      </c>
      <c r="AC72" s="54">
        <v>1</v>
      </c>
    </row>
    <row r="73" spans="1:29" ht="15" customHeight="1" x14ac:dyDescent="0.2">
      <c r="A73" s="54" t="s">
        <v>57</v>
      </c>
      <c r="B73" s="454" t="s">
        <v>1</v>
      </c>
      <c r="C73" s="453">
        <v>1</v>
      </c>
      <c r="D73" s="454" t="s">
        <v>2</v>
      </c>
      <c r="E73" s="460">
        <v>1</v>
      </c>
      <c r="F73" s="460"/>
      <c r="G73" s="454" t="s">
        <v>1</v>
      </c>
      <c r="H73" s="454" t="s">
        <v>456</v>
      </c>
      <c r="I73" s="459">
        <f>C73*0.001</f>
        <v>1E-3</v>
      </c>
      <c r="J73" s="454" t="s">
        <v>2</v>
      </c>
      <c r="M73" s="454" t="s">
        <v>1</v>
      </c>
      <c r="N73" s="454" t="s">
        <v>7</v>
      </c>
      <c r="O73" s="459">
        <f>C73*0.1*0.1</f>
        <v>1.0000000000000002E-2</v>
      </c>
      <c r="P73" s="454" t="s">
        <v>2</v>
      </c>
      <c r="Q73" s="454" t="s">
        <v>1365</v>
      </c>
      <c r="T73" s="454" t="s">
        <v>23</v>
      </c>
      <c r="U73" s="326">
        <v>0</v>
      </c>
      <c r="V73" s="212">
        <v>0</v>
      </c>
      <c r="W73" s="212">
        <v>0</v>
      </c>
      <c r="X73" s="212">
        <v>0</v>
      </c>
      <c r="Y73" s="212">
        <v>221</v>
      </c>
      <c r="Z73" s="212">
        <v>5320</v>
      </c>
      <c r="AA73" s="237" t="s">
        <v>539</v>
      </c>
      <c r="AB73" s="54">
        <v>35</v>
      </c>
      <c r="AC73" s="54">
        <v>1</v>
      </c>
    </row>
    <row r="74" spans="1:29" ht="15" customHeight="1" x14ac:dyDescent="0.2">
      <c r="A74" s="50" t="s">
        <v>327</v>
      </c>
      <c r="B74" s="454" t="s">
        <v>175</v>
      </c>
      <c r="C74" s="453">
        <v>1</v>
      </c>
      <c r="D74" s="454" t="s">
        <v>2</v>
      </c>
      <c r="E74" s="460">
        <v>1</v>
      </c>
      <c r="F74" s="460"/>
      <c r="G74" s="454" t="s">
        <v>175</v>
      </c>
      <c r="H74" s="454" t="s">
        <v>456</v>
      </c>
      <c r="I74" s="459">
        <v>1E-3</v>
      </c>
      <c r="J74" s="454" t="s">
        <v>2</v>
      </c>
      <c r="M74" s="454" t="s">
        <v>175</v>
      </c>
      <c r="N74" s="454" t="s">
        <v>7</v>
      </c>
      <c r="O74" s="459">
        <f>C74*0.05*0.1</f>
        <v>5.000000000000001E-3</v>
      </c>
      <c r="P74" s="454" t="s">
        <v>2</v>
      </c>
      <c r="Q74" s="454" t="s">
        <v>562</v>
      </c>
      <c r="T74" s="454" t="s">
        <v>174</v>
      </c>
      <c r="U74" s="326">
        <v>1.5391655704883262E-3</v>
      </c>
      <c r="V74" s="212">
        <v>0</v>
      </c>
      <c r="W74" s="212">
        <v>2.0371944795476309E-4</v>
      </c>
      <c r="X74" s="212">
        <v>0</v>
      </c>
      <c r="Y74" s="212">
        <v>0</v>
      </c>
      <c r="Z74" s="212">
        <v>0</v>
      </c>
      <c r="AA74" s="237" t="s">
        <v>537</v>
      </c>
      <c r="AB74" s="54">
        <v>36</v>
      </c>
      <c r="AC74" s="54">
        <v>1</v>
      </c>
    </row>
    <row r="75" spans="1:29" ht="15" customHeight="1" x14ac:dyDescent="0.2">
      <c r="A75" s="54" t="s">
        <v>171</v>
      </c>
      <c r="B75" s="454" t="s">
        <v>322</v>
      </c>
      <c r="C75" s="454">
        <v>0.5</v>
      </c>
      <c r="D75" s="454" t="s">
        <v>2</v>
      </c>
      <c r="E75" s="455" t="s">
        <v>323</v>
      </c>
      <c r="G75" s="454" t="s">
        <v>322</v>
      </c>
      <c r="H75" s="454" t="s">
        <v>456</v>
      </c>
      <c r="I75" s="454">
        <f>0.5*0.001</f>
        <v>5.0000000000000001E-4</v>
      </c>
      <c r="J75" s="454" t="s">
        <v>2</v>
      </c>
      <c r="M75" s="454" t="s">
        <v>322</v>
      </c>
      <c r="N75" s="454" t="s">
        <v>7</v>
      </c>
      <c r="O75" s="459">
        <f>C75*0.05*0.1</f>
        <v>2.5000000000000005E-3</v>
      </c>
      <c r="P75" s="454" t="s">
        <v>2</v>
      </c>
      <c r="Q75" s="454" t="s">
        <v>562</v>
      </c>
      <c r="T75" s="454" t="s">
        <v>324</v>
      </c>
      <c r="U75" s="326">
        <v>0</v>
      </c>
      <c r="V75" s="212">
        <v>1.1888893581402534E-5</v>
      </c>
      <c r="W75" s="212">
        <v>0</v>
      </c>
      <c r="X75" s="212">
        <v>7.0689535047744857E-6</v>
      </c>
      <c r="Y75" s="212">
        <v>1492.7897822209411</v>
      </c>
      <c r="Z75" s="212">
        <v>7112.796756402201</v>
      </c>
      <c r="AA75" s="237" t="s">
        <v>538</v>
      </c>
      <c r="AB75" s="54">
        <v>37</v>
      </c>
      <c r="AC75" s="54">
        <v>1</v>
      </c>
    </row>
    <row r="76" spans="1:29" ht="15" customHeight="1" x14ac:dyDescent="0.2">
      <c r="A76" s="54" t="s">
        <v>399</v>
      </c>
      <c r="B76" s="454" t="s">
        <v>400</v>
      </c>
      <c r="C76" s="453">
        <v>1</v>
      </c>
      <c r="D76" s="454" t="s">
        <v>2</v>
      </c>
      <c r="E76" s="455" t="s">
        <v>397</v>
      </c>
      <c r="G76" s="454" t="s">
        <v>400</v>
      </c>
      <c r="H76" s="454" t="s">
        <v>456</v>
      </c>
      <c r="I76" s="459">
        <v>1E-3</v>
      </c>
      <c r="J76" s="454" t="s">
        <v>2</v>
      </c>
      <c r="M76" s="454" t="s">
        <v>400</v>
      </c>
      <c r="N76" s="454" t="s">
        <v>7</v>
      </c>
      <c r="O76" s="459">
        <f>C76*0.05*0.1</f>
        <v>5.000000000000001E-3</v>
      </c>
      <c r="P76" s="454" t="s">
        <v>2</v>
      </c>
      <c r="Q76" s="454" t="s">
        <v>562</v>
      </c>
      <c r="T76" s="454" t="s">
        <v>401</v>
      </c>
      <c r="U76" s="326">
        <v>0</v>
      </c>
      <c r="V76" s="212">
        <v>4.7523947982961088E-7</v>
      </c>
      <c r="W76" s="212">
        <v>0</v>
      </c>
      <c r="X76" s="212">
        <v>5.9553870155211211E-7</v>
      </c>
      <c r="Y76" s="212">
        <v>174.02319075927511</v>
      </c>
      <c r="Z76" s="212">
        <v>462.56767404636184</v>
      </c>
      <c r="AA76" s="237" t="s">
        <v>538</v>
      </c>
      <c r="AB76" s="54">
        <v>38</v>
      </c>
      <c r="AC76" s="54">
        <v>1</v>
      </c>
    </row>
    <row r="77" spans="1:29" ht="15" customHeight="1" x14ac:dyDescent="0.2">
      <c r="A77" s="54" t="s">
        <v>304</v>
      </c>
      <c r="B77" s="454" t="s">
        <v>305</v>
      </c>
      <c r="C77" s="453">
        <v>1</v>
      </c>
      <c r="D77" s="454" t="s">
        <v>2</v>
      </c>
      <c r="E77" s="455" t="s">
        <v>294</v>
      </c>
      <c r="G77" s="454" t="s">
        <v>305</v>
      </c>
      <c r="H77" s="454" t="s">
        <v>456</v>
      </c>
      <c r="I77" s="459">
        <v>1E-3</v>
      </c>
      <c r="J77" s="454" t="s">
        <v>2</v>
      </c>
      <c r="M77" s="454" t="s">
        <v>305</v>
      </c>
      <c r="N77" s="454" t="s">
        <v>7</v>
      </c>
      <c r="O77" s="459">
        <f>C77*0.1</f>
        <v>0.1</v>
      </c>
      <c r="P77" s="454" t="s">
        <v>2</v>
      </c>
      <c r="T77" s="454" t="s">
        <v>306</v>
      </c>
      <c r="U77" s="326">
        <v>0</v>
      </c>
      <c r="V77" s="212">
        <v>0</v>
      </c>
      <c r="W77" s="212">
        <v>0</v>
      </c>
      <c r="X77" s="212">
        <v>0</v>
      </c>
      <c r="Y77" s="212">
        <v>45</v>
      </c>
      <c r="Z77" s="212">
        <v>378</v>
      </c>
      <c r="AA77" s="237" t="s">
        <v>539</v>
      </c>
      <c r="AB77" s="54">
        <v>39</v>
      </c>
      <c r="AC77" s="54">
        <v>1</v>
      </c>
    </row>
    <row r="78" spans="1:29" ht="15" customHeight="1" x14ac:dyDescent="0.2">
      <c r="A78" s="54" t="s">
        <v>414</v>
      </c>
      <c r="B78" s="454" t="s">
        <v>318</v>
      </c>
      <c r="C78" s="454">
        <v>0.15</v>
      </c>
      <c r="D78" s="454" t="s">
        <v>2</v>
      </c>
      <c r="E78" s="455" t="s">
        <v>294</v>
      </c>
      <c r="G78" s="452" t="s">
        <v>318</v>
      </c>
      <c r="H78" s="454" t="s">
        <v>456</v>
      </c>
      <c r="I78" s="459">
        <f>0.15*0.001</f>
        <v>1.4999999999999999E-4</v>
      </c>
      <c r="J78" s="454" t="s">
        <v>2</v>
      </c>
      <c r="M78" s="452" t="s">
        <v>318</v>
      </c>
      <c r="N78" s="454" t="s">
        <v>7</v>
      </c>
      <c r="O78" s="459">
        <f>C78*0.1</f>
        <v>1.4999999999999999E-2</v>
      </c>
      <c r="P78" s="454" t="s">
        <v>2</v>
      </c>
      <c r="T78" s="454" t="s">
        <v>319</v>
      </c>
      <c r="U78" s="326">
        <v>0</v>
      </c>
      <c r="V78" s="212">
        <v>0</v>
      </c>
      <c r="W78" s="212">
        <v>0</v>
      </c>
      <c r="X78" s="212">
        <v>0</v>
      </c>
      <c r="Y78" s="212">
        <v>0.16</v>
      </c>
      <c r="Z78" s="212">
        <v>16.600000000000001</v>
      </c>
      <c r="AA78" s="237" t="s">
        <v>539</v>
      </c>
      <c r="AB78" s="54">
        <v>40</v>
      </c>
      <c r="AC78" s="54">
        <v>1</v>
      </c>
    </row>
    <row r="79" spans="1:29" ht="15" customHeight="1" x14ac:dyDescent="0.2">
      <c r="A79" s="54" t="s">
        <v>414</v>
      </c>
      <c r="B79" s="454" t="s">
        <v>320</v>
      </c>
      <c r="C79" s="457">
        <v>0.5</v>
      </c>
      <c r="D79" s="454" t="s">
        <v>2</v>
      </c>
      <c r="E79" s="455" t="s">
        <v>415</v>
      </c>
      <c r="G79" s="452" t="s">
        <v>320</v>
      </c>
      <c r="H79" s="454" t="s">
        <v>456</v>
      </c>
      <c r="I79" s="459">
        <f>0.5*0.001</f>
        <v>5.0000000000000001E-4</v>
      </c>
      <c r="J79" s="454" t="s">
        <v>2</v>
      </c>
      <c r="M79" s="452" t="s">
        <v>320</v>
      </c>
      <c r="N79" s="454" t="s">
        <v>7</v>
      </c>
      <c r="O79" s="459">
        <f>C79*0.1</f>
        <v>0.05</v>
      </c>
      <c r="P79" s="454" t="s">
        <v>2</v>
      </c>
      <c r="T79" s="452" t="s">
        <v>321</v>
      </c>
      <c r="U79" s="326">
        <v>0</v>
      </c>
      <c r="V79" s="212">
        <v>0</v>
      </c>
      <c r="W79" s="212">
        <v>0</v>
      </c>
      <c r="X79" s="212">
        <v>0</v>
      </c>
      <c r="Y79" s="212">
        <v>2.8999999999999998E-3</v>
      </c>
      <c r="Z79" s="212">
        <v>194</v>
      </c>
      <c r="AA79" s="237" t="s">
        <v>539</v>
      </c>
      <c r="AB79" s="54">
        <v>40</v>
      </c>
      <c r="AC79" s="54">
        <v>2</v>
      </c>
    </row>
    <row r="80" spans="1:29" ht="15" customHeight="1" x14ac:dyDescent="0.2">
      <c r="A80" s="54" t="s">
        <v>381</v>
      </c>
      <c r="B80" s="454" t="s">
        <v>382</v>
      </c>
      <c r="C80" s="454">
        <v>0.05</v>
      </c>
      <c r="D80" s="454" t="s">
        <v>2</v>
      </c>
      <c r="E80" s="455" t="s">
        <v>294</v>
      </c>
      <c r="G80" s="454" t="s">
        <v>382</v>
      </c>
      <c r="H80" s="454" t="s">
        <v>456</v>
      </c>
      <c r="I80" s="459">
        <f>0.05*0.001</f>
        <v>5.0000000000000002E-5</v>
      </c>
      <c r="J80" s="454" t="s">
        <v>2</v>
      </c>
      <c r="M80" s="454" t="s">
        <v>990</v>
      </c>
      <c r="N80" s="454" t="s">
        <v>7</v>
      </c>
      <c r="O80" s="459">
        <f>C80*0.05*0.1</f>
        <v>2.5000000000000006E-4</v>
      </c>
      <c r="P80" s="454" t="s">
        <v>2</v>
      </c>
      <c r="Q80" s="454" t="s">
        <v>562</v>
      </c>
      <c r="T80" s="454" t="s">
        <v>383</v>
      </c>
      <c r="U80" s="326">
        <v>0</v>
      </c>
      <c r="V80" s="212">
        <v>0</v>
      </c>
      <c r="W80" s="212">
        <v>0</v>
      </c>
      <c r="X80" s="212">
        <v>0</v>
      </c>
      <c r="Y80" s="212">
        <v>13.802967816428488</v>
      </c>
      <c r="Z80" s="212">
        <v>401.06412725859315</v>
      </c>
      <c r="AA80" s="237" t="s">
        <v>537</v>
      </c>
      <c r="AB80" s="54">
        <v>41</v>
      </c>
      <c r="AC80" s="54">
        <v>1</v>
      </c>
    </row>
    <row r="81" spans="1:29" ht="15" customHeight="1" x14ac:dyDescent="0.2">
      <c r="A81" s="54" t="s">
        <v>395</v>
      </c>
      <c r="B81" s="454" t="s">
        <v>396</v>
      </c>
      <c r="C81" s="453">
        <v>1</v>
      </c>
      <c r="D81" s="454" t="s">
        <v>2</v>
      </c>
      <c r="E81" s="455" t="s">
        <v>397</v>
      </c>
      <c r="G81" s="454" t="s">
        <v>396</v>
      </c>
      <c r="H81" s="454" t="s">
        <v>456</v>
      </c>
      <c r="I81" s="459">
        <v>1E-3</v>
      </c>
      <c r="J81" s="454" t="s">
        <v>2</v>
      </c>
      <c r="M81" s="454" t="s">
        <v>396</v>
      </c>
      <c r="N81" s="454" t="s">
        <v>7</v>
      </c>
      <c r="O81" s="459">
        <f>C81*0.05*0.1</f>
        <v>5.000000000000001E-3</v>
      </c>
      <c r="P81" s="454" t="s">
        <v>2</v>
      </c>
      <c r="Q81" s="454" t="s">
        <v>562</v>
      </c>
      <c r="T81" s="454" t="s">
        <v>398</v>
      </c>
      <c r="U81" s="326">
        <v>0</v>
      </c>
      <c r="V81" s="212">
        <v>0</v>
      </c>
      <c r="W81" s="212">
        <v>0</v>
      </c>
      <c r="X81" s="212">
        <v>0</v>
      </c>
      <c r="Y81" s="212">
        <v>279.49742748859956</v>
      </c>
      <c r="Z81" s="212">
        <v>35.171294449245522</v>
      </c>
      <c r="AA81" s="237" t="s">
        <v>538</v>
      </c>
      <c r="AB81" s="54">
        <v>42</v>
      </c>
      <c r="AC81" s="54">
        <v>2</v>
      </c>
    </row>
    <row r="82" spans="1:29" ht="15" customHeight="1" x14ac:dyDescent="0.2">
      <c r="A82" s="54" t="s">
        <v>344</v>
      </c>
      <c r="B82" s="454" t="s">
        <v>338</v>
      </c>
      <c r="C82" s="457">
        <v>0.05</v>
      </c>
      <c r="D82" s="454" t="s">
        <v>2</v>
      </c>
      <c r="E82" s="455" t="s">
        <v>294</v>
      </c>
      <c r="G82" s="452" t="s">
        <v>338</v>
      </c>
      <c r="H82" s="454" t="s">
        <v>456</v>
      </c>
      <c r="I82" s="459">
        <f>0.05*0.001</f>
        <v>5.0000000000000002E-5</v>
      </c>
      <c r="J82" s="454" t="s">
        <v>2</v>
      </c>
      <c r="M82" s="452" t="s">
        <v>338</v>
      </c>
      <c r="N82" s="454" t="s">
        <v>7</v>
      </c>
      <c r="O82" s="459">
        <f>C82*0.05*0.1</f>
        <v>2.5000000000000006E-4</v>
      </c>
      <c r="P82" s="454" t="s">
        <v>2</v>
      </c>
      <c r="Q82" s="454" t="s">
        <v>562</v>
      </c>
      <c r="T82" s="454" t="s">
        <v>339</v>
      </c>
      <c r="U82" s="326">
        <v>0</v>
      </c>
      <c r="V82" s="212">
        <v>0</v>
      </c>
      <c r="W82" s="212">
        <v>0</v>
      </c>
      <c r="X82" s="212">
        <v>0</v>
      </c>
      <c r="Y82" s="212">
        <v>422</v>
      </c>
      <c r="Z82" s="212">
        <v>255000</v>
      </c>
      <c r="AA82" s="237" t="s">
        <v>539</v>
      </c>
      <c r="AB82" s="54">
        <v>43</v>
      </c>
      <c r="AC82" s="54">
        <v>1</v>
      </c>
    </row>
    <row r="83" spans="1:29" ht="15" customHeight="1" x14ac:dyDescent="0.2">
      <c r="A83" s="54" t="s">
        <v>344</v>
      </c>
      <c r="B83" s="454" t="s">
        <v>329</v>
      </c>
      <c r="C83" s="454">
        <v>7.0000000000000007E-2</v>
      </c>
      <c r="D83" s="454" t="s">
        <v>2</v>
      </c>
      <c r="E83" s="455" t="s">
        <v>294</v>
      </c>
      <c r="G83" s="454" t="s">
        <v>329</v>
      </c>
      <c r="H83" s="454" t="s">
        <v>456</v>
      </c>
      <c r="I83" s="459">
        <f>0.07*0.001</f>
        <v>7.0000000000000007E-5</v>
      </c>
      <c r="J83" s="454" t="s">
        <v>2</v>
      </c>
      <c r="M83" s="454" t="s">
        <v>329</v>
      </c>
      <c r="N83" s="454" t="s">
        <v>7</v>
      </c>
      <c r="O83" s="459">
        <f>C83*0.1</f>
        <v>7.000000000000001E-3</v>
      </c>
      <c r="P83" s="454" t="s">
        <v>2</v>
      </c>
      <c r="T83" s="454" t="s">
        <v>330</v>
      </c>
      <c r="U83" s="326">
        <v>0</v>
      </c>
      <c r="V83" s="212">
        <v>2.6345093883347803E-8</v>
      </c>
      <c r="W83" s="212">
        <v>0</v>
      </c>
      <c r="X83" s="212">
        <v>1.5206479105756882E-8</v>
      </c>
      <c r="Y83" s="212">
        <v>0.19117701068456072</v>
      </c>
      <c r="Z83" s="212">
        <v>1.3816606598131098</v>
      </c>
      <c r="AA83" s="237" t="s">
        <v>537</v>
      </c>
      <c r="AB83" s="54">
        <v>43</v>
      </c>
      <c r="AC83" s="54">
        <v>2</v>
      </c>
    </row>
    <row r="84" spans="1:29" ht="15" customHeight="1" x14ac:dyDescent="0.2">
      <c r="A84" s="54" t="s">
        <v>344</v>
      </c>
      <c r="B84" s="454" t="s">
        <v>336</v>
      </c>
      <c r="C84" s="457">
        <v>0.1</v>
      </c>
      <c r="D84" s="454" t="s">
        <v>2</v>
      </c>
      <c r="E84" s="455" t="s">
        <v>294</v>
      </c>
      <c r="G84" s="454" t="s">
        <v>336</v>
      </c>
      <c r="H84" s="454" t="s">
        <v>456</v>
      </c>
      <c r="I84" s="459">
        <f>0.1*0.001</f>
        <v>1E-4</v>
      </c>
      <c r="J84" s="454" t="s">
        <v>2</v>
      </c>
      <c r="M84" s="454" t="s">
        <v>336</v>
      </c>
      <c r="N84" s="454" t="s">
        <v>7</v>
      </c>
      <c r="O84" s="459">
        <f>C84*0.1</f>
        <v>1.0000000000000002E-2</v>
      </c>
      <c r="P84" s="454" t="s">
        <v>2</v>
      </c>
      <c r="T84" s="454" t="s">
        <v>337</v>
      </c>
      <c r="U84" s="326">
        <v>0</v>
      </c>
      <c r="V84" s="212">
        <v>8.4164731849724272E-9</v>
      </c>
      <c r="W84" s="212">
        <v>0</v>
      </c>
      <c r="X84" s="212">
        <v>3.6415426268891637E-9</v>
      </c>
      <c r="Y84" s="212">
        <v>5.202993302148206E-2</v>
      </c>
      <c r="Z84" s="212">
        <v>0.72944780806332055</v>
      </c>
      <c r="AA84" s="237" t="s">
        <v>537</v>
      </c>
      <c r="AB84" s="54">
        <v>43</v>
      </c>
      <c r="AC84" s="54">
        <v>3</v>
      </c>
    </row>
    <row r="85" spans="1:29" ht="15" customHeight="1" x14ac:dyDescent="0.2">
      <c r="A85" s="54" t="s">
        <v>344</v>
      </c>
      <c r="B85" s="454" t="s">
        <v>345</v>
      </c>
      <c r="C85" s="454">
        <f>100/1000000</f>
        <v>1E-4</v>
      </c>
      <c r="D85" s="454" t="s">
        <v>2</v>
      </c>
      <c r="E85" s="455" t="s">
        <v>1374</v>
      </c>
      <c r="G85" s="454" t="s">
        <v>345</v>
      </c>
      <c r="H85" s="454" t="s">
        <v>456</v>
      </c>
      <c r="I85" s="459">
        <f>0.0001*0.001</f>
        <v>1.0000000000000001E-7</v>
      </c>
      <c r="J85" s="454" t="s">
        <v>2</v>
      </c>
      <c r="M85" s="454" t="s">
        <v>345</v>
      </c>
      <c r="N85" s="454" t="s">
        <v>7</v>
      </c>
      <c r="O85" s="459">
        <f>C85*0.1</f>
        <v>1.0000000000000001E-5</v>
      </c>
      <c r="P85" s="454" t="s">
        <v>2</v>
      </c>
      <c r="T85" s="454" t="s">
        <v>346</v>
      </c>
      <c r="U85" s="326">
        <v>0</v>
      </c>
      <c r="V85" s="212">
        <v>8.1179329386441515E-8</v>
      </c>
      <c r="W85" s="212">
        <v>0</v>
      </c>
      <c r="X85" s="212">
        <v>7.8031633531056265E-8</v>
      </c>
      <c r="Y85" s="212">
        <v>4.5011780294423369</v>
      </c>
      <c r="Z85" s="212">
        <v>334.03265081013427</v>
      </c>
      <c r="AA85" s="237" t="s">
        <v>538</v>
      </c>
      <c r="AB85" s="54">
        <v>43</v>
      </c>
      <c r="AC85" s="54">
        <v>4</v>
      </c>
    </row>
    <row r="86" spans="1:29" ht="15" customHeight="1" x14ac:dyDescent="0.2">
      <c r="A86" s="54" t="s">
        <v>344</v>
      </c>
      <c r="B86" s="454" t="s">
        <v>347</v>
      </c>
      <c r="E86" s="455" t="s">
        <v>1375</v>
      </c>
      <c r="G86" s="454" t="s">
        <v>347</v>
      </c>
      <c r="H86" s="454" t="s">
        <v>456</v>
      </c>
      <c r="I86" s="459">
        <f>0.000001*0.001</f>
        <v>1.0000000000000001E-9</v>
      </c>
      <c r="J86" s="454" t="s">
        <v>2</v>
      </c>
      <c r="M86" s="454" t="s">
        <v>347</v>
      </c>
      <c r="N86" s="454" t="s">
        <v>7</v>
      </c>
      <c r="O86" s="459">
        <f>C85*0.01*0.1</f>
        <v>1.0000000000000002E-7</v>
      </c>
      <c r="P86" s="454" t="s">
        <v>2</v>
      </c>
      <c r="Q86" s="454" t="s">
        <v>1375</v>
      </c>
      <c r="T86" s="454" t="s">
        <v>348</v>
      </c>
      <c r="U86" s="326">
        <v>0</v>
      </c>
      <c r="V86" s="212">
        <v>6.2538133429034873E-7</v>
      </c>
      <c r="W86" s="212">
        <v>0</v>
      </c>
      <c r="X86" s="212">
        <v>1.2412846649149321E-6</v>
      </c>
      <c r="Y86" s="212">
        <v>15.522276473671107</v>
      </c>
      <c r="Z86" s="212">
        <v>75.508785026221176</v>
      </c>
      <c r="AA86" s="237" t="s">
        <v>538</v>
      </c>
      <c r="AB86" s="54">
        <v>43</v>
      </c>
      <c r="AC86" s="54">
        <v>5</v>
      </c>
    </row>
    <row r="87" spans="1:29" ht="15" customHeight="1" x14ac:dyDescent="0.2">
      <c r="A87" s="54" t="s">
        <v>1044</v>
      </c>
      <c r="B87" s="454" t="s">
        <v>338</v>
      </c>
      <c r="C87" s="457">
        <v>0.05</v>
      </c>
      <c r="D87" s="454" t="s">
        <v>2</v>
      </c>
      <c r="E87" s="455" t="s">
        <v>294</v>
      </c>
      <c r="G87" s="452" t="s">
        <v>338</v>
      </c>
      <c r="H87" s="454" t="s">
        <v>456</v>
      </c>
      <c r="I87" s="459">
        <f>0.05*0.001</f>
        <v>5.0000000000000002E-5</v>
      </c>
      <c r="J87" s="454" t="s">
        <v>2</v>
      </c>
      <c r="M87" s="452" t="s">
        <v>338</v>
      </c>
      <c r="N87" s="454" t="s">
        <v>7</v>
      </c>
      <c r="O87" s="459">
        <f>C87*0.05*0.1</f>
        <v>2.5000000000000006E-4</v>
      </c>
      <c r="P87" s="454" t="s">
        <v>2</v>
      </c>
      <c r="Q87" s="454" t="s">
        <v>562</v>
      </c>
      <c r="T87" s="454" t="s">
        <v>339</v>
      </c>
      <c r="U87" s="326">
        <v>0</v>
      </c>
      <c r="V87" s="212">
        <v>0</v>
      </c>
      <c r="W87" s="212">
        <v>0</v>
      </c>
      <c r="X87" s="212">
        <v>0</v>
      </c>
      <c r="Y87" s="212">
        <v>421</v>
      </c>
      <c r="Z87" s="212">
        <v>25500</v>
      </c>
      <c r="AA87" s="237" t="s">
        <v>539</v>
      </c>
      <c r="AB87" s="54">
        <v>44</v>
      </c>
      <c r="AC87" s="54">
        <v>1</v>
      </c>
    </row>
    <row r="88" spans="1:29" ht="15" customHeight="1" x14ac:dyDescent="0.2">
      <c r="A88" s="54" t="s">
        <v>1044</v>
      </c>
      <c r="B88" s="454" t="s">
        <v>329</v>
      </c>
      <c r="C88" s="454">
        <v>7.0000000000000007E-2</v>
      </c>
      <c r="D88" s="454" t="s">
        <v>2</v>
      </c>
      <c r="E88" s="455" t="s">
        <v>294</v>
      </c>
      <c r="G88" s="454" t="s">
        <v>329</v>
      </c>
      <c r="H88" s="454" t="s">
        <v>456</v>
      </c>
      <c r="I88" s="459">
        <f>0.07*0.001</f>
        <v>7.0000000000000007E-5</v>
      </c>
      <c r="J88" s="454" t="s">
        <v>2</v>
      </c>
      <c r="M88" s="454" t="s">
        <v>329</v>
      </c>
      <c r="N88" s="454" t="s">
        <v>7</v>
      </c>
      <c r="O88" s="459">
        <f>C88*0.1</f>
        <v>7.000000000000001E-3</v>
      </c>
      <c r="P88" s="454" t="s">
        <v>2</v>
      </c>
      <c r="T88" s="454" t="s">
        <v>330</v>
      </c>
      <c r="U88" s="326">
        <v>0</v>
      </c>
      <c r="V88" s="212">
        <v>2.6345093883347803E-8</v>
      </c>
      <c r="W88" s="212">
        <v>0</v>
      </c>
      <c r="X88" s="212">
        <v>1.5206479105756882E-8</v>
      </c>
      <c r="Y88" s="212">
        <v>0.19117701068456072</v>
      </c>
      <c r="Z88" s="212">
        <v>1.3816606598131098</v>
      </c>
      <c r="AA88" s="237" t="s">
        <v>537</v>
      </c>
      <c r="AB88" s="54">
        <v>44</v>
      </c>
      <c r="AC88" s="54">
        <v>2</v>
      </c>
    </row>
    <row r="89" spans="1:29" ht="15" customHeight="1" x14ac:dyDescent="0.2">
      <c r="A89" s="54" t="s">
        <v>1044</v>
      </c>
      <c r="B89" s="454" t="s">
        <v>336</v>
      </c>
      <c r="C89" s="457">
        <v>0.1</v>
      </c>
      <c r="D89" s="454" t="s">
        <v>2</v>
      </c>
      <c r="E89" s="455" t="s">
        <v>294</v>
      </c>
      <c r="G89" s="454" t="s">
        <v>336</v>
      </c>
      <c r="H89" s="454" t="s">
        <v>456</v>
      </c>
      <c r="I89" s="459">
        <f>0.1*0.001</f>
        <v>1E-4</v>
      </c>
      <c r="J89" s="454" t="s">
        <v>2</v>
      </c>
      <c r="M89" s="454" t="s">
        <v>336</v>
      </c>
      <c r="N89" s="454" t="s">
        <v>7</v>
      </c>
      <c r="O89" s="459">
        <f>C89*0.1</f>
        <v>1.0000000000000002E-2</v>
      </c>
      <c r="P89" s="454" t="s">
        <v>2</v>
      </c>
      <c r="T89" s="454" t="s">
        <v>337</v>
      </c>
      <c r="U89" s="326">
        <v>0</v>
      </c>
      <c r="V89" s="212">
        <v>8.4164731849724272E-9</v>
      </c>
      <c r="W89" s="212">
        <v>0</v>
      </c>
      <c r="X89" s="212">
        <v>3.6415426268891637E-9</v>
      </c>
      <c r="Y89" s="212">
        <v>5.202993302148206E-2</v>
      </c>
      <c r="Z89" s="212">
        <v>0.72944780806332055</v>
      </c>
      <c r="AA89" s="237" t="s">
        <v>537</v>
      </c>
      <c r="AB89" s="54">
        <v>44</v>
      </c>
      <c r="AC89" s="54">
        <v>3</v>
      </c>
    </row>
    <row r="90" spans="1:29" ht="15" customHeight="1" x14ac:dyDescent="0.2">
      <c r="A90" s="54" t="s">
        <v>1044</v>
      </c>
      <c r="B90" s="454" t="s">
        <v>340</v>
      </c>
      <c r="C90" s="454">
        <f>100/1000000</f>
        <v>1E-4</v>
      </c>
      <c r="D90" s="454" t="s">
        <v>2</v>
      </c>
      <c r="E90" s="455" t="s">
        <v>1374</v>
      </c>
      <c r="G90" s="454" t="s">
        <v>340</v>
      </c>
      <c r="H90" s="454" t="s">
        <v>456</v>
      </c>
      <c r="I90" s="459">
        <f>0.0001*0.001</f>
        <v>1.0000000000000001E-7</v>
      </c>
      <c r="J90" s="454" t="s">
        <v>2</v>
      </c>
      <c r="M90" s="454" t="s">
        <v>340</v>
      </c>
      <c r="N90" s="454" t="s">
        <v>7</v>
      </c>
      <c r="O90" s="459">
        <f>C90*0.1</f>
        <v>1.0000000000000001E-5</v>
      </c>
      <c r="P90" s="454" t="s">
        <v>2</v>
      </c>
      <c r="T90" s="454" t="s">
        <v>341</v>
      </c>
      <c r="U90" s="326">
        <v>0</v>
      </c>
      <c r="V90" s="212">
        <v>0</v>
      </c>
      <c r="W90" s="212">
        <v>0</v>
      </c>
      <c r="X90" s="212">
        <v>0</v>
      </c>
      <c r="Y90" s="212">
        <v>3.3999999999999998E-3</v>
      </c>
      <c r="Z90" s="212">
        <v>657</v>
      </c>
      <c r="AA90" s="237" t="s">
        <v>539</v>
      </c>
      <c r="AB90" s="54">
        <v>44</v>
      </c>
      <c r="AC90" s="54">
        <v>4</v>
      </c>
    </row>
    <row r="91" spans="1:29" ht="15" customHeight="1" x14ac:dyDescent="0.2">
      <c r="A91" s="54" t="s">
        <v>1044</v>
      </c>
      <c r="B91" s="454" t="s">
        <v>342</v>
      </c>
      <c r="E91" s="455" t="s">
        <v>1376</v>
      </c>
      <c r="G91" s="454" t="s">
        <v>342</v>
      </c>
      <c r="H91" s="454" t="s">
        <v>456</v>
      </c>
      <c r="I91" s="459">
        <f>0.000001*0.001</f>
        <v>1.0000000000000001E-9</v>
      </c>
      <c r="J91" s="454" t="s">
        <v>2</v>
      </c>
      <c r="M91" s="454" t="s">
        <v>342</v>
      </c>
      <c r="N91" s="454" t="s">
        <v>7</v>
      </c>
      <c r="O91" s="459">
        <f>C90*0.01*0.1</f>
        <v>1.0000000000000002E-7</v>
      </c>
      <c r="P91" s="454" t="s">
        <v>2</v>
      </c>
      <c r="Q91" s="455" t="s">
        <v>1376</v>
      </c>
      <c r="T91" s="454" t="s">
        <v>343</v>
      </c>
      <c r="U91" s="326">
        <v>0</v>
      </c>
      <c r="V91" s="212">
        <v>2.0942196184765528E-7</v>
      </c>
      <c r="W91" s="212">
        <v>0</v>
      </c>
      <c r="X91" s="212">
        <v>5.0647488094997803E-7</v>
      </c>
      <c r="Y91" s="212">
        <v>34.738332655743193</v>
      </c>
      <c r="Z91" s="212">
        <v>51.500680126775791</v>
      </c>
      <c r="AA91" s="237" t="s">
        <v>538</v>
      </c>
      <c r="AB91" s="54">
        <v>44</v>
      </c>
      <c r="AC91" s="54">
        <v>5</v>
      </c>
    </row>
    <row r="92" spans="1:29" ht="15" customHeight="1" x14ac:dyDescent="0.2">
      <c r="A92" s="54" t="s">
        <v>328</v>
      </c>
      <c r="B92" s="454" t="s">
        <v>338</v>
      </c>
      <c r="C92" s="457">
        <v>0.05</v>
      </c>
      <c r="D92" s="454" t="s">
        <v>2</v>
      </c>
      <c r="E92" s="455" t="s">
        <v>294</v>
      </c>
      <c r="G92" s="452" t="s">
        <v>338</v>
      </c>
      <c r="H92" s="454" t="s">
        <v>456</v>
      </c>
      <c r="I92" s="459">
        <f>0.05*0.001</f>
        <v>5.0000000000000002E-5</v>
      </c>
      <c r="J92" s="454" t="s">
        <v>2</v>
      </c>
      <c r="M92" s="452" t="s">
        <v>338</v>
      </c>
      <c r="N92" s="454" t="s">
        <v>7</v>
      </c>
      <c r="O92" s="459">
        <f>C92*0.05*0.1</f>
        <v>2.5000000000000006E-4</v>
      </c>
      <c r="P92" s="454" t="s">
        <v>2</v>
      </c>
      <c r="Q92" s="454" t="s">
        <v>562</v>
      </c>
      <c r="T92" s="454" t="s">
        <v>339</v>
      </c>
      <c r="U92" s="326">
        <v>0</v>
      </c>
      <c r="V92" s="212">
        <v>0</v>
      </c>
      <c r="W92" s="212">
        <v>0</v>
      </c>
      <c r="X92" s="212">
        <v>0</v>
      </c>
      <c r="Y92" s="212">
        <v>420</v>
      </c>
      <c r="Z92" s="212">
        <v>2550</v>
      </c>
      <c r="AA92" s="237" t="s">
        <v>539</v>
      </c>
      <c r="AB92" s="54">
        <v>45</v>
      </c>
      <c r="AC92" s="54">
        <v>1</v>
      </c>
    </row>
    <row r="93" spans="1:29" ht="15" customHeight="1" x14ac:dyDescent="0.2">
      <c r="A93" s="54" t="s">
        <v>328</v>
      </c>
      <c r="B93" s="454" t="s">
        <v>329</v>
      </c>
      <c r="C93" s="454">
        <v>7.0000000000000007E-2</v>
      </c>
      <c r="D93" s="454" t="s">
        <v>2</v>
      </c>
      <c r="E93" s="455" t="s">
        <v>294</v>
      </c>
      <c r="G93" s="454" t="s">
        <v>329</v>
      </c>
      <c r="H93" s="454" t="s">
        <v>456</v>
      </c>
      <c r="I93" s="459">
        <f>0.07*0.001</f>
        <v>7.0000000000000007E-5</v>
      </c>
      <c r="J93" s="454" t="s">
        <v>2</v>
      </c>
      <c r="M93" s="454" t="s">
        <v>329</v>
      </c>
      <c r="N93" s="454" t="s">
        <v>7</v>
      </c>
      <c r="O93" s="459">
        <f>C93*0.1</f>
        <v>7.000000000000001E-3</v>
      </c>
      <c r="P93" s="454" t="s">
        <v>2</v>
      </c>
      <c r="T93" s="454" t="s">
        <v>330</v>
      </c>
      <c r="U93" s="326">
        <v>0</v>
      </c>
      <c r="V93" s="212">
        <v>2.6345093883347803E-8</v>
      </c>
      <c r="W93" s="212">
        <v>0</v>
      </c>
      <c r="X93" s="212">
        <v>1.5206479105756882E-8</v>
      </c>
      <c r="Y93" s="212">
        <v>0.19117701068456072</v>
      </c>
      <c r="Z93" s="212">
        <v>1.3816606598131098</v>
      </c>
      <c r="AA93" s="237" t="s">
        <v>537</v>
      </c>
      <c r="AB93" s="54">
        <v>45</v>
      </c>
      <c r="AC93" s="54">
        <v>2</v>
      </c>
    </row>
    <row r="94" spans="1:29" ht="15" customHeight="1" x14ac:dyDescent="0.2">
      <c r="A94" s="54" t="s">
        <v>328</v>
      </c>
      <c r="B94" s="454" t="s">
        <v>336</v>
      </c>
      <c r="C94" s="457">
        <v>0.1</v>
      </c>
      <c r="D94" s="454" t="s">
        <v>2</v>
      </c>
      <c r="E94" s="455" t="s">
        <v>294</v>
      </c>
      <c r="G94" s="454" t="s">
        <v>336</v>
      </c>
      <c r="H94" s="454" t="s">
        <v>456</v>
      </c>
      <c r="I94" s="459">
        <f>0.1*0.001</f>
        <v>1E-4</v>
      </c>
      <c r="J94" s="454" t="s">
        <v>2</v>
      </c>
      <c r="M94" s="454" t="s">
        <v>336</v>
      </c>
      <c r="N94" s="454" t="s">
        <v>7</v>
      </c>
      <c r="O94" s="459">
        <f>C94*0.1</f>
        <v>1.0000000000000002E-2</v>
      </c>
      <c r="P94" s="454" t="s">
        <v>2</v>
      </c>
      <c r="T94" s="454" t="s">
        <v>337</v>
      </c>
      <c r="U94" s="326">
        <v>0</v>
      </c>
      <c r="V94" s="212">
        <v>8.4164731849724272E-9</v>
      </c>
      <c r="W94" s="212">
        <v>0</v>
      </c>
      <c r="X94" s="212">
        <v>3.6415426268891637E-9</v>
      </c>
      <c r="Y94" s="212">
        <v>5.202993302148206E-2</v>
      </c>
      <c r="Z94" s="212">
        <v>0.72944780806332055</v>
      </c>
      <c r="AA94" s="237" t="s">
        <v>537</v>
      </c>
      <c r="AB94" s="54">
        <v>45</v>
      </c>
      <c r="AC94" s="54">
        <v>3</v>
      </c>
    </row>
    <row r="95" spans="1:29" ht="15" customHeight="1" x14ac:dyDescent="0.2">
      <c r="A95" s="54" t="s">
        <v>328</v>
      </c>
      <c r="B95" s="454" t="s">
        <v>331</v>
      </c>
      <c r="C95" s="454">
        <f>100/1000000</f>
        <v>1E-4</v>
      </c>
      <c r="D95" s="454" t="s">
        <v>2</v>
      </c>
      <c r="E95" s="455" t="s">
        <v>1374</v>
      </c>
      <c r="G95" s="454" t="s">
        <v>331</v>
      </c>
      <c r="H95" s="454" t="s">
        <v>456</v>
      </c>
      <c r="I95" s="459">
        <f>0.0001*0.001</f>
        <v>1.0000000000000001E-7</v>
      </c>
      <c r="J95" s="454" t="s">
        <v>2</v>
      </c>
      <c r="M95" s="454" t="s">
        <v>331</v>
      </c>
      <c r="N95" s="454" t="s">
        <v>7</v>
      </c>
      <c r="O95" s="459">
        <f>C95*0.1</f>
        <v>1.0000000000000001E-5</v>
      </c>
      <c r="P95" s="454" t="s">
        <v>2</v>
      </c>
      <c r="T95" s="454" t="s">
        <v>332</v>
      </c>
      <c r="U95" s="326">
        <v>2.4224725584266991E-6</v>
      </c>
      <c r="V95" s="212">
        <v>2.0887939508354515E-5</v>
      </c>
      <c r="W95" s="212">
        <v>1.6936585016241113E-4</v>
      </c>
      <c r="X95" s="212">
        <v>1.4603689196261023E-3</v>
      </c>
      <c r="Y95" s="212">
        <v>0.9697533216501103</v>
      </c>
      <c r="Z95" s="212">
        <v>4.8394011528679224</v>
      </c>
      <c r="AA95" s="237" t="s">
        <v>538</v>
      </c>
      <c r="AB95" s="54">
        <v>45</v>
      </c>
      <c r="AC95" s="54">
        <v>4</v>
      </c>
    </row>
    <row r="96" spans="1:29" ht="15" customHeight="1" x14ac:dyDescent="0.2">
      <c r="A96" s="54" t="s">
        <v>328</v>
      </c>
      <c r="B96" s="454" t="s">
        <v>334</v>
      </c>
      <c r="E96" s="455" t="s">
        <v>333</v>
      </c>
      <c r="G96" s="454" t="s">
        <v>334</v>
      </c>
      <c r="H96" s="454" t="s">
        <v>456</v>
      </c>
      <c r="I96" s="459">
        <f>0.000001*0.001</f>
        <v>1.0000000000000001E-9</v>
      </c>
      <c r="J96" s="454" t="s">
        <v>2</v>
      </c>
      <c r="M96" s="454" t="s">
        <v>334</v>
      </c>
      <c r="N96" s="454" t="s">
        <v>7</v>
      </c>
      <c r="O96" s="459">
        <f>C95*0.01*0.1</f>
        <v>1.0000000000000002E-7</v>
      </c>
      <c r="P96" s="454" t="s">
        <v>2</v>
      </c>
      <c r="Q96" s="455" t="s">
        <v>333</v>
      </c>
      <c r="T96" s="454" t="s">
        <v>335</v>
      </c>
      <c r="U96" s="326">
        <v>2.7181232690265344E-5</v>
      </c>
      <c r="V96" s="212">
        <v>1.4493077665655838E-4</v>
      </c>
      <c r="W96" s="212">
        <v>1.2704710305144268E-4</v>
      </c>
      <c r="X96" s="212">
        <v>6.6145735943285984E-4</v>
      </c>
      <c r="Y96" s="212">
        <v>543.12191519086628</v>
      </c>
      <c r="Z96" s="212">
        <v>112.5863174425714</v>
      </c>
      <c r="AA96" s="237" t="s">
        <v>538</v>
      </c>
      <c r="AB96" s="54">
        <v>45</v>
      </c>
      <c r="AC96" s="54">
        <v>5</v>
      </c>
    </row>
    <row r="97" spans="1:32" ht="15" customHeight="1" x14ac:dyDescent="0.2">
      <c r="A97" s="50" t="s">
        <v>997</v>
      </c>
      <c r="B97" s="454" t="s">
        <v>1002</v>
      </c>
      <c r="C97" s="453">
        <v>1</v>
      </c>
      <c r="D97" s="454" t="s">
        <v>2</v>
      </c>
      <c r="E97" s="460">
        <v>1</v>
      </c>
      <c r="G97" s="454" t="s">
        <v>1002</v>
      </c>
      <c r="H97" s="454" t="s">
        <v>456</v>
      </c>
      <c r="I97" s="459">
        <v>1</v>
      </c>
      <c r="J97" s="454" t="s">
        <v>2</v>
      </c>
      <c r="K97" s="454" t="s">
        <v>1030</v>
      </c>
      <c r="M97" s="454" t="s">
        <v>1002</v>
      </c>
      <c r="N97" s="454" t="s">
        <v>7</v>
      </c>
      <c r="O97" s="459">
        <f t="shared" ref="O97:O112" si="2">C97*0.1</f>
        <v>0.1</v>
      </c>
      <c r="P97" s="454" t="s">
        <v>2</v>
      </c>
      <c r="T97" s="454" t="s">
        <v>1024</v>
      </c>
      <c r="U97" s="326">
        <v>0</v>
      </c>
      <c r="V97" s="212">
        <v>1.2495662684081079E-7</v>
      </c>
      <c r="W97" s="212">
        <v>0</v>
      </c>
      <c r="X97" s="212">
        <v>6.9683831293231106E-8</v>
      </c>
      <c r="Y97" s="212">
        <v>3.6954908441367893</v>
      </c>
      <c r="Z97" s="212">
        <v>211.35664174055557</v>
      </c>
      <c r="AA97" s="237" t="s">
        <v>537</v>
      </c>
      <c r="AB97" s="54">
        <v>46</v>
      </c>
      <c r="AC97" s="54">
        <v>1</v>
      </c>
    </row>
    <row r="98" spans="1:32" ht="15" customHeight="1" x14ac:dyDescent="0.2">
      <c r="A98" s="50" t="s">
        <v>998</v>
      </c>
      <c r="B98" s="454" t="s">
        <v>1003</v>
      </c>
      <c r="C98" s="453">
        <v>1</v>
      </c>
      <c r="D98" s="454" t="s">
        <v>2</v>
      </c>
      <c r="E98" s="460">
        <v>1</v>
      </c>
      <c r="G98" s="454" t="s">
        <v>1003</v>
      </c>
      <c r="H98" s="454" t="s">
        <v>456</v>
      </c>
      <c r="I98" s="459">
        <v>1</v>
      </c>
      <c r="J98" s="454" t="s">
        <v>2</v>
      </c>
      <c r="K98" s="454" t="s">
        <v>1030</v>
      </c>
      <c r="M98" s="454" t="s">
        <v>1003</v>
      </c>
      <c r="N98" s="454" t="s">
        <v>7</v>
      </c>
      <c r="O98" s="459">
        <f t="shared" si="2"/>
        <v>0.1</v>
      </c>
      <c r="P98" s="454" t="s">
        <v>2</v>
      </c>
      <c r="T98" s="454" t="s">
        <v>1025</v>
      </c>
      <c r="U98" s="326">
        <v>0</v>
      </c>
      <c r="V98" s="212">
        <v>2.3362849443984663E-7</v>
      </c>
      <c r="W98" s="212">
        <v>0</v>
      </c>
      <c r="X98" s="212">
        <v>9.9485615506575626E-8</v>
      </c>
      <c r="Y98" s="212">
        <v>1.1994953414076734</v>
      </c>
      <c r="Z98" s="212">
        <v>19.327721812708507</v>
      </c>
      <c r="AA98" s="237" t="s">
        <v>537</v>
      </c>
      <c r="AB98" s="54">
        <v>47</v>
      </c>
      <c r="AC98" s="54">
        <v>1</v>
      </c>
      <c r="AF98" s="50"/>
    </row>
    <row r="99" spans="1:32" ht="15" customHeight="1" x14ac:dyDescent="0.2">
      <c r="A99" s="50" t="s">
        <v>999</v>
      </c>
      <c r="B99" s="454" t="s">
        <v>463</v>
      </c>
      <c r="C99" s="453">
        <v>1</v>
      </c>
      <c r="D99" s="454" t="s">
        <v>2</v>
      </c>
      <c r="E99" s="460">
        <v>1</v>
      </c>
      <c r="G99" s="454" t="s">
        <v>463</v>
      </c>
      <c r="H99" s="454" t="s">
        <v>456</v>
      </c>
      <c r="I99" s="459">
        <v>1</v>
      </c>
      <c r="J99" s="454" t="s">
        <v>2</v>
      </c>
      <c r="K99" s="454" t="s">
        <v>1030</v>
      </c>
      <c r="M99" s="454" t="s">
        <v>463</v>
      </c>
      <c r="N99" s="454" t="s">
        <v>7</v>
      </c>
      <c r="O99" s="459">
        <f t="shared" si="2"/>
        <v>0.1</v>
      </c>
      <c r="P99" s="454" t="s">
        <v>2</v>
      </c>
      <c r="T99" s="454" t="s">
        <v>1026</v>
      </c>
      <c r="U99" s="326">
        <v>0</v>
      </c>
      <c r="V99" s="212">
        <v>0</v>
      </c>
      <c r="W99" s="212">
        <v>0</v>
      </c>
      <c r="X99" s="212">
        <v>0</v>
      </c>
      <c r="Y99" s="212">
        <v>3.1842909251064055</v>
      </c>
      <c r="Z99" s="212">
        <v>170.71688986878746</v>
      </c>
      <c r="AA99" s="237" t="s">
        <v>537</v>
      </c>
      <c r="AB99" s="54">
        <v>48</v>
      </c>
      <c r="AC99" s="54">
        <v>1</v>
      </c>
      <c r="AF99" s="50"/>
    </row>
    <row r="100" spans="1:32" ht="15" customHeight="1" x14ac:dyDescent="0.2">
      <c r="A100" s="50" t="s">
        <v>1000</v>
      </c>
      <c r="B100" s="454" t="s">
        <v>464</v>
      </c>
      <c r="C100" s="453">
        <v>1</v>
      </c>
      <c r="D100" s="454" t="s">
        <v>2</v>
      </c>
      <c r="E100" s="460">
        <v>1</v>
      </c>
      <c r="G100" s="454" t="s">
        <v>464</v>
      </c>
      <c r="H100" s="454" t="s">
        <v>456</v>
      </c>
      <c r="I100" s="459">
        <v>1</v>
      </c>
      <c r="J100" s="454" t="s">
        <v>2</v>
      </c>
      <c r="K100" s="454" t="s">
        <v>1030</v>
      </c>
      <c r="M100" s="454" t="s">
        <v>464</v>
      </c>
      <c r="N100" s="454" t="s">
        <v>7</v>
      </c>
      <c r="O100" s="459">
        <f t="shared" si="2"/>
        <v>0.1</v>
      </c>
      <c r="P100" s="454" t="s">
        <v>2</v>
      </c>
      <c r="T100" s="454" t="s">
        <v>1027</v>
      </c>
      <c r="U100" s="326">
        <v>0</v>
      </c>
      <c r="V100" s="212">
        <v>0</v>
      </c>
      <c r="W100" s="212">
        <v>0</v>
      </c>
      <c r="X100" s="212">
        <v>0</v>
      </c>
      <c r="Y100" s="212">
        <v>1.8775280625345094</v>
      </c>
      <c r="Z100" s="212">
        <v>24.872783622971983</v>
      </c>
      <c r="AA100" s="237" t="s">
        <v>537</v>
      </c>
      <c r="AB100" s="54">
        <v>49</v>
      </c>
      <c r="AC100" s="54">
        <v>1</v>
      </c>
      <c r="AF100" s="50"/>
    </row>
    <row r="101" spans="1:32" ht="15" customHeight="1" x14ac:dyDescent="0.2">
      <c r="A101" s="50" t="s">
        <v>1001</v>
      </c>
      <c r="B101" s="454" t="s">
        <v>465</v>
      </c>
      <c r="C101" s="453">
        <v>1</v>
      </c>
      <c r="D101" s="454" t="s">
        <v>2</v>
      </c>
      <c r="E101" s="460">
        <v>1</v>
      </c>
      <c r="G101" s="454" t="s">
        <v>465</v>
      </c>
      <c r="H101" s="454" t="s">
        <v>456</v>
      </c>
      <c r="I101" s="459">
        <v>1</v>
      </c>
      <c r="J101" s="454" t="s">
        <v>2</v>
      </c>
      <c r="K101" s="454" t="s">
        <v>1030</v>
      </c>
      <c r="M101" s="454" t="s">
        <v>465</v>
      </c>
      <c r="N101" s="454" t="s">
        <v>7</v>
      </c>
      <c r="O101" s="459">
        <f t="shared" si="2"/>
        <v>0.1</v>
      </c>
      <c r="P101" s="454" t="s">
        <v>2</v>
      </c>
      <c r="T101" s="454" t="s">
        <v>1028</v>
      </c>
      <c r="U101" s="326">
        <v>0</v>
      </c>
      <c r="V101" s="212">
        <v>0</v>
      </c>
      <c r="W101" s="212">
        <v>0</v>
      </c>
      <c r="X101" s="212">
        <v>0</v>
      </c>
      <c r="Y101" s="212">
        <v>5.2534027600618893</v>
      </c>
      <c r="Z101" s="212">
        <v>21.109030884458637</v>
      </c>
      <c r="AA101" s="237" t="s">
        <v>537</v>
      </c>
      <c r="AB101" s="54">
        <v>50</v>
      </c>
      <c r="AC101" s="54">
        <v>1</v>
      </c>
      <c r="AF101" s="50"/>
    </row>
    <row r="102" spans="1:32" ht="15" customHeight="1" x14ac:dyDescent="0.2">
      <c r="A102" s="50" t="s">
        <v>1032</v>
      </c>
      <c r="B102" s="454" t="s">
        <v>484</v>
      </c>
      <c r="C102" s="453">
        <v>1</v>
      </c>
      <c r="D102" s="454" t="s">
        <v>2</v>
      </c>
      <c r="E102" s="460">
        <v>1</v>
      </c>
      <c r="G102" s="454" t="s">
        <v>484</v>
      </c>
      <c r="H102" s="454" t="s">
        <v>456</v>
      </c>
      <c r="I102" s="459">
        <v>0.05</v>
      </c>
      <c r="J102" s="454" t="s">
        <v>2</v>
      </c>
      <c r="M102" s="454" t="s">
        <v>484</v>
      </c>
      <c r="N102" s="454" t="s">
        <v>7</v>
      </c>
      <c r="O102" s="459">
        <f t="shared" si="2"/>
        <v>0.1</v>
      </c>
      <c r="P102" s="454" t="s">
        <v>2</v>
      </c>
      <c r="T102" s="454" t="s">
        <v>1017</v>
      </c>
      <c r="U102" s="326">
        <v>0</v>
      </c>
      <c r="V102" s="212">
        <v>0</v>
      </c>
      <c r="W102" s="212">
        <v>0</v>
      </c>
      <c r="X102" s="212">
        <v>0</v>
      </c>
      <c r="Y102" s="212">
        <v>5.738224123021781</v>
      </c>
      <c r="Z102" s="212">
        <v>46.889581100152242</v>
      </c>
      <c r="AA102" s="237" t="s">
        <v>537</v>
      </c>
      <c r="AB102" s="54">
        <v>51</v>
      </c>
      <c r="AC102" s="54">
        <v>1</v>
      </c>
      <c r="AF102" s="50"/>
    </row>
    <row r="103" spans="1:32" ht="15" customHeight="1" x14ac:dyDescent="0.2">
      <c r="A103" s="50" t="s">
        <v>1033</v>
      </c>
      <c r="B103" s="454" t="s">
        <v>1004</v>
      </c>
      <c r="C103" s="453">
        <v>1</v>
      </c>
      <c r="D103" s="454" t="s">
        <v>2</v>
      </c>
      <c r="E103" s="460">
        <v>1</v>
      </c>
      <c r="G103" s="454" t="s">
        <v>1004</v>
      </c>
      <c r="H103" s="454" t="s">
        <v>456</v>
      </c>
      <c r="I103" s="459">
        <v>0.05</v>
      </c>
      <c r="J103" s="454" t="s">
        <v>2</v>
      </c>
      <c r="M103" s="454" t="s">
        <v>1004</v>
      </c>
      <c r="N103" s="454" t="s">
        <v>7</v>
      </c>
      <c r="O103" s="459">
        <f t="shared" si="2"/>
        <v>0.1</v>
      </c>
      <c r="P103" s="454" t="s">
        <v>2</v>
      </c>
      <c r="T103" s="463" t="s">
        <v>1018</v>
      </c>
      <c r="U103" s="326">
        <v>0</v>
      </c>
      <c r="V103" s="212">
        <v>2.9088270319119211E-6</v>
      </c>
      <c r="W103" s="212">
        <v>0</v>
      </c>
      <c r="X103" s="212">
        <v>3.3008515492724421E-6</v>
      </c>
      <c r="Y103" s="212">
        <v>0.29630849664811515</v>
      </c>
      <c r="Z103" s="212">
        <v>3.1285323209033384</v>
      </c>
      <c r="AA103" s="237" t="s">
        <v>537</v>
      </c>
      <c r="AB103" s="54">
        <v>52</v>
      </c>
      <c r="AC103" s="54">
        <v>1</v>
      </c>
      <c r="AF103" s="50"/>
    </row>
    <row r="104" spans="1:32" ht="15" customHeight="1" x14ac:dyDescent="0.2">
      <c r="A104" s="50" t="s">
        <v>1005</v>
      </c>
      <c r="B104" s="454" t="s">
        <v>1006</v>
      </c>
      <c r="C104" s="453">
        <v>1</v>
      </c>
      <c r="D104" s="454" t="s">
        <v>2</v>
      </c>
      <c r="E104" s="460">
        <v>1</v>
      </c>
      <c r="G104" s="459" t="s">
        <v>12</v>
      </c>
      <c r="I104" s="459"/>
      <c r="M104" s="454" t="s">
        <v>1006</v>
      </c>
      <c r="N104" s="454" t="s">
        <v>7</v>
      </c>
      <c r="O104" s="459">
        <f t="shared" si="2"/>
        <v>0.1</v>
      </c>
      <c r="P104" s="454" t="s">
        <v>2</v>
      </c>
      <c r="T104" s="454" t="s">
        <v>1019</v>
      </c>
      <c r="U104" s="326">
        <v>0</v>
      </c>
      <c r="V104" s="212">
        <v>0</v>
      </c>
      <c r="W104" s="212">
        <v>0</v>
      </c>
      <c r="X104" s="212">
        <v>0</v>
      </c>
      <c r="Y104" s="212">
        <v>364.41</v>
      </c>
      <c r="Z104" s="212">
        <v>872.52</v>
      </c>
      <c r="AA104" s="236" t="s">
        <v>539</v>
      </c>
      <c r="AB104" s="54">
        <v>53</v>
      </c>
      <c r="AC104" s="54">
        <v>1</v>
      </c>
      <c r="AF104" s="50"/>
    </row>
    <row r="105" spans="1:32" ht="15" customHeight="1" x14ac:dyDescent="0.2">
      <c r="A105" s="50" t="s">
        <v>1046</v>
      </c>
      <c r="B105" s="454" t="s">
        <v>1029</v>
      </c>
      <c r="C105" s="453">
        <v>1</v>
      </c>
      <c r="D105" s="454" t="s">
        <v>2</v>
      </c>
      <c r="E105" s="460">
        <v>1</v>
      </c>
      <c r="G105" s="459" t="s">
        <v>12</v>
      </c>
      <c r="I105" s="459"/>
      <c r="M105" s="454" t="s">
        <v>1008</v>
      </c>
      <c r="N105" s="454" t="s">
        <v>7</v>
      </c>
      <c r="O105" s="459">
        <f t="shared" si="2"/>
        <v>0.1</v>
      </c>
      <c r="P105" s="454" t="s">
        <v>2</v>
      </c>
      <c r="T105" s="454" t="s">
        <v>1009</v>
      </c>
      <c r="U105" s="326">
        <v>0</v>
      </c>
      <c r="V105" s="212">
        <v>0</v>
      </c>
      <c r="W105" s="212">
        <v>0</v>
      </c>
      <c r="X105" s="212">
        <v>0</v>
      </c>
      <c r="Y105" s="212">
        <v>575.30999999999995</v>
      </c>
      <c r="Z105" s="212">
        <v>1361</v>
      </c>
      <c r="AA105" s="236" t="s">
        <v>539</v>
      </c>
      <c r="AB105" s="54">
        <v>54</v>
      </c>
      <c r="AC105" s="54">
        <v>1</v>
      </c>
      <c r="AF105" s="50"/>
    </row>
    <row r="106" spans="1:32" ht="15" customHeight="1" x14ac:dyDescent="0.2">
      <c r="A106" s="50" t="s">
        <v>1016</v>
      </c>
      <c r="B106" s="454" t="s">
        <v>1012</v>
      </c>
      <c r="C106" s="453">
        <v>1</v>
      </c>
      <c r="D106" s="454" t="s">
        <v>2</v>
      </c>
      <c r="E106" s="460">
        <v>1</v>
      </c>
      <c r="G106" s="459" t="s">
        <v>12</v>
      </c>
      <c r="I106" s="459"/>
      <c r="M106" s="454" t="s">
        <v>1012</v>
      </c>
      <c r="N106" s="454" t="s">
        <v>7</v>
      </c>
      <c r="O106" s="459">
        <f t="shared" si="2"/>
        <v>0.1</v>
      </c>
      <c r="P106" s="454" t="s">
        <v>2</v>
      </c>
      <c r="T106" s="454" t="s">
        <v>1011</v>
      </c>
      <c r="U106" s="326">
        <v>0</v>
      </c>
      <c r="V106" s="212">
        <v>0</v>
      </c>
      <c r="W106" s="212">
        <v>0</v>
      </c>
      <c r="X106" s="212">
        <v>0</v>
      </c>
      <c r="Y106" s="212">
        <v>1.421</v>
      </c>
      <c r="Z106" s="212">
        <v>19.827000000000002</v>
      </c>
      <c r="AA106" s="236" t="s">
        <v>539</v>
      </c>
      <c r="AB106" s="54">
        <v>55</v>
      </c>
      <c r="AC106" s="54">
        <v>1</v>
      </c>
      <c r="AD106" s="50"/>
      <c r="AF106" s="50"/>
    </row>
    <row r="107" spans="1:32" ht="15" customHeight="1" x14ac:dyDescent="0.2">
      <c r="A107" s="50" t="s">
        <v>1047</v>
      </c>
      <c r="B107" s="454" t="s">
        <v>1014</v>
      </c>
      <c r="C107" s="453">
        <v>1</v>
      </c>
      <c r="D107" s="454" t="s">
        <v>2</v>
      </c>
      <c r="E107" s="460">
        <v>1</v>
      </c>
      <c r="G107" s="454" t="s">
        <v>1014</v>
      </c>
      <c r="H107" s="454" t="s">
        <v>456</v>
      </c>
      <c r="I107" s="459">
        <v>0.01</v>
      </c>
      <c r="J107" s="454" t="s">
        <v>2</v>
      </c>
      <c r="M107" s="454" t="s">
        <v>1014</v>
      </c>
      <c r="N107" s="454" t="s">
        <v>7</v>
      </c>
      <c r="O107" s="459">
        <f t="shared" si="2"/>
        <v>0.1</v>
      </c>
      <c r="P107" s="454" t="s">
        <v>2</v>
      </c>
      <c r="T107" s="454" t="s">
        <v>1015</v>
      </c>
      <c r="U107" s="326">
        <v>0</v>
      </c>
      <c r="V107" s="212">
        <v>0</v>
      </c>
      <c r="W107" s="212">
        <v>0</v>
      </c>
      <c r="X107" s="212">
        <v>0</v>
      </c>
      <c r="Y107" s="212">
        <v>1.0431999999999999</v>
      </c>
      <c r="Z107" s="212">
        <v>128.01</v>
      </c>
      <c r="AA107" s="236" t="s">
        <v>539</v>
      </c>
      <c r="AB107" s="54">
        <v>56</v>
      </c>
      <c r="AC107" s="54">
        <v>1</v>
      </c>
      <c r="AF107" s="50"/>
    </row>
    <row r="108" spans="1:32" ht="15" customHeight="1" x14ac:dyDescent="0.2">
      <c r="A108" s="50" t="s">
        <v>1060</v>
      </c>
      <c r="B108" s="454" t="s">
        <v>1050</v>
      </c>
      <c r="C108" s="454">
        <v>0.06</v>
      </c>
      <c r="D108" s="454" t="s">
        <v>2</v>
      </c>
      <c r="E108" s="455" t="s">
        <v>294</v>
      </c>
      <c r="G108" s="454" t="s">
        <v>12</v>
      </c>
      <c r="I108" s="459"/>
      <c r="K108" s="454" t="s">
        <v>297</v>
      </c>
      <c r="M108" s="454" t="s">
        <v>1050</v>
      </c>
      <c r="N108" s="454" t="s">
        <v>7</v>
      </c>
      <c r="O108" s="459">
        <f t="shared" si="2"/>
        <v>6.0000000000000001E-3</v>
      </c>
      <c r="P108" s="454" t="s">
        <v>2</v>
      </c>
      <c r="Q108" s="454" t="s">
        <v>1051</v>
      </c>
      <c r="T108" s="454" t="s">
        <v>1052</v>
      </c>
      <c r="U108" s="326">
        <v>0</v>
      </c>
      <c r="V108" s="212">
        <v>0</v>
      </c>
      <c r="W108" s="212">
        <v>0</v>
      </c>
      <c r="X108" s="212">
        <v>0</v>
      </c>
      <c r="Y108" s="212">
        <v>1988.6</v>
      </c>
      <c r="Z108" s="212">
        <v>38994</v>
      </c>
      <c r="AA108" s="236" t="s">
        <v>539</v>
      </c>
      <c r="AB108" s="54">
        <v>57</v>
      </c>
      <c r="AC108" s="54">
        <v>1</v>
      </c>
      <c r="AF108" s="50"/>
    </row>
    <row r="109" spans="1:32" ht="15" customHeight="1" x14ac:dyDescent="0.2">
      <c r="A109" s="50" t="s">
        <v>1060</v>
      </c>
      <c r="B109" s="454" t="s">
        <v>5</v>
      </c>
      <c r="C109" s="457">
        <v>0.02</v>
      </c>
      <c r="D109" s="454" t="s">
        <v>2</v>
      </c>
      <c r="E109" s="460" t="s">
        <v>294</v>
      </c>
      <c r="F109" s="460"/>
      <c r="G109" s="454" t="s">
        <v>12</v>
      </c>
      <c r="I109" s="459"/>
      <c r="K109" s="454" t="s">
        <v>297</v>
      </c>
      <c r="M109" s="454" t="s">
        <v>5</v>
      </c>
      <c r="N109" s="454" t="s">
        <v>7</v>
      </c>
      <c r="O109" s="459">
        <f t="shared" si="2"/>
        <v>2E-3</v>
      </c>
      <c r="P109" s="454" t="s">
        <v>2</v>
      </c>
      <c r="Q109" s="454" t="s">
        <v>1051</v>
      </c>
      <c r="T109" s="454" t="s">
        <v>25</v>
      </c>
      <c r="U109" s="326">
        <v>0</v>
      </c>
      <c r="V109" s="212">
        <v>0</v>
      </c>
      <c r="W109" s="212">
        <v>0</v>
      </c>
      <c r="X109" s="212">
        <v>0</v>
      </c>
      <c r="Y109" s="212">
        <v>164.24</v>
      </c>
      <c r="Z109" s="212">
        <v>400.09</v>
      </c>
      <c r="AA109" s="237" t="s">
        <v>539</v>
      </c>
      <c r="AB109" s="54">
        <v>57</v>
      </c>
      <c r="AC109" s="54">
        <v>2</v>
      </c>
    </row>
    <row r="110" spans="1:32" ht="15" customHeight="1" x14ac:dyDescent="0.2">
      <c r="A110" s="50" t="s">
        <v>1060</v>
      </c>
      <c r="B110" s="454" t="s">
        <v>1054</v>
      </c>
      <c r="C110" s="454">
        <v>0.06</v>
      </c>
      <c r="D110" s="454" t="s">
        <v>2</v>
      </c>
      <c r="E110" s="455" t="s">
        <v>294</v>
      </c>
      <c r="G110" s="454" t="s">
        <v>1054</v>
      </c>
      <c r="H110" s="454" t="s">
        <v>456</v>
      </c>
      <c r="I110" s="459">
        <f>0.01*C110</f>
        <v>5.9999999999999995E-4</v>
      </c>
      <c r="J110" s="454" t="s">
        <v>2</v>
      </c>
      <c r="M110" s="454" t="s">
        <v>1054</v>
      </c>
      <c r="N110" s="454" t="s">
        <v>7</v>
      </c>
      <c r="O110" s="459">
        <f t="shared" si="2"/>
        <v>6.0000000000000001E-3</v>
      </c>
      <c r="P110" s="454" t="s">
        <v>2</v>
      </c>
      <c r="T110" s="454" t="s">
        <v>1053</v>
      </c>
      <c r="U110" s="326">
        <v>0</v>
      </c>
      <c r="V110" s="212">
        <v>0</v>
      </c>
      <c r="W110" s="212">
        <v>0</v>
      </c>
      <c r="X110" s="212">
        <v>0</v>
      </c>
      <c r="Y110" s="212">
        <v>61.155999999999999</v>
      </c>
      <c r="Z110" s="212">
        <v>149.22</v>
      </c>
      <c r="AA110" s="236" t="s">
        <v>539</v>
      </c>
      <c r="AB110" s="54">
        <v>57</v>
      </c>
      <c r="AC110" s="54">
        <v>3</v>
      </c>
    </row>
    <row r="111" spans="1:32" ht="15" customHeight="1" x14ac:dyDescent="0.2">
      <c r="A111" s="50" t="s">
        <v>1059</v>
      </c>
      <c r="B111" s="454" t="s">
        <v>1058</v>
      </c>
      <c r="C111" s="454">
        <v>0.16</v>
      </c>
      <c r="D111" s="454" t="s">
        <v>2</v>
      </c>
      <c r="E111" s="455" t="s">
        <v>294</v>
      </c>
      <c r="G111" s="454" t="s">
        <v>12</v>
      </c>
      <c r="K111" s="454" t="s">
        <v>297</v>
      </c>
      <c r="M111" s="454" t="s">
        <v>1058</v>
      </c>
      <c r="N111" s="454" t="s">
        <v>7</v>
      </c>
      <c r="O111" s="459">
        <f t="shared" si="2"/>
        <v>1.6E-2</v>
      </c>
      <c r="P111" s="454" t="s">
        <v>2</v>
      </c>
      <c r="Q111" s="454" t="s">
        <v>1051</v>
      </c>
      <c r="T111" s="454" t="s">
        <v>1055</v>
      </c>
      <c r="U111" s="326">
        <v>0</v>
      </c>
      <c r="V111" s="212">
        <v>0</v>
      </c>
      <c r="W111" s="212">
        <v>0</v>
      </c>
      <c r="X111" s="212">
        <v>0</v>
      </c>
      <c r="Y111" s="212">
        <v>63.414999999999999</v>
      </c>
      <c r="Z111" s="212">
        <v>1262.0999999999999</v>
      </c>
      <c r="AA111" s="236" t="s">
        <v>539</v>
      </c>
      <c r="AB111" s="54">
        <v>58</v>
      </c>
      <c r="AC111" s="54">
        <v>1</v>
      </c>
    </row>
    <row r="112" spans="1:32" ht="15" customHeight="1" x14ac:dyDescent="0.2">
      <c r="A112" s="50" t="s">
        <v>1059</v>
      </c>
      <c r="B112" s="454" t="s">
        <v>1057</v>
      </c>
      <c r="C112" s="454">
        <v>1E-3</v>
      </c>
      <c r="D112" s="454" t="s">
        <v>2</v>
      </c>
      <c r="E112" s="455" t="s">
        <v>294</v>
      </c>
      <c r="G112" s="454" t="s">
        <v>1057</v>
      </c>
      <c r="H112" s="454" t="s">
        <v>456</v>
      </c>
      <c r="I112" s="459">
        <f>0.01*C112</f>
        <v>1.0000000000000001E-5</v>
      </c>
      <c r="J112" s="454" t="s">
        <v>2</v>
      </c>
      <c r="M112" s="454" t="s">
        <v>1057</v>
      </c>
      <c r="N112" s="454" t="s">
        <v>7</v>
      </c>
      <c r="O112" s="459">
        <f t="shared" si="2"/>
        <v>1E-4</v>
      </c>
      <c r="P112" s="454" t="s">
        <v>2</v>
      </c>
      <c r="T112" s="454" t="s">
        <v>1056</v>
      </c>
      <c r="U112" s="326">
        <v>0</v>
      </c>
      <c r="V112" s="212">
        <v>0</v>
      </c>
      <c r="W112" s="212">
        <v>0</v>
      </c>
      <c r="X112" s="212">
        <v>0</v>
      </c>
      <c r="Y112" s="212">
        <v>3.7756000000000002E-5</v>
      </c>
      <c r="Z112" s="212">
        <v>0.10296</v>
      </c>
      <c r="AA112" s="236" t="s">
        <v>539</v>
      </c>
      <c r="AB112" s="54">
        <v>58</v>
      </c>
      <c r="AC112" s="54">
        <v>2</v>
      </c>
    </row>
    <row r="113" spans="1:29" ht="15" customHeight="1" x14ac:dyDescent="0.2">
      <c r="A113" s="54" t="s">
        <v>384</v>
      </c>
      <c r="B113" s="454" t="s">
        <v>385</v>
      </c>
      <c r="C113" s="454">
        <v>0.75</v>
      </c>
      <c r="D113" s="454" t="s">
        <v>2</v>
      </c>
      <c r="E113" s="455" t="s">
        <v>386</v>
      </c>
      <c r="G113" s="452" t="s">
        <v>387</v>
      </c>
      <c r="H113" s="454" t="s">
        <v>456</v>
      </c>
      <c r="I113" s="454">
        <f>0.75*0.001</f>
        <v>7.5000000000000002E-4</v>
      </c>
      <c r="J113" s="454" t="s">
        <v>2</v>
      </c>
      <c r="M113" s="452" t="s">
        <v>387</v>
      </c>
      <c r="N113" s="454" t="s">
        <v>7</v>
      </c>
      <c r="O113" s="459">
        <f>C113*0.05*0.1</f>
        <v>3.7500000000000007E-3</v>
      </c>
      <c r="P113" s="454" t="s">
        <v>2</v>
      </c>
      <c r="Q113" s="454" t="s">
        <v>562</v>
      </c>
      <c r="T113" s="452" t="s">
        <v>388</v>
      </c>
      <c r="U113" s="326">
        <v>2.3250974052490423E-6</v>
      </c>
      <c r="V113" s="212">
        <v>3.6419621494691573E-7</v>
      </c>
      <c r="W113" s="212">
        <v>1.7961299223192751E-6</v>
      </c>
      <c r="X113" s="212">
        <v>2.8134035063856268E-7</v>
      </c>
      <c r="Y113" s="212">
        <v>10.290742530418507</v>
      </c>
      <c r="Z113" s="212">
        <v>34.995514714186051</v>
      </c>
      <c r="AA113" s="237" t="s">
        <v>538</v>
      </c>
      <c r="AB113" s="54">
        <v>59</v>
      </c>
      <c r="AC113" s="54">
        <v>1</v>
      </c>
    </row>
    <row r="114" spans="1:29" ht="15" customHeight="1" x14ac:dyDescent="0.2">
      <c r="O114" s="459"/>
      <c r="Y114" s="212"/>
      <c r="Z114" s="212"/>
    </row>
    <row r="115" spans="1:29" ht="15" customHeight="1" x14ac:dyDescent="0.2">
      <c r="O115" s="459"/>
      <c r="Y115" s="212"/>
      <c r="Z115" s="212"/>
    </row>
    <row r="116" spans="1:29" ht="15" customHeight="1" x14ac:dyDescent="0.2">
      <c r="O116" s="459"/>
      <c r="Y116" s="212"/>
      <c r="Z116" s="212"/>
    </row>
    <row r="117" spans="1:29" ht="15" customHeight="1" x14ac:dyDescent="0.2">
      <c r="O117" s="459"/>
      <c r="Y117" s="212"/>
      <c r="Z117" s="212"/>
    </row>
    <row r="118" spans="1:29" ht="15" customHeight="1" x14ac:dyDescent="0.2">
      <c r="O118" s="459"/>
      <c r="Y118" s="212"/>
      <c r="Z118" s="212"/>
    </row>
    <row r="119" spans="1:29" ht="15" customHeight="1" x14ac:dyDescent="0.2">
      <c r="O119" s="459"/>
    </row>
    <row r="120" spans="1:29" ht="15" customHeight="1" x14ac:dyDescent="0.2">
      <c r="O120" s="459"/>
    </row>
    <row r="121" spans="1:29" ht="15" customHeight="1" x14ac:dyDescent="0.2">
      <c r="O121" s="459"/>
    </row>
    <row r="122" spans="1:29" ht="15" customHeight="1" x14ac:dyDescent="0.2">
      <c r="O122" s="459"/>
    </row>
    <row r="123" spans="1:29" ht="15" customHeight="1" x14ac:dyDescent="0.2">
      <c r="O123" s="459"/>
    </row>
    <row r="124" spans="1:29" ht="15" customHeight="1" x14ac:dyDescent="0.2"/>
    <row r="125" spans="1:29" ht="15" customHeight="1" x14ac:dyDescent="0.2"/>
    <row r="126" spans="1:29" ht="15" customHeight="1" x14ac:dyDescent="0.2"/>
    <row r="127" spans="1:29" ht="15" customHeight="1" x14ac:dyDescent="0.2"/>
    <row r="128" spans="1:29"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sheetData>
  <autoFilter ref="A1:AC113" xr:uid="{00000000-0009-0000-0000-000025000000}">
    <sortState ref="A2:AC113">
      <sortCondition ref="AB1:AB113"/>
    </sortState>
  </autoFilter>
  <pageMargins left="0.7" right="0.7" top="0.75" bottom="0.75" header="0.3" footer="0.3"/>
  <pageSetup paperSize="9" orientation="portrait" r:id="rId1"/>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29"/>
  <sheetViews>
    <sheetView zoomScale="90" zoomScaleNormal="90" workbookViewId="0">
      <selection activeCell="C25" sqref="C25:H26"/>
    </sheetView>
  </sheetViews>
  <sheetFormatPr defaultRowHeight="15" x14ac:dyDescent="0.25"/>
  <cols>
    <col min="1" max="1" width="21.42578125" style="120" customWidth="1"/>
    <col min="2" max="2" width="43.140625" style="120" customWidth="1"/>
    <col min="3" max="8" width="15.7109375" style="121" customWidth="1"/>
    <col min="9" max="16384" width="9.140625" style="120"/>
  </cols>
  <sheetData>
    <row r="1" spans="1:9" s="119" customFormat="1" x14ac:dyDescent="0.25">
      <c r="A1" s="122" t="s">
        <v>518</v>
      </c>
      <c r="B1" s="122" t="s">
        <v>519</v>
      </c>
      <c r="C1" s="123" t="s">
        <v>530</v>
      </c>
      <c r="D1" s="123" t="s">
        <v>531</v>
      </c>
      <c r="E1" s="123" t="s">
        <v>532</v>
      </c>
      <c r="F1" s="123" t="s">
        <v>533</v>
      </c>
      <c r="G1" s="123" t="s">
        <v>534</v>
      </c>
      <c r="H1" s="123" t="s">
        <v>535</v>
      </c>
      <c r="I1" s="119" t="s">
        <v>987</v>
      </c>
    </row>
    <row r="2" spans="1:9" x14ac:dyDescent="0.25">
      <c r="A2" s="368" t="s">
        <v>351</v>
      </c>
      <c r="B2" s="368" t="s">
        <v>350</v>
      </c>
      <c r="C2" s="124" t="s">
        <v>1042</v>
      </c>
      <c r="D2" s="124">
        <v>2.0329061867301982E-8</v>
      </c>
      <c r="E2" s="124" t="s">
        <v>1042</v>
      </c>
      <c r="F2" s="124">
        <v>1.6279569562509775E-8</v>
      </c>
      <c r="G2" s="124">
        <v>0.53651638944850399</v>
      </c>
      <c r="H2" s="124">
        <v>17.896737771834839</v>
      </c>
      <c r="I2" s="120" t="s">
        <v>962</v>
      </c>
    </row>
    <row r="3" spans="1:9" x14ac:dyDescent="0.25">
      <c r="A3" s="368" t="s">
        <v>355</v>
      </c>
      <c r="B3" s="368" t="s">
        <v>354</v>
      </c>
      <c r="C3" s="124" t="s">
        <v>1042</v>
      </c>
      <c r="D3" s="124">
        <v>5.8729527284859051E-7</v>
      </c>
      <c r="E3" s="124" t="s">
        <v>1042</v>
      </c>
      <c r="F3" s="124">
        <v>4.9841317466958876E-7</v>
      </c>
      <c r="G3" s="124">
        <v>0.72430805120024888</v>
      </c>
      <c r="H3" s="124">
        <v>4.3581145649604585</v>
      </c>
      <c r="I3" s="120" t="s">
        <v>963</v>
      </c>
    </row>
    <row r="4" spans="1:9" x14ac:dyDescent="0.25">
      <c r="A4" s="368" t="s">
        <v>388</v>
      </c>
      <c r="B4" s="368" t="s">
        <v>385</v>
      </c>
      <c r="C4" s="124">
        <v>2.3250974052490423E-6</v>
      </c>
      <c r="D4" s="124">
        <v>3.6419621494691573E-7</v>
      </c>
      <c r="E4" s="124">
        <v>1.7961299223192751E-6</v>
      </c>
      <c r="F4" s="124">
        <v>2.8134035063856268E-7</v>
      </c>
      <c r="G4" s="124">
        <v>10.290742530418507</v>
      </c>
      <c r="H4" s="124">
        <v>34.995514714186051</v>
      </c>
      <c r="I4" s="120" t="s">
        <v>964</v>
      </c>
    </row>
    <row r="5" spans="1:9" x14ac:dyDescent="0.25">
      <c r="A5" s="368" t="s">
        <v>20</v>
      </c>
      <c r="B5" s="368" t="s">
        <v>19</v>
      </c>
      <c r="C5" s="124" t="s">
        <v>1042</v>
      </c>
      <c r="D5" s="124">
        <v>2.5624272316803493E-8</v>
      </c>
      <c r="E5" s="124" t="s">
        <v>1042</v>
      </c>
      <c r="F5" s="124">
        <v>6.1179997974786175E-9</v>
      </c>
      <c r="G5" s="124">
        <v>95.727827940780713</v>
      </c>
      <c r="H5" s="124">
        <v>451.93033608164546</v>
      </c>
      <c r="I5" s="120" t="s">
        <v>965</v>
      </c>
    </row>
    <row r="6" spans="1:9" x14ac:dyDescent="0.25">
      <c r="A6" s="368" t="s">
        <v>406</v>
      </c>
      <c r="B6" s="368" t="s">
        <v>520</v>
      </c>
      <c r="C6" s="124" t="s">
        <v>1042</v>
      </c>
      <c r="D6" s="124">
        <v>9.5237882440380552E-7</v>
      </c>
      <c r="E6" s="124" t="s">
        <v>1042</v>
      </c>
      <c r="F6" s="124">
        <v>4.0376928672343864E-7</v>
      </c>
      <c r="G6" s="124">
        <v>42728.411313321136</v>
      </c>
      <c r="H6" s="124">
        <v>340826.10041745222</v>
      </c>
      <c r="I6" s="120" t="s">
        <v>966</v>
      </c>
    </row>
    <row r="7" spans="1:9" x14ac:dyDescent="0.25">
      <c r="A7" s="368" t="s">
        <v>408</v>
      </c>
      <c r="B7" s="368" t="s">
        <v>522</v>
      </c>
      <c r="C7" s="124">
        <v>3.2402001402515103E-6</v>
      </c>
      <c r="D7" s="124">
        <v>3.1758450329400821E-6</v>
      </c>
      <c r="E7" s="124">
        <v>3.1278405194725915E-6</v>
      </c>
      <c r="F7" s="124">
        <v>3.06571703833847E-6</v>
      </c>
      <c r="G7" s="124">
        <v>2135.3073415858121</v>
      </c>
      <c r="H7" s="124">
        <v>12814.417967387339</v>
      </c>
      <c r="I7" s="120" t="s">
        <v>967</v>
      </c>
    </row>
    <row r="8" spans="1:9" x14ac:dyDescent="0.25">
      <c r="A8" s="368" t="s">
        <v>410</v>
      </c>
      <c r="B8" s="368" t="s">
        <v>409</v>
      </c>
      <c r="C8" s="124" t="s">
        <v>1042</v>
      </c>
      <c r="D8" s="124">
        <v>8.7003832462917092E-7</v>
      </c>
      <c r="E8" s="124" t="s">
        <v>1042</v>
      </c>
      <c r="F8" s="124">
        <v>2.7457260536474955E-6</v>
      </c>
      <c r="G8" s="124">
        <v>52.321095912391769</v>
      </c>
      <c r="H8" s="124">
        <v>874.99372991643975</v>
      </c>
      <c r="I8" s="120" t="s">
        <v>968</v>
      </c>
    </row>
    <row r="9" spans="1:9" x14ac:dyDescent="0.25">
      <c r="A9" s="368" t="s">
        <v>346</v>
      </c>
      <c r="B9" s="368" t="s">
        <v>345</v>
      </c>
      <c r="C9" s="124" t="s">
        <v>1042</v>
      </c>
      <c r="D9" s="124">
        <v>8.1179329386441515E-8</v>
      </c>
      <c r="E9" s="124" t="s">
        <v>1042</v>
      </c>
      <c r="F9" s="124">
        <v>7.8031633531056265E-8</v>
      </c>
      <c r="G9" s="124">
        <v>4.5011780294423369</v>
      </c>
      <c r="H9" s="124">
        <v>334.03265081013427</v>
      </c>
      <c r="I9" s="120" t="s">
        <v>969</v>
      </c>
    </row>
    <row r="10" spans="1:9" x14ac:dyDescent="0.25">
      <c r="A10" s="368" t="s">
        <v>324</v>
      </c>
      <c r="B10" s="368" t="s">
        <v>322</v>
      </c>
      <c r="C10" s="124" t="s">
        <v>1042</v>
      </c>
      <c r="D10" s="124">
        <v>1.1888893581402534E-5</v>
      </c>
      <c r="E10" s="124" t="s">
        <v>1042</v>
      </c>
      <c r="F10" s="124">
        <v>7.0689535047744857E-6</v>
      </c>
      <c r="G10" s="124">
        <v>1492.7897822209411</v>
      </c>
      <c r="H10" s="124">
        <v>7112.796756402201</v>
      </c>
      <c r="I10" s="120" t="s">
        <v>970</v>
      </c>
    </row>
    <row r="11" spans="1:9" x14ac:dyDescent="0.25">
      <c r="A11" s="369" t="s">
        <v>524</v>
      </c>
      <c r="B11" s="369" t="s">
        <v>525</v>
      </c>
      <c r="C11" s="124" t="s">
        <v>1042</v>
      </c>
      <c r="D11" s="124">
        <v>1.318367210059499E-10</v>
      </c>
      <c r="E11" s="124" t="s">
        <v>1042</v>
      </c>
      <c r="F11" s="124">
        <v>1.3016448977650344E-10</v>
      </c>
      <c r="G11" s="124">
        <v>1.1181204517092254</v>
      </c>
      <c r="H11" s="124">
        <v>78.957506928451508</v>
      </c>
      <c r="I11" s="120" t="s">
        <v>971</v>
      </c>
    </row>
    <row r="12" spans="1:9" x14ac:dyDescent="0.25">
      <c r="A12" s="368" t="s">
        <v>332</v>
      </c>
      <c r="B12" s="368" t="s">
        <v>331</v>
      </c>
      <c r="C12" s="124">
        <v>2.4224725584266991E-6</v>
      </c>
      <c r="D12" s="124">
        <v>2.0887939508354515E-5</v>
      </c>
      <c r="E12" s="124">
        <v>1.6936585016241113E-4</v>
      </c>
      <c r="F12" s="124">
        <v>1.4603689196261023E-3</v>
      </c>
      <c r="G12" s="124">
        <v>0.9697533216501103</v>
      </c>
      <c r="H12" s="124">
        <v>72.165054738665006</v>
      </c>
      <c r="I12" s="120" t="s">
        <v>972</v>
      </c>
    </row>
    <row r="13" spans="1:9" x14ac:dyDescent="0.25">
      <c r="A13" s="368" t="s">
        <v>375</v>
      </c>
      <c r="B13" s="368" t="s">
        <v>374</v>
      </c>
      <c r="C13" s="124">
        <v>1.0125738980457451E-5</v>
      </c>
      <c r="D13" s="124">
        <v>2.402763568235903E-7</v>
      </c>
      <c r="E13" s="124">
        <v>3.0394472430218979E-5</v>
      </c>
      <c r="F13" s="124">
        <v>7.2123853056087206E-7</v>
      </c>
      <c r="G13" s="124">
        <v>299.02729835072751</v>
      </c>
      <c r="H13" s="124">
        <v>14736.446441074942</v>
      </c>
      <c r="I13" s="120" t="s">
        <v>973</v>
      </c>
    </row>
    <row r="14" spans="1:9" x14ac:dyDescent="0.25">
      <c r="A14" s="368" t="s">
        <v>343</v>
      </c>
      <c r="B14" s="368" t="s">
        <v>342</v>
      </c>
      <c r="C14" s="124" t="s">
        <v>1042</v>
      </c>
      <c r="D14" s="124">
        <v>2.0942196184765528E-7</v>
      </c>
      <c r="E14" s="124" t="s">
        <v>1042</v>
      </c>
      <c r="F14" s="124">
        <v>5.0647488094997803E-7</v>
      </c>
      <c r="G14" s="124">
        <v>34.738332655743193</v>
      </c>
      <c r="H14" s="124">
        <v>225.42399808342381</v>
      </c>
      <c r="I14" s="120" t="s">
        <v>974</v>
      </c>
    </row>
    <row r="15" spans="1:9" x14ac:dyDescent="0.25">
      <c r="A15" s="368" t="s">
        <v>335</v>
      </c>
      <c r="B15" s="368" t="s">
        <v>334</v>
      </c>
      <c r="C15" s="124">
        <v>2.7181232690265344E-5</v>
      </c>
      <c r="D15" s="124">
        <v>1.4493077665655838E-4</v>
      </c>
      <c r="E15" s="124">
        <v>1.2704710305144268E-4</v>
      </c>
      <c r="F15" s="124">
        <v>6.6145735943285984E-4</v>
      </c>
      <c r="G15" s="124">
        <v>543.12191519086628</v>
      </c>
      <c r="H15" s="124">
        <v>5756.1061217830984</v>
      </c>
      <c r="I15" s="120" t="s">
        <v>975</v>
      </c>
    </row>
    <row r="16" spans="1:9" x14ac:dyDescent="0.25">
      <c r="A16" s="368" t="s">
        <v>13</v>
      </c>
      <c r="B16" s="368" t="s">
        <v>15</v>
      </c>
      <c r="C16" s="124" t="s">
        <v>1042</v>
      </c>
      <c r="D16" s="124">
        <v>1.2009414857886904E-7</v>
      </c>
      <c r="E16" s="124" t="s">
        <v>1042</v>
      </c>
      <c r="F16" s="124">
        <v>3.2843909509658706E-7</v>
      </c>
      <c r="G16" s="124">
        <v>14.526941022240393</v>
      </c>
      <c r="H16" s="124">
        <v>850.80798546821234</v>
      </c>
      <c r="I16" s="120" t="s">
        <v>976</v>
      </c>
    </row>
    <row r="17" spans="1:15" x14ac:dyDescent="0.25">
      <c r="A17" s="368" t="s">
        <v>348</v>
      </c>
      <c r="B17" s="368" t="s">
        <v>347</v>
      </c>
      <c r="C17" s="124" t="s">
        <v>1042</v>
      </c>
      <c r="D17" s="124">
        <v>6.2538133429034873E-7</v>
      </c>
      <c r="E17" s="124" t="s">
        <v>1042</v>
      </c>
      <c r="F17" s="124">
        <v>1.2412846649149321E-6</v>
      </c>
      <c r="G17" s="124">
        <v>15.522276473671107</v>
      </c>
      <c r="H17" s="124">
        <v>53.850062505781295</v>
      </c>
      <c r="I17" s="120" t="s">
        <v>977</v>
      </c>
    </row>
    <row r="18" spans="1:15" x14ac:dyDescent="0.25">
      <c r="A18" s="368" t="s">
        <v>401</v>
      </c>
      <c r="B18" s="368" t="s">
        <v>400</v>
      </c>
      <c r="C18" s="124" t="s">
        <v>1042</v>
      </c>
      <c r="D18" s="124">
        <v>4.7523947982961088E-7</v>
      </c>
      <c r="E18" s="124" t="s">
        <v>1042</v>
      </c>
      <c r="F18" s="124">
        <v>5.9553870155211211E-7</v>
      </c>
      <c r="G18" s="124">
        <v>174.02319075927511</v>
      </c>
      <c r="H18" s="124">
        <v>3693.4608260790387</v>
      </c>
      <c r="I18" s="120" t="s">
        <v>978</v>
      </c>
    </row>
    <row r="19" spans="1:15" x14ac:dyDescent="0.25">
      <c r="A19" s="368" t="s">
        <v>398</v>
      </c>
      <c r="B19" s="368" t="s">
        <v>396</v>
      </c>
      <c r="C19" s="124" t="s">
        <v>1042</v>
      </c>
      <c r="D19" s="124" t="s">
        <v>1042</v>
      </c>
      <c r="E19" s="124" t="s">
        <v>1042</v>
      </c>
      <c r="F19" s="124" t="s">
        <v>1042</v>
      </c>
      <c r="G19" s="124">
        <v>279.49742748859956</v>
      </c>
      <c r="H19" s="124">
        <v>3271.914827468459</v>
      </c>
      <c r="I19" s="120" t="s">
        <v>979</v>
      </c>
    </row>
    <row r="20" spans="1:15" x14ac:dyDescent="0.25">
      <c r="A20" s="368" t="s">
        <v>528</v>
      </c>
      <c r="B20" s="368" t="s">
        <v>529</v>
      </c>
      <c r="C20" s="124">
        <v>2.9376617915978413E-5</v>
      </c>
      <c r="D20" s="124">
        <v>1.5549232836361298E-6</v>
      </c>
      <c r="E20" s="124">
        <v>1.297252698814143E-4</v>
      </c>
      <c r="F20" s="124">
        <v>6.8664419842856388E-6</v>
      </c>
      <c r="G20" s="124">
        <v>592.97072899355226</v>
      </c>
      <c r="H20" s="124">
        <v>25933.156665271843</v>
      </c>
      <c r="I20" s="120" t="s">
        <v>980</v>
      </c>
    </row>
    <row r="21" spans="1:15" x14ac:dyDescent="0.25">
      <c r="A21" s="368" t="s">
        <v>363</v>
      </c>
      <c r="B21" s="368" t="s">
        <v>360</v>
      </c>
      <c r="C21" s="124" t="s">
        <v>1042</v>
      </c>
      <c r="D21" s="124">
        <v>4.8150971100649583E-7</v>
      </c>
      <c r="E21" s="124" t="s">
        <v>1042</v>
      </c>
      <c r="F21" s="124">
        <v>3.4017420676238008E-5</v>
      </c>
      <c r="G21" s="124">
        <v>0.21984397801517921</v>
      </c>
      <c r="H21" s="124">
        <v>16.35619356945876</v>
      </c>
      <c r="I21" s="120" t="s">
        <v>981</v>
      </c>
    </row>
    <row r="22" spans="1:15" x14ac:dyDescent="0.25">
      <c r="A22" s="369" t="s">
        <v>61</v>
      </c>
      <c r="B22" s="369" t="s">
        <v>66</v>
      </c>
      <c r="C22" s="124" t="s">
        <v>1042</v>
      </c>
      <c r="D22" s="124">
        <v>3.4962401965755862E-5</v>
      </c>
      <c r="E22" s="124" t="s">
        <v>1042</v>
      </c>
      <c r="F22" s="124">
        <v>1.4442852689626513E-7</v>
      </c>
      <c r="G22" s="124">
        <v>1.7253896630384493</v>
      </c>
      <c r="H22" s="124">
        <v>5.4794308572283885</v>
      </c>
      <c r="I22" s="120" t="s">
        <v>982</v>
      </c>
    </row>
    <row r="23" spans="1:15" x14ac:dyDescent="0.25">
      <c r="A23" s="368" t="s">
        <v>521</v>
      </c>
      <c r="B23" s="368" t="s">
        <v>373</v>
      </c>
      <c r="C23" s="124" t="s">
        <v>1042</v>
      </c>
      <c r="D23" s="124">
        <v>2.0520474093865351E-7</v>
      </c>
      <c r="E23" s="124" t="s">
        <v>1042</v>
      </c>
      <c r="F23" s="124">
        <v>1.1065026602356948E-5</v>
      </c>
      <c r="G23" s="124">
        <v>1067.7302200139782</v>
      </c>
      <c r="H23" s="124">
        <v>79444.76315026985</v>
      </c>
      <c r="I23" s="120" t="s">
        <v>983</v>
      </c>
    </row>
    <row r="24" spans="1:15" x14ac:dyDescent="0.25">
      <c r="A24" s="368" t="s">
        <v>413</v>
      </c>
      <c r="B24" s="368" t="s">
        <v>523</v>
      </c>
      <c r="C24" s="124">
        <v>2.2701039332195017E-6</v>
      </c>
      <c r="D24" s="124">
        <v>1.0897838795924354E-6</v>
      </c>
      <c r="E24" s="124">
        <v>1.8624372526347541E-5</v>
      </c>
      <c r="F24" s="124">
        <v>8.9407981060818138E-6</v>
      </c>
      <c r="G24" s="124">
        <v>907.36586611441669</v>
      </c>
      <c r="H24" s="124">
        <v>26769.356812364109</v>
      </c>
      <c r="I24" s="120" t="s">
        <v>984</v>
      </c>
      <c r="L24" s="243" t="s">
        <v>988</v>
      </c>
      <c r="M24" s="120" t="s">
        <v>94</v>
      </c>
      <c r="N24" s="120" t="s">
        <v>989</v>
      </c>
      <c r="O24" s="124">
        <v>8013.7055539816765</v>
      </c>
    </row>
    <row r="25" spans="1:15" x14ac:dyDescent="0.25">
      <c r="A25" s="368" t="s">
        <v>314</v>
      </c>
      <c r="B25" s="368" t="s">
        <v>313</v>
      </c>
      <c r="C25" s="124" t="s">
        <v>1042</v>
      </c>
      <c r="D25" s="124">
        <v>1.1135698593690228E-7</v>
      </c>
      <c r="E25" s="124" t="s">
        <v>1042</v>
      </c>
      <c r="F25" s="124">
        <v>5.8568889081207134E-7</v>
      </c>
      <c r="G25" s="124">
        <v>9807.1010123430624</v>
      </c>
      <c r="H25" s="124">
        <v>478403.0544103132</v>
      </c>
      <c r="I25" s="120" t="s">
        <v>985</v>
      </c>
    </row>
    <row r="26" spans="1:15" x14ac:dyDescent="0.25">
      <c r="A26" s="368" t="s">
        <v>526</v>
      </c>
      <c r="B26" s="368" t="s">
        <v>1041</v>
      </c>
      <c r="C26" s="124" t="s">
        <v>1042</v>
      </c>
      <c r="D26" s="124">
        <v>1.6437731647150863E-6</v>
      </c>
      <c r="E26" s="124" t="s">
        <v>1042</v>
      </c>
      <c r="F26" s="124">
        <v>9.8891167609639291E-6</v>
      </c>
      <c r="G26" s="124">
        <v>25539.178143122717</v>
      </c>
      <c r="H26" s="124">
        <v>766743.80504211958</v>
      </c>
      <c r="I26" s="120" t="s">
        <v>986</v>
      </c>
    </row>
    <row r="28" spans="1:15" x14ac:dyDescent="0.25">
      <c r="A28" s="233" t="s">
        <v>958</v>
      </c>
    </row>
    <row r="29" spans="1:15" x14ac:dyDescent="0.25">
      <c r="A29" s="233" t="s">
        <v>959</v>
      </c>
    </row>
  </sheetData>
  <autoFilter ref="A1:H1" xr:uid="{00000000-0009-0000-0000-000026000000}">
    <sortState ref="A2:H26">
      <sortCondition ref="A1"/>
    </sortState>
  </autoFilter>
  <pageMargins left="0.70866141732283472" right="0.70866141732283472"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39"/>
  <sheetViews>
    <sheetView zoomScale="80" zoomScaleNormal="80" workbookViewId="0">
      <selection activeCell="E14" sqref="E14"/>
    </sheetView>
  </sheetViews>
  <sheetFormatPr defaultRowHeight="12.75" x14ac:dyDescent="0.2"/>
  <cols>
    <col min="1" max="1" width="54.42578125" style="244" bestFit="1" customWidth="1"/>
    <col min="2" max="4" width="9.140625" style="244"/>
    <col min="5" max="5" width="11.140625" style="244" customWidth="1"/>
    <col min="6" max="20" width="9.140625" style="244"/>
    <col min="21" max="21" width="9.85546875" style="244" bestFit="1" customWidth="1"/>
    <col min="22" max="22" width="9.140625" style="244"/>
    <col min="23" max="23" width="10.140625" style="244" bestFit="1" customWidth="1"/>
    <col min="24" max="29" width="9.140625" style="244"/>
    <col min="30" max="32" width="12.28515625" style="244" customWidth="1"/>
    <col min="33" max="33" width="10.140625" style="244" bestFit="1" customWidth="1"/>
    <col min="34" max="16384" width="9.140625" style="244"/>
  </cols>
  <sheetData>
    <row r="1" spans="1:33" ht="16.5" thickBot="1" x14ac:dyDescent="0.3">
      <c r="A1" s="37" t="s">
        <v>444</v>
      </c>
      <c r="B1" s="38"/>
      <c r="C1" s="38" t="s">
        <v>217</v>
      </c>
      <c r="D1" s="38" t="s">
        <v>11</v>
      </c>
      <c r="E1" s="39" t="s">
        <v>180</v>
      </c>
      <c r="G1" s="263" t="s">
        <v>440</v>
      </c>
      <c r="H1" s="264"/>
      <c r="I1" s="264" t="s">
        <v>217</v>
      </c>
      <c r="J1" s="264" t="s">
        <v>11</v>
      </c>
      <c r="K1" s="265" t="s">
        <v>180</v>
      </c>
      <c r="M1" s="266" t="s">
        <v>441</v>
      </c>
      <c r="N1" s="267"/>
      <c r="O1" s="268" t="s">
        <v>217</v>
      </c>
      <c r="P1" s="268" t="s">
        <v>11</v>
      </c>
      <c r="Q1" s="269" t="s">
        <v>180</v>
      </c>
      <c r="S1" s="270" t="s">
        <v>442</v>
      </c>
      <c r="T1" s="271"/>
      <c r="U1" s="271" t="s">
        <v>217</v>
      </c>
      <c r="V1" s="271" t="s">
        <v>11</v>
      </c>
      <c r="W1" s="272" t="s">
        <v>180</v>
      </c>
      <c r="Y1" s="273" t="s">
        <v>443</v>
      </c>
      <c r="Z1" s="274"/>
      <c r="AA1" s="274" t="s">
        <v>217</v>
      </c>
      <c r="AB1" s="274" t="s">
        <v>11</v>
      </c>
      <c r="AC1" s="275" t="s">
        <v>180</v>
      </c>
      <c r="AD1" s="260"/>
      <c r="AE1" s="260"/>
      <c r="AF1" s="276" t="s">
        <v>710</v>
      </c>
      <c r="AG1" s="260"/>
    </row>
    <row r="2" spans="1:33" x14ac:dyDescent="0.2">
      <c r="A2" s="277" t="s">
        <v>218</v>
      </c>
      <c r="B2" s="281"/>
      <c r="C2" s="281"/>
      <c r="D2" s="281"/>
      <c r="E2" s="279"/>
      <c r="G2" s="277" t="s">
        <v>218</v>
      </c>
      <c r="H2" s="281"/>
      <c r="I2" s="281"/>
      <c r="J2" s="281"/>
      <c r="K2" s="279"/>
      <c r="M2" s="277" t="s">
        <v>218</v>
      </c>
      <c r="N2" s="281"/>
      <c r="O2" s="281"/>
      <c r="P2" s="281"/>
      <c r="Q2" s="279"/>
      <c r="S2" s="277" t="s">
        <v>218</v>
      </c>
      <c r="T2" s="281"/>
      <c r="U2" s="281"/>
      <c r="V2" s="281"/>
      <c r="W2" s="279"/>
      <c r="Y2" s="277" t="s">
        <v>218</v>
      </c>
      <c r="Z2" s="281"/>
      <c r="AA2" s="281"/>
      <c r="AB2" s="281"/>
      <c r="AC2" s="279"/>
      <c r="AD2" s="260"/>
      <c r="AE2" s="260"/>
      <c r="AF2" s="284" t="s">
        <v>947</v>
      </c>
      <c r="AG2" s="260" t="s">
        <v>916</v>
      </c>
    </row>
    <row r="3" spans="1:33" x14ac:dyDescent="0.2">
      <c r="A3" s="280" t="s">
        <v>439</v>
      </c>
      <c r="B3" s="281"/>
      <c r="C3" s="281">
        <v>1</v>
      </c>
      <c r="D3" s="281" t="s">
        <v>2</v>
      </c>
      <c r="E3" s="282"/>
      <c r="G3" s="280" t="s">
        <v>439</v>
      </c>
      <c r="H3" s="281"/>
      <c r="I3" s="281">
        <v>1</v>
      </c>
      <c r="J3" s="281" t="s">
        <v>2</v>
      </c>
      <c r="K3" s="282"/>
      <c r="M3" s="280" t="s">
        <v>439</v>
      </c>
      <c r="N3" s="281"/>
      <c r="O3" s="281">
        <v>1</v>
      </c>
      <c r="P3" s="281" t="s">
        <v>2</v>
      </c>
      <c r="Q3" s="282"/>
      <c r="S3" s="280" t="s">
        <v>439</v>
      </c>
      <c r="T3" s="281"/>
      <c r="U3" s="281">
        <v>1</v>
      </c>
      <c r="V3" s="281" t="s">
        <v>2</v>
      </c>
      <c r="W3" s="282"/>
      <c r="Y3" s="280" t="s">
        <v>439</v>
      </c>
      <c r="Z3" s="281"/>
      <c r="AA3" s="281">
        <v>1</v>
      </c>
      <c r="AB3" s="281" t="s">
        <v>2</v>
      </c>
      <c r="AC3" s="282"/>
      <c r="AD3" s="260"/>
      <c r="AE3" s="260" t="s">
        <v>260</v>
      </c>
      <c r="AF3" s="284">
        <v>4.9788644674422597</v>
      </c>
      <c r="AG3" s="260"/>
    </row>
    <row r="4" spans="1:33" x14ac:dyDescent="0.2">
      <c r="A4" s="277" t="s">
        <v>187</v>
      </c>
      <c r="B4" s="281"/>
      <c r="C4" s="281"/>
      <c r="D4" s="281"/>
      <c r="E4" s="282"/>
      <c r="G4" s="277" t="s">
        <v>187</v>
      </c>
      <c r="H4" s="281"/>
      <c r="I4" s="281"/>
      <c r="J4" s="281"/>
      <c r="K4" s="282"/>
      <c r="L4" s="1"/>
      <c r="M4" s="277" t="s">
        <v>187</v>
      </c>
      <c r="N4" s="281"/>
      <c r="O4" s="281"/>
      <c r="P4" s="281"/>
      <c r="Q4" s="282"/>
      <c r="R4" s="1"/>
      <c r="S4" s="277" t="s">
        <v>187</v>
      </c>
      <c r="T4" s="281"/>
      <c r="U4" s="281"/>
      <c r="V4" s="281"/>
      <c r="W4" s="282"/>
      <c r="X4" s="1"/>
      <c r="Y4" s="277" t="s">
        <v>187</v>
      </c>
      <c r="Z4" s="281"/>
      <c r="AA4" s="281"/>
      <c r="AB4" s="281"/>
      <c r="AC4" s="282"/>
      <c r="AD4" s="18"/>
      <c r="AE4" s="260" t="s">
        <v>261</v>
      </c>
      <c r="AF4" s="284">
        <v>6.12147765082671E-4</v>
      </c>
      <c r="AG4" s="18"/>
    </row>
    <row r="5" spans="1:33" x14ac:dyDescent="0.2">
      <c r="A5" s="280" t="s">
        <v>434</v>
      </c>
      <c r="B5" s="281"/>
      <c r="C5" s="281">
        <v>0.01</v>
      </c>
      <c r="D5" s="281" t="s">
        <v>2</v>
      </c>
      <c r="E5" s="282" t="s">
        <v>179</v>
      </c>
      <c r="G5" s="280" t="s">
        <v>434</v>
      </c>
      <c r="H5" s="281"/>
      <c r="I5" s="281">
        <v>0.01</v>
      </c>
      <c r="J5" s="281" t="s">
        <v>2</v>
      </c>
      <c r="K5" s="282" t="s">
        <v>179</v>
      </c>
      <c r="M5" s="280" t="s">
        <v>434</v>
      </c>
      <c r="N5" s="281"/>
      <c r="O5" s="281">
        <v>0.01</v>
      </c>
      <c r="P5" s="281" t="s">
        <v>2</v>
      </c>
      <c r="Q5" s="282" t="s">
        <v>179</v>
      </c>
      <c r="S5" s="280" t="s">
        <v>434</v>
      </c>
      <c r="T5" s="281"/>
      <c r="U5" s="281">
        <v>0.01</v>
      </c>
      <c r="V5" s="281" t="s">
        <v>2</v>
      </c>
      <c r="W5" s="282" t="s">
        <v>179</v>
      </c>
      <c r="Y5" s="280" t="s">
        <v>434</v>
      </c>
      <c r="Z5" s="281"/>
      <c r="AA5" s="281">
        <v>0.01</v>
      </c>
      <c r="AB5" s="281" t="s">
        <v>2</v>
      </c>
      <c r="AC5" s="282" t="s">
        <v>179</v>
      </c>
      <c r="AD5" s="260"/>
      <c r="AE5" s="260" t="s">
        <v>262</v>
      </c>
      <c r="AF5" s="284">
        <v>4.6314908911145203E-2</v>
      </c>
      <c r="AG5" s="260"/>
    </row>
    <row r="6" spans="1:33" x14ac:dyDescent="0.2">
      <c r="A6" s="336" t="s">
        <v>1010</v>
      </c>
      <c r="B6" s="281"/>
      <c r="C6" s="281">
        <v>2.0000000000000001E-4</v>
      </c>
      <c r="D6" s="281" t="s">
        <v>2</v>
      </c>
      <c r="E6" s="282" t="s">
        <v>179</v>
      </c>
      <c r="G6" s="336" t="s">
        <v>1010</v>
      </c>
      <c r="H6" s="281"/>
      <c r="I6" s="281">
        <v>2.0000000000000001E-4</v>
      </c>
      <c r="J6" s="281" t="s">
        <v>2</v>
      </c>
      <c r="K6" s="282" t="s">
        <v>179</v>
      </c>
      <c r="L6" s="1"/>
      <c r="M6" s="336" t="s">
        <v>1010</v>
      </c>
      <c r="N6" s="281"/>
      <c r="O6" s="281">
        <v>2.0000000000000001E-4</v>
      </c>
      <c r="P6" s="281" t="s">
        <v>2</v>
      </c>
      <c r="Q6" s="282" t="s">
        <v>179</v>
      </c>
      <c r="R6" s="1"/>
      <c r="S6" s="336" t="s">
        <v>1010</v>
      </c>
      <c r="T6" s="281"/>
      <c r="U6" s="281">
        <v>2.0000000000000001E-4</v>
      </c>
      <c r="V6" s="281" t="s">
        <v>2</v>
      </c>
      <c r="W6" s="282" t="s">
        <v>179</v>
      </c>
      <c r="X6" s="1"/>
      <c r="Y6" s="336" t="s">
        <v>1010</v>
      </c>
      <c r="Z6" s="281"/>
      <c r="AA6" s="244">
        <v>0</v>
      </c>
      <c r="AB6" s="281" t="s">
        <v>2</v>
      </c>
      <c r="AC6" s="282" t="s">
        <v>179</v>
      </c>
      <c r="AD6" s="18"/>
      <c r="AE6" s="260" t="s">
        <v>263</v>
      </c>
      <c r="AF6" s="284">
        <v>1.6678733413968201E-2</v>
      </c>
    </row>
    <row r="7" spans="1:33" x14ac:dyDescent="0.2">
      <c r="A7" s="280" t="s">
        <v>1007</v>
      </c>
      <c r="B7" s="281"/>
      <c r="C7" s="281">
        <v>0</v>
      </c>
      <c r="D7" s="281" t="s">
        <v>2</v>
      </c>
      <c r="E7" s="282" t="s">
        <v>179</v>
      </c>
      <c r="G7" s="280" t="s">
        <v>1007</v>
      </c>
      <c r="H7" s="281"/>
      <c r="I7" s="281">
        <v>0</v>
      </c>
      <c r="J7" s="281" t="s">
        <v>2</v>
      </c>
      <c r="K7" s="282" t="s">
        <v>179</v>
      </c>
      <c r="M7" s="280" t="s">
        <v>1007</v>
      </c>
      <c r="N7" s="281"/>
      <c r="O7" s="281">
        <v>0</v>
      </c>
      <c r="P7" s="281" t="s">
        <v>2</v>
      </c>
      <c r="Q7" s="282" t="s">
        <v>179</v>
      </c>
      <c r="S7" s="280" t="s">
        <v>1007</v>
      </c>
      <c r="T7" s="281"/>
      <c r="U7" s="281">
        <v>0</v>
      </c>
      <c r="V7" s="281" t="s">
        <v>2</v>
      </c>
      <c r="W7" s="282" t="s">
        <v>179</v>
      </c>
      <c r="Y7" s="280" t="s">
        <v>1007</v>
      </c>
      <c r="Z7" s="281"/>
      <c r="AA7" s="281">
        <v>2.0000000000000001E-4</v>
      </c>
      <c r="AB7" s="281" t="s">
        <v>2</v>
      </c>
      <c r="AC7" s="373" t="s">
        <v>1077</v>
      </c>
      <c r="AD7" s="3" t="s">
        <v>87</v>
      </c>
      <c r="AE7" s="260" t="s">
        <v>264</v>
      </c>
      <c r="AF7" s="284">
        <v>2.1915357613923801E-2</v>
      </c>
    </row>
    <row r="8" spans="1:33" ht="15" x14ac:dyDescent="0.2">
      <c r="A8" s="280" t="s">
        <v>1005</v>
      </c>
      <c r="B8" s="281"/>
      <c r="C8" s="281">
        <v>2.0000000000000001E-4</v>
      </c>
      <c r="D8" s="281" t="s">
        <v>2</v>
      </c>
      <c r="E8" s="282" t="s">
        <v>179</v>
      </c>
      <c r="G8" s="280" t="s">
        <v>1005</v>
      </c>
      <c r="H8" s="281"/>
      <c r="I8" s="281">
        <v>2.0000000000000001E-4</v>
      </c>
      <c r="J8" s="281" t="s">
        <v>2</v>
      </c>
      <c r="K8" s="282" t="s">
        <v>179</v>
      </c>
      <c r="M8" s="280" t="s">
        <v>1005</v>
      </c>
      <c r="N8" s="281"/>
      <c r="O8" s="281">
        <v>2.0000000000000001E-4</v>
      </c>
      <c r="P8" s="281" t="s">
        <v>2</v>
      </c>
      <c r="Q8" s="282" t="s">
        <v>179</v>
      </c>
      <c r="S8" s="280" t="s">
        <v>1005</v>
      </c>
      <c r="T8" s="281"/>
      <c r="U8" s="281">
        <v>1E-4</v>
      </c>
      <c r="V8" s="281" t="s">
        <v>2</v>
      </c>
      <c r="W8" s="373" t="s">
        <v>1075</v>
      </c>
      <c r="X8" t="s">
        <v>87</v>
      </c>
      <c r="Y8" s="280" t="s">
        <v>1005</v>
      </c>
      <c r="Z8" s="281"/>
      <c r="AA8" s="281">
        <v>4.0000000000000002E-4</v>
      </c>
      <c r="AB8" s="281" t="s">
        <v>2</v>
      </c>
      <c r="AC8" s="282" t="s">
        <v>179</v>
      </c>
      <c r="AD8" s="260"/>
      <c r="AE8" s="260" t="s">
        <v>675</v>
      </c>
      <c r="AF8" s="284">
        <v>3.1379568152405199</v>
      </c>
    </row>
    <row r="9" spans="1:33" x14ac:dyDescent="0.2">
      <c r="A9" s="277" t="s">
        <v>205</v>
      </c>
      <c r="B9" s="281"/>
      <c r="C9" s="281"/>
      <c r="D9" s="281"/>
      <c r="E9" s="286"/>
      <c r="G9" s="277" t="s">
        <v>205</v>
      </c>
      <c r="H9" s="281"/>
      <c r="I9" s="281"/>
      <c r="J9" s="281"/>
      <c r="K9" s="337"/>
      <c r="L9" s="218"/>
      <c r="M9" s="338" t="s">
        <v>205</v>
      </c>
      <c r="N9" s="339"/>
      <c r="O9" s="339"/>
      <c r="P9" s="339"/>
      <c r="Q9" s="337"/>
      <c r="R9" s="218"/>
      <c r="S9" s="277" t="s">
        <v>205</v>
      </c>
      <c r="T9" s="281"/>
      <c r="U9" s="281"/>
      <c r="V9" s="281"/>
      <c r="W9" s="286"/>
      <c r="Y9" s="277" t="s">
        <v>205</v>
      </c>
      <c r="Z9" s="281"/>
      <c r="AA9" s="281"/>
      <c r="AB9" s="281"/>
      <c r="AC9" s="286"/>
      <c r="AE9" s="260" t="s">
        <v>266</v>
      </c>
      <c r="AF9" s="284">
        <v>6.3629764934931098E-7</v>
      </c>
      <c r="AG9" s="316">
        <f>AE22</f>
        <v>2.3362849443984664E-12</v>
      </c>
    </row>
    <row r="10" spans="1:33" x14ac:dyDescent="0.2">
      <c r="A10" s="280" t="s">
        <v>206</v>
      </c>
      <c r="B10" s="281"/>
      <c r="C10" s="281">
        <v>1.5</v>
      </c>
      <c r="D10" s="281" t="s">
        <v>207</v>
      </c>
      <c r="E10" s="337" t="s">
        <v>1076</v>
      </c>
      <c r="G10" s="280" t="s">
        <v>206</v>
      </c>
      <c r="H10" s="281"/>
      <c r="I10" s="281">
        <f>0.69+1</f>
        <v>1.69</v>
      </c>
      <c r="J10" s="281" t="s">
        <v>207</v>
      </c>
      <c r="K10" s="340" t="s">
        <v>1080</v>
      </c>
      <c r="L10" s="218" t="s">
        <v>87</v>
      </c>
      <c r="M10" s="341" t="s">
        <v>206</v>
      </c>
      <c r="N10" s="339"/>
      <c r="O10" s="339">
        <v>4.22</v>
      </c>
      <c r="P10" s="339" t="s">
        <v>207</v>
      </c>
      <c r="Q10" s="340"/>
      <c r="R10" s="218"/>
      <c r="S10" s="280" t="s">
        <v>206</v>
      </c>
      <c r="T10" s="281"/>
      <c r="U10" s="281">
        <v>1.5</v>
      </c>
      <c r="V10" s="281" t="s">
        <v>207</v>
      </c>
      <c r="W10" s="286" t="s">
        <v>179</v>
      </c>
      <c r="Y10" s="280" t="s">
        <v>206</v>
      </c>
      <c r="Z10" s="281"/>
      <c r="AA10" s="281">
        <v>1.5</v>
      </c>
      <c r="AB10" s="281" t="s">
        <v>207</v>
      </c>
      <c r="AC10" s="286" t="s">
        <v>179</v>
      </c>
      <c r="AE10" s="260" t="s">
        <v>267</v>
      </c>
      <c r="AF10" s="284">
        <v>1.2644656938331501E-7</v>
      </c>
      <c r="AG10" s="316">
        <f>AD22</f>
        <v>0</v>
      </c>
    </row>
    <row r="11" spans="1:33" x14ac:dyDescent="0.2">
      <c r="A11" s="280" t="s">
        <v>208</v>
      </c>
      <c r="B11" s="281"/>
      <c r="C11" s="281">
        <v>2.2000000000000002</v>
      </c>
      <c r="D11" s="358" t="s">
        <v>455</v>
      </c>
      <c r="E11" s="337" t="s">
        <v>1076</v>
      </c>
      <c r="G11" s="336" t="s">
        <v>1079</v>
      </c>
      <c r="H11" s="281"/>
      <c r="I11" s="281">
        <v>4.75</v>
      </c>
      <c r="J11" s="358" t="s">
        <v>455</v>
      </c>
      <c r="K11" s="340" t="s">
        <v>1080</v>
      </c>
      <c r="L11" s="218" t="s">
        <v>87</v>
      </c>
      <c r="M11" s="336" t="s">
        <v>1082</v>
      </c>
      <c r="N11" s="339"/>
      <c r="O11" s="339">
        <v>14.79</v>
      </c>
      <c r="P11" s="358" t="s">
        <v>455</v>
      </c>
      <c r="Q11" s="340"/>
      <c r="R11" s="218"/>
      <c r="S11" s="280" t="s">
        <v>208</v>
      </c>
      <c r="T11" s="281"/>
      <c r="U11" s="281">
        <v>2.2000000000000002</v>
      </c>
      <c r="V11" s="358" t="s">
        <v>455</v>
      </c>
      <c r="W11" s="286" t="s">
        <v>179</v>
      </c>
      <c r="Y11" s="280" t="s">
        <v>208</v>
      </c>
      <c r="Z11" s="281"/>
      <c r="AA11" s="281">
        <v>2.2000000000000002</v>
      </c>
      <c r="AB11" s="358" t="s">
        <v>455</v>
      </c>
      <c r="AC11" s="286" t="s">
        <v>179</v>
      </c>
      <c r="AE11" s="260" t="s">
        <v>268</v>
      </c>
      <c r="AF11" s="284">
        <v>10.310845810881601</v>
      </c>
      <c r="AG11" s="316">
        <f>AF21</f>
        <v>1.1994953414076736E-5</v>
      </c>
    </row>
    <row r="12" spans="1:33" x14ac:dyDescent="0.2">
      <c r="A12" s="336" t="s">
        <v>1081</v>
      </c>
      <c r="B12" s="281"/>
      <c r="C12" s="281">
        <v>0</v>
      </c>
      <c r="D12" s="358" t="s">
        <v>455</v>
      </c>
      <c r="E12" s="337"/>
      <c r="G12" s="336" t="s">
        <v>1081</v>
      </c>
      <c r="H12" s="281"/>
      <c r="I12" s="281">
        <v>0</v>
      </c>
      <c r="J12" s="358" t="s">
        <v>455</v>
      </c>
      <c r="K12" s="340"/>
      <c r="L12" s="218" t="s">
        <v>87</v>
      </c>
      <c r="M12" s="336" t="s">
        <v>1081</v>
      </c>
      <c r="N12" s="339"/>
      <c r="O12" s="339">
        <v>53.76</v>
      </c>
      <c r="P12" s="358" t="s">
        <v>455</v>
      </c>
      <c r="Q12" s="340"/>
      <c r="R12" s="218"/>
      <c r="S12" s="336" t="s">
        <v>1081</v>
      </c>
      <c r="T12" s="281"/>
      <c r="U12" s="281">
        <v>0</v>
      </c>
      <c r="V12" s="358" t="s">
        <v>455</v>
      </c>
      <c r="W12" s="286" t="s">
        <v>179</v>
      </c>
      <c r="Y12" s="336" t="s">
        <v>1081</v>
      </c>
      <c r="Z12" s="281"/>
      <c r="AA12" s="281">
        <v>0</v>
      </c>
      <c r="AB12" s="358" t="s">
        <v>455</v>
      </c>
      <c r="AC12" s="286" t="s">
        <v>179</v>
      </c>
      <c r="AE12" s="260"/>
      <c r="AF12" s="284"/>
      <c r="AG12" s="316"/>
    </row>
    <row r="13" spans="1:33" x14ac:dyDescent="0.2">
      <c r="A13" s="277" t="s">
        <v>1384</v>
      </c>
      <c r="B13" s="281"/>
      <c r="C13" s="281"/>
      <c r="D13" s="281"/>
      <c r="E13" s="337"/>
      <c r="G13" s="277" t="s">
        <v>215</v>
      </c>
      <c r="H13" s="281"/>
      <c r="I13" s="281"/>
      <c r="J13" s="281"/>
      <c r="K13" s="282"/>
      <c r="M13" s="277" t="s">
        <v>215</v>
      </c>
      <c r="N13" s="281"/>
      <c r="O13" s="281"/>
      <c r="P13" s="281"/>
      <c r="Q13" s="282"/>
      <c r="S13" s="277" t="s">
        <v>215</v>
      </c>
      <c r="T13" s="281"/>
      <c r="U13" s="281"/>
      <c r="V13" s="281"/>
      <c r="W13" s="282"/>
      <c r="Y13" s="277" t="s">
        <v>215</v>
      </c>
      <c r="Z13" s="281"/>
      <c r="AA13" s="281"/>
      <c r="AB13" s="281"/>
      <c r="AC13" s="282"/>
    </row>
    <row r="14" spans="1:33" ht="13.5" thickBot="1" x14ac:dyDescent="0.25">
      <c r="A14" s="335" t="s">
        <v>997</v>
      </c>
      <c r="B14" s="290"/>
      <c r="C14" s="290">
        <f>C3*0.01*0.001</f>
        <v>1.0000000000000001E-5</v>
      </c>
      <c r="D14" s="290" t="s">
        <v>2</v>
      </c>
      <c r="E14" s="446"/>
      <c r="F14" s="447" t="s">
        <v>87</v>
      </c>
      <c r="G14" s="335" t="s">
        <v>997</v>
      </c>
      <c r="H14" s="290"/>
      <c r="I14" s="290">
        <f>I3*0.01*0.0001</f>
        <v>1.0000000000000002E-6</v>
      </c>
      <c r="J14" s="290" t="s">
        <v>2</v>
      </c>
      <c r="K14" s="292"/>
      <c r="M14" s="335" t="s">
        <v>997</v>
      </c>
      <c r="N14" s="290"/>
      <c r="O14" s="290">
        <f>O3*0.01*0.01</f>
        <v>1E-4</v>
      </c>
      <c r="P14" s="290" t="s">
        <v>2</v>
      </c>
      <c r="Q14" s="374" t="s">
        <v>1078</v>
      </c>
      <c r="R14" s="281" t="s">
        <v>87</v>
      </c>
      <c r="S14" s="335" t="s">
        <v>997</v>
      </c>
      <c r="T14" s="290"/>
      <c r="U14" s="290">
        <f>U3*0.01*0.001</f>
        <v>1.0000000000000001E-5</v>
      </c>
      <c r="V14" s="290" t="s">
        <v>2</v>
      </c>
      <c r="W14" s="292"/>
      <c r="Y14" s="335" t="s">
        <v>997</v>
      </c>
      <c r="Z14" s="290"/>
      <c r="AA14" s="290">
        <f>AA3*0.01*0.001</f>
        <v>1.0000000000000001E-5</v>
      </c>
      <c r="AB14" s="290" t="s">
        <v>2</v>
      </c>
      <c r="AC14" s="374"/>
      <c r="AD14" t="s">
        <v>87</v>
      </c>
      <c r="AE14" s="260"/>
    </row>
    <row r="15" spans="1:33" ht="13.5" customHeight="1" x14ac:dyDescent="0.2">
      <c r="A15" s="464" t="s">
        <v>1385</v>
      </c>
    </row>
    <row r="19" spans="1:41" s="293" customFormat="1" x14ac:dyDescent="0.2">
      <c r="A19" s="17" t="s">
        <v>708</v>
      </c>
      <c r="U19" s="197" t="s">
        <v>550</v>
      </c>
      <c r="V19" s="198" t="s">
        <v>551</v>
      </c>
      <c r="W19" s="198" t="s">
        <v>550</v>
      </c>
      <c r="X19" s="198" t="s">
        <v>551</v>
      </c>
      <c r="Y19" s="199" t="s">
        <v>552</v>
      </c>
      <c r="Z19" s="294"/>
      <c r="AA19" s="295"/>
      <c r="AB19" s="17" t="s">
        <v>105</v>
      </c>
      <c r="AC19" s="17"/>
      <c r="AD19" s="148" t="s">
        <v>549</v>
      </c>
      <c r="AE19" s="149"/>
      <c r="AF19" s="149"/>
      <c r="AG19" s="149" t="s">
        <v>548</v>
      </c>
      <c r="AH19" s="149"/>
      <c r="AI19" s="149"/>
      <c r="AJ19" s="149" t="s">
        <v>547</v>
      </c>
      <c r="AK19" s="149"/>
      <c r="AL19" s="149"/>
      <c r="AM19" s="296" t="s">
        <v>553</v>
      </c>
      <c r="AN19" s="294"/>
      <c r="AO19" s="295"/>
    </row>
    <row r="20" spans="1:41" s="139" customFormat="1" ht="15" customHeight="1" x14ac:dyDescent="0.2">
      <c r="A20" s="57" t="s">
        <v>58</v>
      </c>
      <c r="B20" s="55" t="s">
        <v>289</v>
      </c>
      <c r="C20" s="56" t="s">
        <v>100</v>
      </c>
      <c r="D20" s="56" t="s">
        <v>11</v>
      </c>
      <c r="E20" s="63" t="s">
        <v>291</v>
      </c>
      <c r="F20" s="63"/>
      <c r="G20" s="66" t="s">
        <v>292</v>
      </c>
      <c r="H20" s="66" t="s">
        <v>8</v>
      </c>
      <c r="I20" s="66" t="s">
        <v>217</v>
      </c>
      <c r="J20" s="66" t="s">
        <v>11</v>
      </c>
      <c r="K20" s="66" t="s">
        <v>291</v>
      </c>
      <c r="L20" s="63"/>
      <c r="M20" s="67" t="s">
        <v>293</v>
      </c>
      <c r="N20" s="67" t="s">
        <v>8</v>
      </c>
      <c r="O20" s="67" t="s">
        <v>217</v>
      </c>
      <c r="P20" s="67" t="s">
        <v>11</v>
      </c>
      <c r="Q20" s="67" t="s">
        <v>291</v>
      </c>
      <c r="R20" s="63"/>
      <c r="S20" s="63"/>
      <c r="T20" s="297" t="s">
        <v>275</v>
      </c>
      <c r="U20" s="126" t="s">
        <v>530</v>
      </c>
      <c r="V20" s="114" t="s">
        <v>531</v>
      </c>
      <c r="W20" s="114" t="s">
        <v>532</v>
      </c>
      <c r="X20" s="114" t="s">
        <v>533</v>
      </c>
      <c r="Y20" s="114" t="s">
        <v>534</v>
      </c>
      <c r="Z20" s="114" t="s">
        <v>535</v>
      </c>
      <c r="AA20" s="131" t="s">
        <v>536</v>
      </c>
      <c r="AB20" s="22" t="s">
        <v>545</v>
      </c>
      <c r="AC20" s="23" t="s">
        <v>546</v>
      </c>
      <c r="AD20" s="148" t="s">
        <v>31</v>
      </c>
      <c r="AE20" s="149" t="s">
        <v>32</v>
      </c>
      <c r="AF20" s="150" t="s">
        <v>33</v>
      </c>
      <c r="AG20" s="148" t="s">
        <v>31</v>
      </c>
      <c r="AH20" s="149" t="s">
        <v>32</v>
      </c>
      <c r="AI20" s="150" t="s">
        <v>33</v>
      </c>
      <c r="AJ20" s="148" t="s">
        <v>31</v>
      </c>
      <c r="AK20" s="149" t="s">
        <v>32</v>
      </c>
      <c r="AL20" s="149" t="s">
        <v>33</v>
      </c>
      <c r="AM20" s="298"/>
      <c r="AN20" s="136"/>
      <c r="AO20" s="299"/>
    </row>
    <row r="21" spans="1:41" s="141" customFormat="1" ht="15" customHeight="1" x14ac:dyDescent="0.2">
      <c r="A21" s="364" t="str">
        <f>'36. Generic chemical products'!A98</f>
        <v>Monomer/oligomer, caprolactame</v>
      </c>
      <c r="B21" s="364" t="str">
        <f>'36. Generic chemical products'!B98</f>
        <v>Caprolactame</v>
      </c>
      <c r="C21" s="364">
        <f>'36. Generic chemical products'!C98</f>
        <v>1</v>
      </c>
      <c r="D21" s="364" t="str">
        <f>'36. Generic chemical products'!D98</f>
        <v>kg</v>
      </c>
      <c r="E21" s="364">
        <f>'36. Generic chemical products'!E98</f>
        <v>1</v>
      </c>
      <c r="F21" s="364"/>
      <c r="G21" s="364" t="str">
        <f>'36. Generic chemical products'!G98</f>
        <v>Caprolactame</v>
      </c>
      <c r="H21" s="364" t="str">
        <f>'36. Generic chemical products'!H98</f>
        <v>high. pop.</v>
      </c>
      <c r="I21" s="364">
        <f>'36. Generic chemical products'!I98</f>
        <v>1</v>
      </c>
      <c r="J21" s="364" t="str">
        <f>'36. Generic chemical products'!J98</f>
        <v>kg</v>
      </c>
      <c r="K21" s="364" t="str">
        <f>'36. Generic chemical products'!K98</f>
        <v>process related</v>
      </c>
      <c r="L21" s="364"/>
      <c r="M21" s="364" t="str">
        <f>'36. Generic chemical products'!M98</f>
        <v>Caprolactame</v>
      </c>
      <c r="N21" s="364" t="str">
        <f>'36. Generic chemical products'!N98</f>
        <v>river</v>
      </c>
      <c r="O21" s="364">
        <f>'36. Generic chemical products'!O98</f>
        <v>0.1</v>
      </c>
      <c r="P21" s="364" t="str">
        <f>'36. Generic chemical products'!P98</f>
        <v>kg</v>
      </c>
      <c r="Q21" s="364"/>
      <c r="R21" s="364"/>
      <c r="S21" s="364"/>
      <c r="T21" s="364" t="str">
        <f>'36. Generic chemical products'!T98</f>
        <v>105-60-2</v>
      </c>
      <c r="U21" s="364">
        <f>'36. Generic chemical products'!U98</f>
        <v>0</v>
      </c>
      <c r="V21" s="364">
        <f>'36. Generic chemical products'!V98</f>
        <v>2.3362849443984663E-7</v>
      </c>
      <c r="W21" s="364">
        <f>'36. Generic chemical products'!W98</f>
        <v>0</v>
      </c>
      <c r="X21" s="364">
        <f>'36. Generic chemical products'!X98</f>
        <v>9.9485615506575626E-8</v>
      </c>
      <c r="Y21" s="364">
        <f>'36. Generic chemical products'!Y98</f>
        <v>1.1994953414076734</v>
      </c>
      <c r="Z21" s="364">
        <f>'36. Generic chemical products'!Z98</f>
        <v>19.327721812708507</v>
      </c>
      <c r="AA21" s="364" t="str">
        <f>'36. Generic chemical products'!AA98</f>
        <v>USEtox</v>
      </c>
      <c r="AB21" s="327">
        <f>C14*I21</f>
        <v>1.0000000000000001E-5</v>
      </c>
      <c r="AC21" s="445">
        <v>0</v>
      </c>
      <c r="AD21" s="330">
        <f>AB21*U21+AC21*W21</f>
        <v>0</v>
      </c>
      <c r="AE21" s="330">
        <f>AB21*V21+AC21*X21</f>
        <v>2.3362849443984664E-12</v>
      </c>
      <c r="AF21" s="330">
        <f>AB21*Y21+AC21*Z21</f>
        <v>1.1994953414076736E-5</v>
      </c>
      <c r="AG21" s="330">
        <f>AB21*U21</f>
        <v>0</v>
      </c>
      <c r="AH21" s="330">
        <f>AB21*V21</f>
        <v>2.3362849443984664E-12</v>
      </c>
      <c r="AI21" s="330">
        <f>AB21*Y21</f>
        <v>1.1994953414076736E-5</v>
      </c>
      <c r="AJ21" s="330">
        <f>AC21*W21</f>
        <v>0</v>
      </c>
      <c r="AK21" s="330">
        <f>AC21*X21</f>
        <v>0</v>
      </c>
      <c r="AL21" s="330">
        <f>AC21*Z21</f>
        <v>0</v>
      </c>
      <c r="AM21" s="331">
        <f>AG21+AJ21</f>
        <v>0</v>
      </c>
      <c r="AN21" s="332">
        <f t="shared" ref="AN21:AO21" si="0">AH21+AK21</f>
        <v>2.3362849443984664E-12</v>
      </c>
      <c r="AO21" s="333">
        <f t="shared" si="0"/>
        <v>1.1994953414076736E-5</v>
      </c>
    </row>
    <row r="22" spans="1:41" x14ac:dyDescent="0.2">
      <c r="AD22" s="177">
        <f>SUM(AD21:AD21)</f>
        <v>0</v>
      </c>
      <c r="AE22" s="177">
        <f>SUM(AE21:AE21)</f>
        <v>2.3362849443984664E-12</v>
      </c>
      <c r="AF22" s="177">
        <f>SUM(AF21:AF21)</f>
        <v>1.1994953414076736E-5</v>
      </c>
    </row>
    <row r="25" spans="1:41" x14ac:dyDescent="0.2">
      <c r="A25" s="50"/>
    </row>
    <row r="26" spans="1:41" x14ac:dyDescent="0.2">
      <c r="A26" s="50"/>
    </row>
    <row r="31" spans="1:41" x14ac:dyDescent="0.2">
      <c r="A31" s="1" t="s">
        <v>687</v>
      </c>
    </row>
    <row r="32" spans="1:41" x14ac:dyDescent="0.2">
      <c r="A32" t="s">
        <v>1068</v>
      </c>
    </row>
    <row r="33" spans="1:1" x14ac:dyDescent="0.2">
      <c r="A33" s="218" t="s">
        <v>1067</v>
      </c>
    </row>
    <row r="34" spans="1:1" x14ac:dyDescent="0.2">
      <c r="A34" t="s">
        <v>1069</v>
      </c>
    </row>
    <row r="35" spans="1:1" x14ac:dyDescent="0.2">
      <c r="A35" t="s">
        <v>1083</v>
      </c>
    </row>
    <row r="36" spans="1:1" x14ac:dyDescent="0.2">
      <c r="A36" t="s">
        <v>1070</v>
      </c>
    </row>
    <row r="37" spans="1:1" x14ac:dyDescent="0.2">
      <c r="A37" t="s">
        <v>1071</v>
      </c>
    </row>
    <row r="38" spans="1:1" x14ac:dyDescent="0.2">
      <c r="A38" t="s">
        <v>1072</v>
      </c>
    </row>
    <row r="39" spans="1:1" x14ac:dyDescent="0.2">
      <c r="A39" t="s">
        <v>1073</v>
      </c>
    </row>
  </sheetData>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41"/>
  <sheetViews>
    <sheetView zoomScale="80" zoomScaleNormal="80" workbookViewId="0">
      <selection activeCell="A14" sqref="A14"/>
    </sheetView>
  </sheetViews>
  <sheetFormatPr defaultRowHeight="12.75" x14ac:dyDescent="0.2"/>
  <cols>
    <col min="1" max="1" width="57.7109375" style="244" bestFit="1" customWidth="1"/>
    <col min="2" max="4" width="9.140625" style="244"/>
    <col min="5" max="5" width="10.28515625" style="244" customWidth="1"/>
    <col min="6" max="10" width="9.140625" style="244"/>
    <col min="11" max="11" width="10.28515625" style="244" customWidth="1"/>
    <col min="12" max="20" width="9.140625" style="244"/>
    <col min="21" max="21" width="10.140625" style="244" bestFit="1" customWidth="1"/>
    <col min="22" max="22" width="9.140625" style="244"/>
    <col min="23" max="23" width="10.140625" style="244" bestFit="1" customWidth="1"/>
    <col min="24" max="28" width="9.140625" style="244"/>
    <col min="29" max="29" width="10.28515625" style="244" customWidth="1"/>
    <col min="30" max="31" width="12.5703125" style="244" bestFit="1" customWidth="1"/>
    <col min="32" max="32" width="11.85546875" style="244" bestFit="1" customWidth="1"/>
    <col min="33" max="33" width="9.85546875" style="244" bestFit="1" customWidth="1"/>
    <col min="34" max="34" width="10.140625" style="244" bestFit="1" customWidth="1"/>
    <col min="35" max="16384" width="9.140625" style="244"/>
  </cols>
  <sheetData>
    <row r="1" spans="1:36" ht="16.5" thickBot="1" x14ac:dyDescent="0.3">
      <c r="A1" s="37" t="s">
        <v>457</v>
      </c>
      <c r="B1" s="38"/>
      <c r="C1" s="38" t="s">
        <v>217</v>
      </c>
      <c r="D1" s="38" t="s">
        <v>11</v>
      </c>
      <c r="E1" s="39" t="s">
        <v>180</v>
      </c>
      <c r="G1" s="263" t="s">
        <v>458</v>
      </c>
      <c r="H1" s="264"/>
      <c r="I1" s="264" t="s">
        <v>217</v>
      </c>
      <c r="J1" s="264" t="s">
        <v>11</v>
      </c>
      <c r="K1" s="265" t="s">
        <v>180</v>
      </c>
      <c r="M1" s="266" t="s">
        <v>459</v>
      </c>
      <c r="N1" s="267"/>
      <c r="O1" s="268" t="s">
        <v>217</v>
      </c>
      <c r="P1" s="268" t="s">
        <v>11</v>
      </c>
      <c r="Q1" s="269" t="s">
        <v>180</v>
      </c>
      <c r="S1" s="270" t="s">
        <v>460</v>
      </c>
      <c r="T1" s="271"/>
      <c r="U1" s="271" t="s">
        <v>217</v>
      </c>
      <c r="V1" s="271" t="s">
        <v>11</v>
      </c>
      <c r="W1" s="272" t="s">
        <v>180</v>
      </c>
      <c r="Y1" s="273" t="s">
        <v>461</v>
      </c>
      <c r="Z1" s="274"/>
      <c r="AA1" s="274" t="s">
        <v>217</v>
      </c>
      <c r="AB1" s="274" t="s">
        <v>11</v>
      </c>
      <c r="AC1" s="275" t="s">
        <v>180</v>
      </c>
      <c r="AD1" s="260"/>
      <c r="AF1" s="260"/>
      <c r="AG1" s="276" t="s">
        <v>710</v>
      </c>
      <c r="AH1" s="260"/>
      <c r="AI1" s="260"/>
      <c r="AJ1" s="260"/>
    </row>
    <row r="2" spans="1:36" x14ac:dyDescent="0.2">
      <c r="A2" s="277" t="s">
        <v>218</v>
      </c>
      <c r="B2" s="281"/>
      <c r="C2" s="281"/>
      <c r="D2" s="281"/>
      <c r="E2" s="279"/>
      <c r="G2" s="277" t="s">
        <v>218</v>
      </c>
      <c r="H2" s="281"/>
      <c r="I2" s="281"/>
      <c r="J2" s="281"/>
      <c r="K2" s="279"/>
      <c r="M2" s="277" t="s">
        <v>218</v>
      </c>
      <c r="N2" s="281"/>
      <c r="O2" s="281"/>
      <c r="P2" s="281"/>
      <c r="Q2" s="279"/>
      <c r="S2" s="277" t="s">
        <v>218</v>
      </c>
      <c r="T2" s="281"/>
      <c r="U2" s="281"/>
      <c r="V2" s="281"/>
      <c r="W2" s="279"/>
      <c r="Y2" s="277" t="s">
        <v>218</v>
      </c>
      <c r="Z2" s="281"/>
      <c r="AA2" s="281"/>
      <c r="AB2" s="281"/>
      <c r="AC2" s="279"/>
      <c r="AD2" s="260"/>
      <c r="AF2" s="260"/>
      <c r="AG2" s="284" t="s">
        <v>945</v>
      </c>
      <c r="AH2" s="260" t="s">
        <v>916</v>
      </c>
      <c r="AI2" s="260"/>
      <c r="AJ2" s="260"/>
    </row>
    <row r="3" spans="1:36" x14ac:dyDescent="0.2">
      <c r="A3" s="280" t="s">
        <v>462</v>
      </c>
      <c r="B3" s="281"/>
      <c r="C3" s="281">
        <v>1</v>
      </c>
      <c r="D3" s="281" t="s">
        <v>2</v>
      </c>
      <c r="E3" s="282"/>
      <c r="G3" s="280" t="s">
        <v>462</v>
      </c>
      <c r="H3" s="281"/>
      <c r="I3" s="281">
        <v>1</v>
      </c>
      <c r="J3" s="281" t="s">
        <v>2</v>
      </c>
      <c r="K3" s="282"/>
      <c r="M3" s="280" t="s">
        <v>462</v>
      </c>
      <c r="N3" s="281"/>
      <c r="O3" s="281">
        <v>1</v>
      </c>
      <c r="P3" s="281" t="s">
        <v>2</v>
      </c>
      <c r="Q3" s="282"/>
      <c r="S3" s="280" t="s">
        <v>462</v>
      </c>
      <c r="T3" s="281"/>
      <c r="U3" s="281">
        <v>1</v>
      </c>
      <c r="V3" s="281" t="s">
        <v>2</v>
      </c>
      <c r="W3" s="282"/>
      <c r="Y3" s="280" t="s">
        <v>462</v>
      </c>
      <c r="Z3" s="281"/>
      <c r="AA3" s="281">
        <v>1</v>
      </c>
      <c r="AB3" s="281" t="s">
        <v>2</v>
      </c>
      <c r="AC3" s="282"/>
      <c r="AD3" s="260"/>
      <c r="AF3" s="260" t="s">
        <v>260</v>
      </c>
      <c r="AG3" s="284">
        <v>1.7405927593530499</v>
      </c>
      <c r="AH3" s="260"/>
      <c r="AI3" s="260"/>
      <c r="AJ3" s="260"/>
    </row>
    <row r="4" spans="1:36" s="1" customFormat="1" x14ac:dyDescent="0.2">
      <c r="A4" s="277" t="s">
        <v>187</v>
      </c>
      <c r="B4" s="281"/>
      <c r="C4" s="281"/>
      <c r="D4" s="281"/>
      <c r="E4" s="282"/>
      <c r="G4" s="277" t="s">
        <v>187</v>
      </c>
      <c r="H4" s="281"/>
      <c r="I4" s="281"/>
      <c r="J4" s="281"/>
      <c r="K4" s="282"/>
      <c r="M4" s="277" t="s">
        <v>187</v>
      </c>
      <c r="N4" s="281"/>
      <c r="O4" s="281"/>
      <c r="P4" s="281"/>
      <c r="Q4" s="282"/>
      <c r="S4" s="277" t="s">
        <v>187</v>
      </c>
      <c r="T4" s="281"/>
      <c r="U4" s="281"/>
      <c r="V4" s="281"/>
      <c r="W4" s="282"/>
      <c r="Y4" s="277" t="s">
        <v>187</v>
      </c>
      <c r="Z4" s="281"/>
      <c r="AA4" s="281"/>
      <c r="AB4" s="281"/>
      <c r="AC4" s="282"/>
      <c r="AD4" s="18"/>
      <c r="AE4" s="244"/>
      <c r="AF4" s="260" t="s">
        <v>261</v>
      </c>
      <c r="AG4" s="284">
        <v>2.07817016476174E-4</v>
      </c>
      <c r="AH4" s="18"/>
      <c r="AI4" s="18"/>
      <c r="AJ4" s="18"/>
    </row>
    <row r="5" spans="1:36" x14ac:dyDescent="0.2">
      <c r="A5" s="280" t="s">
        <v>434</v>
      </c>
      <c r="B5" s="281"/>
      <c r="C5" s="281">
        <v>0.01</v>
      </c>
      <c r="D5" s="281" t="s">
        <v>2</v>
      </c>
      <c r="E5" s="282" t="s">
        <v>179</v>
      </c>
      <c r="F5" s="244" t="s">
        <v>179</v>
      </c>
      <c r="G5" s="280" t="s">
        <v>434</v>
      </c>
      <c r="H5" s="281"/>
      <c r="I5" s="281">
        <v>0.01</v>
      </c>
      <c r="J5" s="281" t="s">
        <v>2</v>
      </c>
      <c r="K5" s="282" t="s">
        <v>179</v>
      </c>
      <c r="M5" s="280" t="s">
        <v>434</v>
      </c>
      <c r="N5" s="281"/>
      <c r="O5" s="281">
        <v>0.01</v>
      </c>
      <c r="P5" s="281" t="s">
        <v>2</v>
      </c>
      <c r="Q5" s="282" t="s">
        <v>179</v>
      </c>
      <c r="S5" s="280" t="s">
        <v>434</v>
      </c>
      <c r="T5" s="281"/>
      <c r="U5" s="281">
        <v>0.01</v>
      </c>
      <c r="V5" s="281" t="s">
        <v>2</v>
      </c>
      <c r="W5" s="282" t="s">
        <v>179</v>
      </c>
      <c r="Y5" s="280" t="s">
        <v>434</v>
      </c>
      <c r="Z5" s="281"/>
      <c r="AA5" s="281">
        <v>0.01</v>
      </c>
      <c r="AB5" s="281" t="s">
        <v>2</v>
      </c>
      <c r="AC5" s="282" t="s">
        <v>179</v>
      </c>
      <c r="AD5" s="260"/>
      <c r="AF5" s="260" t="s">
        <v>262</v>
      </c>
      <c r="AG5" s="284">
        <v>1.48076995320678E-2</v>
      </c>
      <c r="AH5" s="260"/>
      <c r="AI5" s="260"/>
      <c r="AJ5" s="260"/>
    </row>
    <row r="6" spans="1:36" s="1" customFormat="1" x14ac:dyDescent="0.2">
      <c r="A6" s="280" t="s">
        <v>1016</v>
      </c>
      <c r="B6" s="281"/>
      <c r="C6" s="281">
        <v>1E-3</v>
      </c>
      <c r="D6" s="281" t="s">
        <v>2</v>
      </c>
      <c r="E6" s="282" t="s">
        <v>179</v>
      </c>
      <c r="G6" s="280" t="s">
        <v>1016</v>
      </c>
      <c r="H6" s="281"/>
      <c r="I6" s="281">
        <v>1E-3</v>
      </c>
      <c r="J6" s="281" t="s">
        <v>2</v>
      </c>
      <c r="K6" s="282" t="s">
        <v>179</v>
      </c>
      <c r="M6" s="280" t="s">
        <v>1016</v>
      </c>
      <c r="N6" s="281"/>
      <c r="O6" s="281">
        <v>1E-3</v>
      </c>
      <c r="P6" s="281" t="s">
        <v>2</v>
      </c>
      <c r="Q6" s="282" t="s">
        <v>179</v>
      </c>
      <c r="S6" s="280" t="s">
        <v>1016</v>
      </c>
      <c r="T6" s="281"/>
      <c r="U6" s="281">
        <v>1E-3</v>
      </c>
      <c r="V6" s="281" t="s">
        <v>2</v>
      </c>
      <c r="W6" s="282" t="s">
        <v>179</v>
      </c>
      <c r="Y6" s="280" t="s">
        <v>1016</v>
      </c>
      <c r="Z6" s="281"/>
      <c r="AA6" s="281">
        <v>1E-3</v>
      </c>
      <c r="AB6" s="281" t="s">
        <v>2</v>
      </c>
      <c r="AC6" s="282" t="s">
        <v>179</v>
      </c>
      <c r="AD6" s="18"/>
      <c r="AE6" s="244"/>
      <c r="AF6" s="260" t="s">
        <v>263</v>
      </c>
      <c r="AG6" s="284">
        <v>5.5541855533937602E-3</v>
      </c>
      <c r="AH6" s="244"/>
      <c r="AI6" s="18"/>
      <c r="AJ6" s="18"/>
    </row>
    <row r="7" spans="1:36" x14ac:dyDescent="0.2">
      <c r="A7" s="280" t="s">
        <v>1013</v>
      </c>
      <c r="B7" s="281"/>
      <c r="C7" s="281">
        <v>1E-3</v>
      </c>
      <c r="D7" s="281" t="s">
        <v>2</v>
      </c>
      <c r="E7" s="282" t="s">
        <v>179</v>
      </c>
      <c r="F7" s="244" t="s">
        <v>179</v>
      </c>
      <c r="G7" s="280" t="s">
        <v>1013</v>
      </c>
      <c r="H7" s="281"/>
      <c r="I7" s="281">
        <v>1E-3</v>
      </c>
      <c r="J7" s="281" t="s">
        <v>2</v>
      </c>
      <c r="K7" s="282" t="s">
        <v>179</v>
      </c>
      <c r="M7" s="280" t="s">
        <v>1013</v>
      </c>
      <c r="N7" s="281"/>
      <c r="O7" s="281">
        <v>1E-3</v>
      </c>
      <c r="P7" s="281" t="s">
        <v>2</v>
      </c>
      <c r="Q7" s="282" t="s">
        <v>179</v>
      </c>
      <c r="S7" s="280" t="s">
        <v>1013</v>
      </c>
      <c r="T7" s="281"/>
      <c r="U7" s="281">
        <v>1E-3</v>
      </c>
      <c r="V7" s="281" t="s">
        <v>2</v>
      </c>
      <c r="W7" s="282" t="s">
        <v>179</v>
      </c>
      <c r="Y7" s="280" t="s">
        <v>1013</v>
      </c>
      <c r="Z7" s="281"/>
      <c r="AA7" s="281">
        <v>1E-3</v>
      </c>
      <c r="AB7" s="281" t="s">
        <v>2</v>
      </c>
      <c r="AC7" s="282" t="s">
        <v>179</v>
      </c>
      <c r="AD7" s="260"/>
      <c r="AE7" s="260"/>
      <c r="AF7" s="260" t="s">
        <v>264</v>
      </c>
      <c r="AG7" s="284">
        <v>6.8659704676184204E-3</v>
      </c>
      <c r="AI7" s="260"/>
      <c r="AJ7" s="260"/>
    </row>
    <row r="8" spans="1:36" ht="15" x14ac:dyDescent="0.2">
      <c r="A8" s="277" t="s">
        <v>205</v>
      </c>
      <c r="B8" s="281"/>
      <c r="C8" s="281"/>
      <c r="D8" s="281"/>
      <c r="E8" s="286"/>
      <c r="G8" s="277" t="s">
        <v>205</v>
      </c>
      <c r="H8" s="281"/>
      <c r="I8" s="281"/>
      <c r="J8" s="281"/>
      <c r="K8" s="286"/>
      <c r="M8" s="277" t="s">
        <v>205</v>
      </c>
      <c r="N8" s="281"/>
      <c r="O8" s="281"/>
      <c r="P8" s="281"/>
      <c r="Q8" s="286"/>
      <c r="S8" s="277" t="s">
        <v>205</v>
      </c>
      <c r="T8" s="281"/>
      <c r="U8" s="281"/>
      <c r="V8" s="281"/>
      <c r="W8" s="286"/>
      <c r="Y8" s="277" t="s">
        <v>205</v>
      </c>
      <c r="Z8" s="281"/>
      <c r="AA8" s="281"/>
      <c r="AB8" s="281"/>
      <c r="AC8" s="286"/>
      <c r="AD8" s="260"/>
      <c r="AE8" s="260"/>
      <c r="AF8" s="260" t="s">
        <v>675</v>
      </c>
      <c r="AG8" s="284">
        <v>1.5189851359527999</v>
      </c>
      <c r="AI8" s="260"/>
      <c r="AJ8" s="260"/>
    </row>
    <row r="9" spans="1:36" x14ac:dyDescent="0.2">
      <c r="A9" s="280" t="s">
        <v>206</v>
      </c>
      <c r="B9" s="281"/>
      <c r="C9" s="281">
        <v>1.5</v>
      </c>
      <c r="D9" s="281" t="s">
        <v>207</v>
      </c>
      <c r="E9" s="337" t="s">
        <v>1076</v>
      </c>
      <c r="G9" s="280" t="s">
        <v>206</v>
      </c>
      <c r="H9" s="281"/>
      <c r="I9" s="281">
        <f>0.69+1</f>
        <v>1.69</v>
      </c>
      <c r="J9" s="281" t="s">
        <v>207</v>
      </c>
      <c r="K9" s="340" t="s">
        <v>1080</v>
      </c>
      <c r="L9" s="218" t="s">
        <v>87</v>
      </c>
      <c r="M9" s="341" t="s">
        <v>206</v>
      </c>
      <c r="N9" s="339"/>
      <c r="O9" s="339">
        <v>4.22</v>
      </c>
      <c r="P9" s="339" t="s">
        <v>207</v>
      </c>
      <c r="Q9" s="340"/>
      <c r="R9" s="218"/>
      <c r="S9" s="280" t="s">
        <v>206</v>
      </c>
      <c r="T9" s="281"/>
      <c r="U9" s="281">
        <v>1.5</v>
      </c>
      <c r="V9" s="281" t="s">
        <v>207</v>
      </c>
      <c r="W9" s="286" t="s">
        <v>179</v>
      </c>
      <c r="Y9" s="280" t="s">
        <v>206</v>
      </c>
      <c r="Z9" s="281"/>
      <c r="AA9" s="281">
        <v>1.5</v>
      </c>
      <c r="AB9" s="281" t="s">
        <v>207</v>
      </c>
      <c r="AC9" s="286" t="s">
        <v>179</v>
      </c>
      <c r="AF9" s="260" t="s">
        <v>266</v>
      </c>
      <c r="AG9" s="284">
        <v>2.2110586144122001E-7</v>
      </c>
      <c r="AH9" s="316">
        <f>AE21</f>
        <v>0</v>
      </c>
    </row>
    <row r="10" spans="1:36" x14ac:dyDescent="0.2">
      <c r="A10" s="280" t="s">
        <v>208</v>
      </c>
      <c r="B10" s="281"/>
      <c r="C10" s="281">
        <v>2.2000000000000002</v>
      </c>
      <c r="D10" s="358" t="s">
        <v>455</v>
      </c>
      <c r="E10" s="337" t="s">
        <v>1076</v>
      </c>
      <c r="G10" s="336" t="s">
        <v>1079</v>
      </c>
      <c r="H10" s="281"/>
      <c r="I10" s="281">
        <v>4.75</v>
      </c>
      <c r="J10" s="358" t="s">
        <v>455</v>
      </c>
      <c r="K10" s="340" t="s">
        <v>1080</v>
      </c>
      <c r="L10" s="218" t="s">
        <v>87</v>
      </c>
      <c r="M10" s="336" t="s">
        <v>1082</v>
      </c>
      <c r="N10" s="339"/>
      <c r="O10" s="339">
        <v>14.79</v>
      </c>
      <c r="P10" s="358" t="s">
        <v>455</v>
      </c>
      <c r="Q10" s="340"/>
      <c r="R10" s="218"/>
      <c r="S10" s="280" t="s">
        <v>208</v>
      </c>
      <c r="T10" s="281"/>
      <c r="U10" s="281">
        <v>2.2000000000000002</v>
      </c>
      <c r="V10" s="358" t="s">
        <v>455</v>
      </c>
      <c r="W10" s="286" t="s">
        <v>179</v>
      </c>
      <c r="Y10" s="280" t="s">
        <v>208</v>
      </c>
      <c r="Z10" s="281"/>
      <c r="AA10" s="281">
        <v>2.2000000000000002</v>
      </c>
      <c r="AB10" s="358" t="s">
        <v>455</v>
      </c>
      <c r="AC10" s="286" t="s">
        <v>179</v>
      </c>
      <c r="AF10" s="260" t="s">
        <v>267</v>
      </c>
      <c r="AG10" s="284">
        <v>4.2636202695257001E-8</v>
      </c>
      <c r="AH10" s="316">
        <f>AD21</f>
        <v>0</v>
      </c>
    </row>
    <row r="11" spans="1:36" x14ac:dyDescent="0.2">
      <c r="A11" s="336" t="s">
        <v>1081</v>
      </c>
      <c r="B11" s="281"/>
      <c r="C11" s="281">
        <v>0</v>
      </c>
      <c r="D11" s="358" t="s">
        <v>455</v>
      </c>
      <c r="E11" s="337"/>
      <c r="G11" s="336" t="s">
        <v>1081</v>
      </c>
      <c r="H11" s="281"/>
      <c r="I11" s="281">
        <v>0</v>
      </c>
      <c r="J11" s="358" t="s">
        <v>455</v>
      </c>
      <c r="K11" s="340"/>
      <c r="L11" s="218" t="s">
        <v>87</v>
      </c>
      <c r="M11" s="336" t="s">
        <v>1081</v>
      </c>
      <c r="N11" s="339"/>
      <c r="O11" s="339">
        <v>53.76</v>
      </c>
      <c r="P11" s="358" t="s">
        <v>455</v>
      </c>
      <c r="Q11" s="340"/>
      <c r="R11" s="218"/>
      <c r="S11" s="336" t="s">
        <v>1081</v>
      </c>
      <c r="T11" s="281"/>
      <c r="U11" s="281">
        <v>0</v>
      </c>
      <c r="V11" s="358" t="s">
        <v>455</v>
      </c>
      <c r="W11" s="286" t="s">
        <v>179</v>
      </c>
      <c r="Y11" s="336" t="s">
        <v>1081</v>
      </c>
      <c r="Z11" s="281"/>
      <c r="AA11" s="281">
        <v>0</v>
      </c>
      <c r="AB11" s="358" t="s">
        <v>455</v>
      </c>
      <c r="AC11" s="286" t="s">
        <v>179</v>
      </c>
      <c r="AF11" s="260" t="s">
        <v>268</v>
      </c>
      <c r="AG11" s="284">
        <v>3.7255830114541602</v>
      </c>
      <c r="AH11" s="316">
        <f>AF21</f>
        <v>3.184290925106406E-5</v>
      </c>
    </row>
    <row r="12" spans="1:36" x14ac:dyDescent="0.2">
      <c r="A12" s="277" t="s">
        <v>1384</v>
      </c>
      <c r="B12" s="281"/>
      <c r="C12" s="281"/>
      <c r="D12" s="281"/>
      <c r="E12" s="282"/>
      <c r="G12" s="277" t="s">
        <v>215</v>
      </c>
      <c r="H12" s="281"/>
      <c r="I12" s="281"/>
      <c r="J12" s="281"/>
      <c r="K12" s="282"/>
      <c r="M12" s="277" t="s">
        <v>215</v>
      </c>
      <c r="N12" s="281"/>
      <c r="O12" s="281"/>
      <c r="P12" s="281"/>
      <c r="Q12" s="282"/>
      <c r="S12" s="277" t="s">
        <v>215</v>
      </c>
      <c r="T12" s="281"/>
      <c r="U12" s="281"/>
      <c r="V12" s="281"/>
      <c r="W12" s="282"/>
      <c r="Y12" s="277" t="s">
        <v>215</v>
      </c>
      <c r="Z12" s="281"/>
      <c r="AA12" s="281"/>
      <c r="AB12" s="281"/>
      <c r="AC12" s="282"/>
    </row>
    <row r="13" spans="1:36" ht="13.5" thickBot="1" x14ac:dyDescent="0.25">
      <c r="A13" s="289" t="s">
        <v>998</v>
      </c>
      <c r="B13" s="290"/>
      <c r="C13" s="290">
        <f>C3*0.01*0.001</f>
        <v>1.0000000000000001E-5</v>
      </c>
      <c r="D13" s="290" t="s">
        <v>2</v>
      </c>
      <c r="E13" s="446"/>
      <c r="F13" s="447" t="s">
        <v>87</v>
      </c>
      <c r="G13" s="289" t="s">
        <v>998</v>
      </c>
      <c r="H13" s="290"/>
      <c r="I13" s="290">
        <f>I3*0.01*0.0001</f>
        <v>1.0000000000000002E-6</v>
      </c>
      <c r="J13" s="290" t="s">
        <v>2</v>
      </c>
      <c r="K13" s="292"/>
      <c r="M13" s="289" t="s">
        <v>998</v>
      </c>
      <c r="N13" s="290"/>
      <c r="O13" s="290">
        <f>O3*0.01*0.01</f>
        <v>1E-4</v>
      </c>
      <c r="P13" s="290" t="s">
        <v>2</v>
      </c>
      <c r="Q13" s="292"/>
      <c r="R13" t="s">
        <v>87</v>
      </c>
      <c r="S13" s="289" t="s">
        <v>998</v>
      </c>
      <c r="T13" s="290"/>
      <c r="U13" s="290">
        <f>U3*0.01*0.001</f>
        <v>1.0000000000000001E-5</v>
      </c>
      <c r="V13" s="290" t="s">
        <v>2</v>
      </c>
      <c r="W13" s="292"/>
      <c r="Y13" s="289" t="s">
        <v>998</v>
      </c>
      <c r="Z13" s="290"/>
      <c r="AA13" s="290">
        <f>AA3*0.01*0.001</f>
        <v>1.0000000000000001E-5</v>
      </c>
      <c r="AB13" s="290" t="s">
        <v>2</v>
      </c>
      <c r="AC13" s="292"/>
    </row>
    <row r="14" spans="1:36" x14ac:dyDescent="0.2">
      <c r="A14" s="464" t="s">
        <v>1385</v>
      </c>
    </row>
    <row r="18" spans="1:41" s="293" customFormat="1" x14ac:dyDescent="0.2">
      <c r="A18" s="17" t="s">
        <v>708</v>
      </c>
      <c r="U18" s="197" t="s">
        <v>550</v>
      </c>
      <c r="V18" s="198" t="s">
        <v>551</v>
      </c>
      <c r="W18" s="198" t="s">
        <v>550</v>
      </c>
      <c r="X18" s="198" t="s">
        <v>551</v>
      </c>
      <c r="Y18" s="199" t="s">
        <v>552</v>
      </c>
      <c r="Z18" s="294"/>
      <c r="AA18" s="295"/>
      <c r="AB18" s="17" t="s">
        <v>105</v>
      </c>
      <c r="AC18" s="17"/>
      <c r="AD18" s="148" t="s">
        <v>549</v>
      </c>
      <c r="AE18" s="149"/>
      <c r="AF18" s="149"/>
      <c r="AG18" s="149" t="s">
        <v>548</v>
      </c>
      <c r="AH18" s="149"/>
      <c r="AI18" s="149"/>
      <c r="AJ18" s="149" t="s">
        <v>547</v>
      </c>
      <c r="AK18" s="149"/>
      <c r="AL18" s="149"/>
      <c r="AM18" s="296" t="s">
        <v>553</v>
      </c>
      <c r="AN18" s="294"/>
      <c r="AO18" s="295"/>
    </row>
    <row r="19" spans="1:41" s="139" customFormat="1" ht="15" customHeight="1" x14ac:dyDescent="0.2">
      <c r="A19" s="57" t="s">
        <v>58</v>
      </c>
      <c r="B19" s="55" t="s">
        <v>289</v>
      </c>
      <c r="C19" s="56" t="s">
        <v>100</v>
      </c>
      <c r="D19" s="56" t="s">
        <v>11</v>
      </c>
      <c r="E19" s="63" t="s">
        <v>291</v>
      </c>
      <c r="F19" s="63"/>
      <c r="G19" s="66" t="s">
        <v>292</v>
      </c>
      <c r="H19" s="66" t="s">
        <v>8</v>
      </c>
      <c r="I19" s="66" t="s">
        <v>217</v>
      </c>
      <c r="J19" s="66" t="s">
        <v>11</v>
      </c>
      <c r="K19" s="66" t="s">
        <v>291</v>
      </c>
      <c r="L19" s="63"/>
      <c r="M19" s="67" t="s">
        <v>293</v>
      </c>
      <c r="N19" s="67" t="s">
        <v>8</v>
      </c>
      <c r="O19" s="67" t="s">
        <v>217</v>
      </c>
      <c r="P19" s="67" t="s">
        <v>11</v>
      </c>
      <c r="Q19" s="67" t="s">
        <v>291</v>
      </c>
      <c r="R19" s="63"/>
      <c r="S19" s="63"/>
      <c r="T19" s="297" t="s">
        <v>275</v>
      </c>
      <c r="U19" s="126" t="s">
        <v>530</v>
      </c>
      <c r="V19" s="114" t="s">
        <v>531</v>
      </c>
      <c r="W19" s="114" t="s">
        <v>532</v>
      </c>
      <c r="X19" s="114" t="s">
        <v>533</v>
      </c>
      <c r="Y19" s="114" t="s">
        <v>534</v>
      </c>
      <c r="Z19" s="114" t="s">
        <v>535</v>
      </c>
      <c r="AA19" s="131" t="s">
        <v>536</v>
      </c>
      <c r="AB19" s="22" t="s">
        <v>545</v>
      </c>
      <c r="AC19" s="23" t="s">
        <v>546</v>
      </c>
      <c r="AD19" s="148" t="s">
        <v>31</v>
      </c>
      <c r="AE19" s="149" t="s">
        <v>32</v>
      </c>
      <c r="AF19" s="150" t="s">
        <v>33</v>
      </c>
      <c r="AG19" s="148" t="s">
        <v>31</v>
      </c>
      <c r="AH19" s="149" t="s">
        <v>32</v>
      </c>
      <c r="AI19" s="150" t="s">
        <v>33</v>
      </c>
      <c r="AJ19" s="148" t="s">
        <v>31</v>
      </c>
      <c r="AK19" s="149" t="s">
        <v>32</v>
      </c>
      <c r="AL19" s="149" t="s">
        <v>33</v>
      </c>
      <c r="AM19" s="298"/>
      <c r="AN19" s="136"/>
      <c r="AO19" s="299"/>
    </row>
    <row r="20" spans="1:41" s="141" customFormat="1" ht="15" customHeight="1" x14ac:dyDescent="0.2">
      <c r="A20" s="364" t="str">
        <f>'36. Generic chemical products'!A99</f>
        <v>Monomer/oligomer, hexamethylene diamine</v>
      </c>
      <c r="B20" s="364" t="str">
        <f>'36. Generic chemical products'!B99</f>
        <v>Hexamethylene diamine</v>
      </c>
      <c r="C20" s="364">
        <f>'36. Generic chemical products'!C99</f>
        <v>1</v>
      </c>
      <c r="D20" s="364" t="str">
        <f>'36. Generic chemical products'!D99</f>
        <v>kg</v>
      </c>
      <c r="E20" s="364">
        <f>'36. Generic chemical products'!E99</f>
        <v>1</v>
      </c>
      <c r="F20" s="364"/>
      <c r="G20" s="364" t="str">
        <f>'36. Generic chemical products'!G99</f>
        <v>Hexamethylene diamine</v>
      </c>
      <c r="H20" s="364" t="str">
        <f>'36. Generic chemical products'!H99</f>
        <v>high. pop.</v>
      </c>
      <c r="I20" s="364">
        <f>'36. Generic chemical products'!I99</f>
        <v>1</v>
      </c>
      <c r="J20" s="364" t="str">
        <f>'36. Generic chemical products'!J99</f>
        <v>kg</v>
      </c>
      <c r="K20" s="364" t="str">
        <f>'36. Generic chemical products'!K99</f>
        <v>process related</v>
      </c>
      <c r="L20" s="364"/>
      <c r="M20" s="364" t="str">
        <f>'36. Generic chemical products'!M99</f>
        <v>Hexamethylene diamine</v>
      </c>
      <c r="N20" s="364" t="str">
        <f>'36. Generic chemical products'!N99</f>
        <v>river</v>
      </c>
      <c r="O20" s="364">
        <f>'36. Generic chemical products'!O99</f>
        <v>0.1</v>
      </c>
      <c r="P20" s="364" t="str">
        <f>'36. Generic chemical products'!P99</f>
        <v>kg</v>
      </c>
      <c r="Q20" s="364"/>
      <c r="R20" s="364"/>
      <c r="S20" s="364"/>
      <c r="T20" s="364" t="str">
        <f>'36. Generic chemical products'!T99</f>
        <v>124-09-4</v>
      </c>
      <c r="U20" s="364">
        <f>'36. Generic chemical products'!U99</f>
        <v>0</v>
      </c>
      <c r="V20" s="364">
        <f>'36. Generic chemical products'!V99</f>
        <v>0</v>
      </c>
      <c r="W20" s="364">
        <f>'36. Generic chemical products'!W99</f>
        <v>0</v>
      </c>
      <c r="X20" s="364">
        <f>'36. Generic chemical products'!X99</f>
        <v>0</v>
      </c>
      <c r="Y20" s="364">
        <f>'36. Generic chemical products'!Y99</f>
        <v>3.1842909251064055</v>
      </c>
      <c r="Z20" s="364">
        <f>'36. Generic chemical products'!Z99</f>
        <v>170.71688986878746</v>
      </c>
      <c r="AA20" s="364" t="str">
        <f>'36. Generic chemical products'!AA99</f>
        <v>USEtox</v>
      </c>
      <c r="AB20" s="327">
        <f>C13*I20</f>
        <v>1.0000000000000001E-5</v>
      </c>
      <c r="AC20" s="445">
        <v>0</v>
      </c>
      <c r="AD20" s="330">
        <f>AB20*U20+AC20*W20</f>
        <v>0</v>
      </c>
      <c r="AE20" s="330">
        <f>AB20*V20+AC20*X20</f>
        <v>0</v>
      </c>
      <c r="AF20" s="330">
        <f>AB20*Y20+AC20*Z20</f>
        <v>3.184290925106406E-5</v>
      </c>
      <c r="AG20" s="330">
        <f>AB20*U20</f>
        <v>0</v>
      </c>
      <c r="AH20" s="330">
        <f>AB20*V20</f>
        <v>0</v>
      </c>
      <c r="AI20" s="330">
        <f>AB20*Y20</f>
        <v>3.184290925106406E-5</v>
      </c>
      <c r="AJ20" s="330">
        <f>AC20*W20</f>
        <v>0</v>
      </c>
      <c r="AK20" s="330">
        <f>AC20*X20</f>
        <v>0</v>
      </c>
      <c r="AL20" s="330">
        <f>AC20*Z20</f>
        <v>0</v>
      </c>
      <c r="AM20" s="331">
        <f>AG20+AJ20</f>
        <v>0</v>
      </c>
      <c r="AN20" s="332">
        <f t="shared" ref="AN20:AO20" si="0">AH20+AK20</f>
        <v>0</v>
      </c>
      <c r="AO20" s="333">
        <f t="shared" si="0"/>
        <v>3.184290925106406E-5</v>
      </c>
    </row>
    <row r="21" spans="1:41" x14ac:dyDescent="0.2">
      <c r="AD21" s="177">
        <f>SUM(AD20:AD20)</f>
        <v>0</v>
      </c>
      <c r="AE21" s="177">
        <f>SUM(AE20:AE20)</f>
        <v>0</v>
      </c>
      <c r="AF21" s="177">
        <f>SUM(AF20:AF20)</f>
        <v>3.184290925106406E-5</v>
      </c>
    </row>
    <row r="32" spans="1:41" x14ac:dyDescent="0.2">
      <c r="A32" s="1" t="s">
        <v>687</v>
      </c>
    </row>
    <row r="33" spans="1:1" x14ac:dyDescent="0.2">
      <c r="A33" t="s">
        <v>1068</v>
      </c>
    </row>
    <row r="34" spans="1:1" x14ac:dyDescent="0.2">
      <c r="A34" s="218" t="s">
        <v>1067</v>
      </c>
    </row>
    <row r="35" spans="1:1" x14ac:dyDescent="0.2">
      <c r="A35" t="s">
        <v>1069</v>
      </c>
    </row>
    <row r="36" spans="1:1" x14ac:dyDescent="0.2">
      <c r="A36" t="s">
        <v>1083</v>
      </c>
    </row>
    <row r="37" spans="1:1" x14ac:dyDescent="0.2">
      <c r="A37" t="s">
        <v>1070</v>
      </c>
    </row>
    <row r="38" spans="1:1" x14ac:dyDescent="0.2">
      <c r="A38" t="s">
        <v>1071</v>
      </c>
    </row>
    <row r="39" spans="1:1" x14ac:dyDescent="0.2">
      <c r="A39" t="s">
        <v>1072</v>
      </c>
    </row>
    <row r="40" spans="1:1" x14ac:dyDescent="0.2">
      <c r="A40" t="s">
        <v>1073</v>
      </c>
    </row>
    <row r="41" spans="1:1" x14ac:dyDescent="0.2">
      <c r="A41" s="259"/>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44"/>
  <sheetViews>
    <sheetView zoomScale="80" zoomScaleNormal="80" workbookViewId="0">
      <selection activeCell="A21" sqref="A21"/>
    </sheetView>
  </sheetViews>
  <sheetFormatPr defaultRowHeight="12.75" x14ac:dyDescent="0.2"/>
  <cols>
    <col min="1" max="1" width="57.7109375" style="244" bestFit="1" customWidth="1"/>
    <col min="2" max="4" width="9.140625" style="244"/>
    <col min="5" max="5" width="10.5703125" style="244" customWidth="1"/>
    <col min="6" max="10" width="9.140625" style="244"/>
    <col min="11" max="11" width="9.85546875" style="244" customWidth="1"/>
    <col min="12" max="16" width="9.140625" style="244"/>
    <col min="17" max="17" width="9.85546875" style="244" customWidth="1"/>
    <col min="18" max="20" width="9.140625" style="244"/>
    <col min="21" max="21" width="9.85546875" style="244" bestFit="1" customWidth="1"/>
    <col min="22" max="22" width="9.140625" style="244"/>
    <col min="23" max="23" width="9.85546875" style="244" customWidth="1"/>
    <col min="24" max="28" width="9.140625" style="244"/>
    <col min="29" max="29" width="10.28515625" style="244" customWidth="1"/>
    <col min="30" max="31" width="12.5703125" style="244" bestFit="1" customWidth="1"/>
    <col min="32" max="32" width="11.85546875" style="244" bestFit="1" customWidth="1"/>
    <col min="33" max="33" width="9.85546875" style="244" bestFit="1" customWidth="1"/>
    <col min="34" max="34" width="10.140625" style="244" bestFit="1" customWidth="1"/>
    <col min="35" max="16384" width="9.140625" style="244"/>
  </cols>
  <sheetData>
    <row r="1" spans="1:36" ht="16.5" thickBot="1" x14ac:dyDescent="0.3">
      <c r="A1" s="37" t="s">
        <v>466</v>
      </c>
      <c r="B1" s="38"/>
      <c r="C1" s="38" t="s">
        <v>217</v>
      </c>
      <c r="D1" s="38" t="s">
        <v>11</v>
      </c>
      <c r="E1" s="39" t="s">
        <v>180</v>
      </c>
      <c r="G1" s="263" t="s">
        <v>467</v>
      </c>
      <c r="H1" s="264"/>
      <c r="I1" s="264" t="s">
        <v>217</v>
      </c>
      <c r="J1" s="264" t="s">
        <v>11</v>
      </c>
      <c r="K1" s="265" t="s">
        <v>180</v>
      </c>
      <c r="M1" s="266" t="s">
        <v>468</v>
      </c>
      <c r="N1" s="267"/>
      <c r="O1" s="268" t="s">
        <v>217</v>
      </c>
      <c r="P1" s="268" t="s">
        <v>11</v>
      </c>
      <c r="Q1" s="269" t="s">
        <v>180</v>
      </c>
      <c r="S1" s="270" t="s">
        <v>469</v>
      </c>
      <c r="T1" s="271"/>
      <c r="U1" s="271" t="s">
        <v>217</v>
      </c>
      <c r="V1" s="271" t="s">
        <v>11</v>
      </c>
      <c r="W1" s="272" t="s">
        <v>180</v>
      </c>
      <c r="Y1" s="273" t="s">
        <v>470</v>
      </c>
      <c r="Z1" s="274"/>
      <c r="AA1" s="274" t="s">
        <v>217</v>
      </c>
      <c r="AB1" s="274" t="s">
        <v>11</v>
      </c>
      <c r="AC1" s="275" t="s">
        <v>180</v>
      </c>
      <c r="AD1" s="260"/>
      <c r="AE1" s="260"/>
      <c r="AF1" s="260"/>
      <c r="AG1" s="276" t="s">
        <v>710</v>
      </c>
      <c r="AH1" s="260"/>
      <c r="AI1" s="260"/>
      <c r="AJ1" s="260"/>
    </row>
    <row r="2" spans="1:36" x14ac:dyDescent="0.2">
      <c r="A2" s="277" t="s">
        <v>218</v>
      </c>
      <c r="B2" s="281"/>
      <c r="C2" s="281"/>
      <c r="D2" s="281"/>
      <c r="E2" s="279"/>
      <c r="G2" s="277" t="s">
        <v>218</v>
      </c>
      <c r="H2" s="281"/>
      <c r="I2" s="281"/>
      <c r="J2" s="281"/>
      <c r="K2" s="279"/>
      <c r="M2" s="277" t="s">
        <v>218</v>
      </c>
      <c r="N2" s="281"/>
      <c r="O2" s="281"/>
      <c r="P2" s="281"/>
      <c r="Q2" s="279"/>
      <c r="S2" s="277" t="s">
        <v>218</v>
      </c>
      <c r="T2" s="281"/>
      <c r="U2" s="281"/>
      <c r="V2" s="281"/>
      <c r="W2" s="279"/>
      <c r="Y2" s="277" t="s">
        <v>218</v>
      </c>
      <c r="Z2" s="281"/>
      <c r="AA2" s="281"/>
      <c r="AB2" s="281"/>
      <c r="AC2" s="279"/>
      <c r="AD2" s="260"/>
      <c r="AE2" s="260"/>
      <c r="AF2" s="260"/>
      <c r="AG2" s="284" t="s">
        <v>946</v>
      </c>
      <c r="AH2" s="260" t="s">
        <v>916</v>
      </c>
      <c r="AI2" s="260"/>
      <c r="AJ2" s="260"/>
    </row>
    <row r="3" spans="1:36" x14ac:dyDescent="0.2">
      <c r="A3" s="280" t="s">
        <v>471</v>
      </c>
      <c r="B3" s="281"/>
      <c r="C3" s="281">
        <v>1</v>
      </c>
      <c r="D3" s="281" t="s">
        <v>2</v>
      </c>
      <c r="E3" s="282"/>
      <c r="G3" s="280" t="s">
        <v>471</v>
      </c>
      <c r="H3" s="281"/>
      <c r="I3" s="281">
        <v>1</v>
      </c>
      <c r="J3" s="281" t="s">
        <v>2</v>
      </c>
      <c r="K3" s="282"/>
      <c r="M3" s="280" t="s">
        <v>471</v>
      </c>
      <c r="N3" s="281"/>
      <c r="O3" s="281">
        <v>1</v>
      </c>
      <c r="P3" s="281" t="s">
        <v>2</v>
      </c>
      <c r="Q3" s="282"/>
      <c r="S3" s="280" t="s">
        <v>471</v>
      </c>
      <c r="T3" s="281"/>
      <c r="U3" s="281">
        <v>1</v>
      </c>
      <c r="V3" s="281" t="s">
        <v>2</v>
      </c>
      <c r="W3" s="282"/>
      <c r="Y3" s="280" t="s">
        <v>471</v>
      </c>
      <c r="Z3" s="281"/>
      <c r="AA3" s="281">
        <v>1</v>
      </c>
      <c r="AB3" s="281" t="s">
        <v>2</v>
      </c>
      <c r="AC3" s="282"/>
      <c r="AD3" s="260"/>
      <c r="AE3" s="260"/>
      <c r="AF3" s="260" t="s">
        <v>260</v>
      </c>
      <c r="AG3" s="284">
        <v>1.7405927593530499</v>
      </c>
      <c r="AH3" s="260"/>
      <c r="AI3" s="260"/>
      <c r="AJ3" s="260"/>
    </row>
    <row r="4" spans="1:36" s="1" customFormat="1" x14ac:dyDescent="0.2">
      <c r="A4" s="277" t="s">
        <v>187</v>
      </c>
      <c r="B4" s="281"/>
      <c r="C4" s="281"/>
      <c r="D4" s="281"/>
      <c r="E4" s="282"/>
      <c r="G4" s="277" t="s">
        <v>187</v>
      </c>
      <c r="H4" s="281"/>
      <c r="I4" s="281"/>
      <c r="J4" s="281"/>
      <c r="K4" s="282"/>
      <c r="M4" s="277" t="s">
        <v>187</v>
      </c>
      <c r="N4" s="281"/>
      <c r="O4" s="281"/>
      <c r="P4" s="281"/>
      <c r="Q4" s="282"/>
      <c r="S4" s="277" t="s">
        <v>187</v>
      </c>
      <c r="T4" s="281"/>
      <c r="U4" s="281"/>
      <c r="V4" s="281"/>
      <c r="W4" s="282"/>
      <c r="Y4" s="277" t="s">
        <v>187</v>
      </c>
      <c r="Z4" s="281"/>
      <c r="AA4" s="281"/>
      <c r="AB4" s="281"/>
      <c r="AC4" s="282"/>
      <c r="AD4" s="18"/>
      <c r="AE4" s="260"/>
      <c r="AF4" s="260" t="s">
        <v>261</v>
      </c>
      <c r="AG4" s="284">
        <v>2.07817016476174E-4</v>
      </c>
      <c r="AH4" s="18"/>
      <c r="AI4" s="18"/>
      <c r="AJ4" s="18"/>
    </row>
    <row r="5" spans="1:36" x14ac:dyDescent="0.2">
      <c r="A5" s="280" t="s">
        <v>434</v>
      </c>
      <c r="B5" s="281"/>
      <c r="C5" s="281">
        <v>0.01</v>
      </c>
      <c r="D5" s="281" t="s">
        <v>2</v>
      </c>
      <c r="E5" s="282" t="s">
        <v>179</v>
      </c>
      <c r="F5" s="244" t="s">
        <v>179</v>
      </c>
      <c r="G5" s="280" t="s">
        <v>434</v>
      </c>
      <c r="H5" s="281"/>
      <c r="I5" s="281">
        <v>0.01</v>
      </c>
      <c r="J5" s="281" t="s">
        <v>2</v>
      </c>
      <c r="K5" s="282" t="s">
        <v>179</v>
      </c>
      <c r="M5" s="280" t="s">
        <v>434</v>
      </c>
      <c r="N5" s="281"/>
      <c r="O5" s="281">
        <v>0.01</v>
      </c>
      <c r="P5" s="281" t="s">
        <v>2</v>
      </c>
      <c r="Q5" s="282" t="s">
        <v>179</v>
      </c>
      <c r="S5" s="280" t="s">
        <v>434</v>
      </c>
      <c r="T5" s="281"/>
      <c r="U5" s="281">
        <v>0.01</v>
      </c>
      <c r="V5" s="281" t="s">
        <v>2</v>
      </c>
      <c r="W5" s="282" t="s">
        <v>179</v>
      </c>
      <c r="Y5" s="280" t="s">
        <v>434</v>
      </c>
      <c r="Z5" s="281"/>
      <c r="AA5" s="281">
        <v>0.01</v>
      </c>
      <c r="AB5" s="281" t="s">
        <v>2</v>
      </c>
      <c r="AC5" s="282" t="s">
        <v>179</v>
      </c>
      <c r="AD5" s="260"/>
      <c r="AE5" s="260"/>
      <c r="AF5" s="260" t="s">
        <v>262</v>
      </c>
      <c r="AG5" s="284">
        <v>1.48076995320678E-2</v>
      </c>
      <c r="AH5" s="260"/>
      <c r="AI5" s="260"/>
      <c r="AJ5" s="260"/>
    </row>
    <row r="6" spans="1:36" s="1" customFormat="1" x14ac:dyDescent="0.2">
      <c r="A6" s="280" t="s">
        <v>435</v>
      </c>
      <c r="B6" s="281"/>
      <c r="C6" s="281">
        <v>1E-4</v>
      </c>
      <c r="D6" s="281" t="s">
        <v>2</v>
      </c>
      <c r="E6" s="282" t="s">
        <v>179</v>
      </c>
      <c r="G6" s="280" t="s">
        <v>435</v>
      </c>
      <c r="H6" s="281"/>
      <c r="I6" s="281">
        <v>1E-4</v>
      </c>
      <c r="J6" s="281" t="s">
        <v>2</v>
      </c>
      <c r="K6" s="282" t="s">
        <v>179</v>
      </c>
      <c r="M6" s="280" t="s">
        <v>435</v>
      </c>
      <c r="N6" s="281"/>
      <c r="O6" s="281">
        <v>1E-4</v>
      </c>
      <c r="P6" s="281" t="s">
        <v>2</v>
      </c>
      <c r="Q6" s="282" t="s">
        <v>179</v>
      </c>
      <c r="S6" s="280" t="s">
        <v>435</v>
      </c>
      <c r="T6" s="281"/>
      <c r="U6" s="281">
        <v>1E-4</v>
      </c>
      <c r="V6" s="281" t="s">
        <v>2</v>
      </c>
      <c r="W6" s="282" t="s">
        <v>179</v>
      </c>
      <c r="Y6" s="280" t="s">
        <v>435</v>
      </c>
      <c r="Z6" s="281"/>
      <c r="AA6" s="281">
        <v>1E-4</v>
      </c>
      <c r="AB6" s="281" t="s">
        <v>2</v>
      </c>
      <c r="AC6" s="282" t="s">
        <v>179</v>
      </c>
      <c r="AD6" s="18"/>
      <c r="AE6" s="260"/>
      <c r="AF6" s="260" t="s">
        <v>263</v>
      </c>
      <c r="AG6" s="284">
        <v>5.5541855533937602E-3</v>
      </c>
      <c r="AH6" s="244"/>
      <c r="AI6" s="18"/>
      <c r="AJ6" s="18"/>
    </row>
    <row r="7" spans="1:36" x14ac:dyDescent="0.2">
      <c r="A7" s="280" t="s">
        <v>436</v>
      </c>
      <c r="B7" s="281"/>
      <c r="C7" s="281">
        <f>0.0001/2</f>
        <v>5.0000000000000002E-5</v>
      </c>
      <c r="D7" s="281" t="s">
        <v>2</v>
      </c>
      <c r="E7" s="282" t="s">
        <v>179</v>
      </c>
      <c r="F7" s="244" t="s">
        <v>179</v>
      </c>
      <c r="G7" s="280" t="s">
        <v>436</v>
      </c>
      <c r="H7" s="281"/>
      <c r="I7" s="281">
        <f>0.0001/2</f>
        <v>5.0000000000000002E-5</v>
      </c>
      <c r="J7" s="281" t="s">
        <v>2</v>
      </c>
      <c r="K7" s="282" t="s">
        <v>179</v>
      </c>
      <c r="M7" s="280" t="s">
        <v>436</v>
      </c>
      <c r="N7" s="281"/>
      <c r="O7" s="281">
        <f>0.0001/2</f>
        <v>5.0000000000000002E-5</v>
      </c>
      <c r="P7" s="281" t="s">
        <v>2</v>
      </c>
      <c r="Q7" s="282" t="s">
        <v>179</v>
      </c>
      <c r="S7" s="280" t="s">
        <v>436</v>
      </c>
      <c r="T7" s="281"/>
      <c r="U7" s="281">
        <f>0.0001/2</f>
        <v>5.0000000000000002E-5</v>
      </c>
      <c r="V7" s="281" t="s">
        <v>2</v>
      </c>
      <c r="W7" s="282" t="s">
        <v>179</v>
      </c>
      <c r="Y7" s="280" t="s">
        <v>436</v>
      </c>
      <c r="Z7" s="281"/>
      <c r="AA7" s="281">
        <f>0.0001/2</f>
        <v>5.0000000000000002E-5</v>
      </c>
      <c r="AB7" s="281" t="s">
        <v>2</v>
      </c>
      <c r="AC7" s="282" t="s">
        <v>179</v>
      </c>
      <c r="AD7" s="260"/>
      <c r="AE7" s="260"/>
      <c r="AF7" s="260" t="s">
        <v>264</v>
      </c>
      <c r="AG7" s="284">
        <v>6.8659704676184204E-3</v>
      </c>
      <c r="AI7" s="260"/>
      <c r="AJ7" s="260"/>
    </row>
    <row r="8" spans="1:36" ht="15" x14ac:dyDescent="0.2">
      <c r="A8" s="280" t="s">
        <v>437</v>
      </c>
      <c r="B8" s="281"/>
      <c r="C8" s="281">
        <f>0.0001/2</f>
        <v>5.0000000000000002E-5</v>
      </c>
      <c r="D8" s="281" t="s">
        <v>2</v>
      </c>
      <c r="E8" s="282" t="s">
        <v>179</v>
      </c>
      <c r="F8" s="244" t="s">
        <v>179</v>
      </c>
      <c r="G8" s="280" t="s">
        <v>437</v>
      </c>
      <c r="H8" s="281"/>
      <c r="I8" s="281">
        <f>0.0001/2</f>
        <v>5.0000000000000002E-5</v>
      </c>
      <c r="J8" s="281" t="s">
        <v>2</v>
      </c>
      <c r="K8" s="282" t="s">
        <v>179</v>
      </c>
      <c r="M8" s="280" t="s">
        <v>437</v>
      </c>
      <c r="N8" s="281"/>
      <c r="O8" s="281">
        <f>0.0001/2</f>
        <v>5.0000000000000002E-5</v>
      </c>
      <c r="P8" s="281" t="s">
        <v>2</v>
      </c>
      <c r="Q8" s="282" t="s">
        <v>179</v>
      </c>
      <c r="S8" s="280" t="s">
        <v>437</v>
      </c>
      <c r="T8" s="281"/>
      <c r="U8" s="281">
        <f>0.0001/2</f>
        <v>5.0000000000000002E-5</v>
      </c>
      <c r="V8" s="281" t="s">
        <v>2</v>
      </c>
      <c r="W8" s="282" t="s">
        <v>179</v>
      </c>
      <c r="Y8" s="280" t="s">
        <v>437</v>
      </c>
      <c r="Z8" s="281"/>
      <c r="AA8" s="281">
        <f>0.0001/2</f>
        <v>5.0000000000000002E-5</v>
      </c>
      <c r="AB8" s="281" t="s">
        <v>2</v>
      </c>
      <c r="AC8" s="282" t="s">
        <v>179</v>
      </c>
      <c r="AD8" s="260"/>
      <c r="AE8" s="260"/>
      <c r="AF8" s="260" t="s">
        <v>675</v>
      </c>
      <c r="AG8" s="284">
        <v>1.5189851359527999</v>
      </c>
      <c r="AI8" s="260"/>
      <c r="AJ8" s="260"/>
    </row>
    <row r="9" spans="1:36" x14ac:dyDescent="0.2">
      <c r="A9" s="280" t="s">
        <v>438</v>
      </c>
      <c r="B9" s="281"/>
      <c r="C9" s="281">
        <v>1E-4</v>
      </c>
      <c r="D9" s="281" t="s">
        <v>2</v>
      </c>
      <c r="E9" s="286" t="s">
        <v>179</v>
      </c>
      <c r="G9" s="280" t="s">
        <v>438</v>
      </c>
      <c r="H9" s="281"/>
      <c r="I9" s="281">
        <v>1E-4</v>
      </c>
      <c r="J9" s="281" t="s">
        <v>2</v>
      </c>
      <c r="K9" s="286" t="s">
        <v>179</v>
      </c>
      <c r="M9" s="280" t="s">
        <v>438</v>
      </c>
      <c r="N9" s="281"/>
      <c r="O9" s="281">
        <v>1E-4</v>
      </c>
      <c r="P9" s="281" t="s">
        <v>2</v>
      </c>
      <c r="Q9" s="286" t="s">
        <v>179</v>
      </c>
      <c r="S9" s="280" t="s">
        <v>438</v>
      </c>
      <c r="T9" s="281"/>
      <c r="U9" s="281">
        <v>1E-4</v>
      </c>
      <c r="V9" s="281" t="s">
        <v>2</v>
      </c>
      <c r="W9" s="286" t="s">
        <v>179</v>
      </c>
      <c r="Y9" s="280" t="s">
        <v>438</v>
      </c>
      <c r="Z9" s="281"/>
      <c r="AA9" s="281">
        <v>1E-4</v>
      </c>
      <c r="AB9" s="281" t="s">
        <v>2</v>
      </c>
      <c r="AC9" s="286" t="s">
        <v>179</v>
      </c>
      <c r="AF9" s="260" t="s">
        <v>266</v>
      </c>
      <c r="AG9" s="284">
        <v>2.2110586144122001E-7</v>
      </c>
      <c r="AH9" s="316">
        <f>AE27</f>
        <v>0</v>
      </c>
    </row>
    <row r="10" spans="1:36" x14ac:dyDescent="0.2">
      <c r="A10" s="277" t="s">
        <v>205</v>
      </c>
      <c r="B10" s="281"/>
      <c r="C10" s="281"/>
      <c r="D10" s="281"/>
      <c r="E10" s="286"/>
      <c r="G10" s="277" t="s">
        <v>205</v>
      </c>
      <c r="H10" s="281"/>
      <c r="I10" s="281"/>
      <c r="J10" s="281"/>
      <c r="K10" s="286"/>
      <c r="M10" s="277" t="s">
        <v>205</v>
      </c>
      <c r="N10" s="281"/>
      <c r="O10" s="281"/>
      <c r="P10" s="281"/>
      <c r="Q10" s="286"/>
      <c r="S10" s="277" t="s">
        <v>205</v>
      </c>
      <c r="T10" s="281"/>
      <c r="U10" s="281"/>
      <c r="V10" s="281"/>
      <c r="W10" s="286"/>
      <c r="Y10" s="277" t="s">
        <v>205</v>
      </c>
      <c r="Z10" s="281"/>
      <c r="AA10" s="281"/>
      <c r="AB10" s="281"/>
      <c r="AC10" s="286"/>
      <c r="AF10" s="260" t="s">
        <v>267</v>
      </c>
      <c r="AG10" s="284">
        <v>4.2636202695257001E-8</v>
      </c>
      <c r="AH10" s="316">
        <f>AD27</f>
        <v>0</v>
      </c>
    </row>
    <row r="11" spans="1:36" x14ac:dyDescent="0.2">
      <c r="A11" s="280" t="s">
        <v>206</v>
      </c>
      <c r="B11" s="281"/>
      <c r="C11" s="281">
        <v>1.5</v>
      </c>
      <c r="D11" s="281" t="s">
        <v>207</v>
      </c>
      <c r="E11" s="337" t="s">
        <v>1076</v>
      </c>
      <c r="G11" s="280" t="s">
        <v>206</v>
      </c>
      <c r="H11" s="281"/>
      <c r="I11" s="281">
        <f>0.69+1</f>
        <v>1.69</v>
      </c>
      <c r="J11" s="281" t="s">
        <v>207</v>
      </c>
      <c r="K11" s="340" t="s">
        <v>1080</v>
      </c>
      <c r="L11" s="218" t="s">
        <v>87</v>
      </c>
      <c r="M11" s="341" t="s">
        <v>206</v>
      </c>
      <c r="N11" s="339"/>
      <c r="O11" s="339">
        <v>4.22</v>
      </c>
      <c r="P11" s="339" t="s">
        <v>207</v>
      </c>
      <c r="Q11" s="340"/>
      <c r="R11" s="218"/>
      <c r="S11" s="280" t="s">
        <v>206</v>
      </c>
      <c r="T11" s="281"/>
      <c r="U11" s="281">
        <v>1.5</v>
      </c>
      <c r="V11" s="281" t="s">
        <v>207</v>
      </c>
      <c r="W11" s="286" t="s">
        <v>179</v>
      </c>
      <c r="Y11" s="280" t="s">
        <v>206</v>
      </c>
      <c r="Z11" s="281"/>
      <c r="AA11" s="281">
        <v>1.5</v>
      </c>
      <c r="AB11" s="281" t="s">
        <v>207</v>
      </c>
      <c r="AC11" s="286" t="s">
        <v>179</v>
      </c>
      <c r="AF11" s="260" t="s">
        <v>268</v>
      </c>
      <c r="AG11" s="284">
        <v>3.7255830114541602</v>
      </c>
      <c r="AH11" s="316">
        <f>AF27</f>
        <v>7.4178420287474874E-5</v>
      </c>
    </row>
    <row r="12" spans="1:36" x14ac:dyDescent="0.2">
      <c r="A12" s="280" t="s">
        <v>208</v>
      </c>
      <c r="B12" s="281"/>
      <c r="C12" s="281">
        <v>2.2000000000000002</v>
      </c>
      <c r="D12" s="358" t="s">
        <v>455</v>
      </c>
      <c r="E12" s="337" t="s">
        <v>1076</v>
      </c>
      <c r="G12" s="336" t="s">
        <v>1079</v>
      </c>
      <c r="H12" s="281"/>
      <c r="I12" s="281">
        <v>4.75</v>
      </c>
      <c r="J12" s="358" t="s">
        <v>455</v>
      </c>
      <c r="K12" s="340" t="s">
        <v>1080</v>
      </c>
      <c r="L12" s="218" t="s">
        <v>87</v>
      </c>
      <c r="M12" s="336" t="s">
        <v>1082</v>
      </c>
      <c r="N12" s="339"/>
      <c r="O12" s="339">
        <v>14.79</v>
      </c>
      <c r="P12" s="358" t="s">
        <v>455</v>
      </c>
      <c r="Q12" s="340"/>
      <c r="R12" s="218"/>
      <c r="S12" s="280" t="s">
        <v>208</v>
      </c>
      <c r="T12" s="281"/>
      <c r="U12" s="281">
        <v>2.2000000000000002</v>
      </c>
      <c r="V12" s="358" t="s">
        <v>455</v>
      </c>
      <c r="W12" s="286" t="s">
        <v>179</v>
      </c>
      <c r="Y12" s="280" t="s">
        <v>208</v>
      </c>
      <c r="Z12" s="281"/>
      <c r="AA12" s="281">
        <v>2.2000000000000002</v>
      </c>
      <c r="AB12" s="358" t="s">
        <v>455</v>
      </c>
      <c r="AC12" s="286" t="s">
        <v>179</v>
      </c>
      <c r="AF12" s="260"/>
    </row>
    <row r="13" spans="1:36" x14ac:dyDescent="0.2">
      <c r="A13" s="336" t="s">
        <v>1081</v>
      </c>
      <c r="B13" s="281"/>
      <c r="C13" s="281">
        <v>0</v>
      </c>
      <c r="D13" s="358" t="s">
        <v>455</v>
      </c>
      <c r="E13" s="337"/>
      <c r="G13" s="336" t="s">
        <v>1081</v>
      </c>
      <c r="H13" s="281"/>
      <c r="I13" s="281">
        <v>0</v>
      </c>
      <c r="J13" s="358" t="s">
        <v>455</v>
      </c>
      <c r="K13" s="340"/>
      <c r="L13" s="218" t="s">
        <v>87</v>
      </c>
      <c r="M13" s="336" t="s">
        <v>1081</v>
      </c>
      <c r="N13" s="339"/>
      <c r="O13" s="339">
        <v>53.76</v>
      </c>
      <c r="P13" s="358" t="s">
        <v>455</v>
      </c>
      <c r="Q13" s="340"/>
      <c r="R13" s="218"/>
      <c r="S13" s="336" t="s">
        <v>1081</v>
      </c>
      <c r="T13" s="281"/>
      <c r="U13" s="281">
        <v>0</v>
      </c>
      <c r="V13" s="358" t="s">
        <v>455</v>
      </c>
      <c r="W13" s="286" t="s">
        <v>179</v>
      </c>
      <c r="Y13" s="336" t="s">
        <v>1081</v>
      </c>
      <c r="Z13" s="281"/>
      <c r="AA13" s="281">
        <v>0</v>
      </c>
      <c r="AB13" s="358" t="s">
        <v>455</v>
      </c>
      <c r="AC13" s="286" t="s">
        <v>179</v>
      </c>
      <c r="AF13" s="260"/>
    </row>
    <row r="14" spans="1:36" x14ac:dyDescent="0.2">
      <c r="A14" s="277" t="s">
        <v>1384</v>
      </c>
      <c r="B14" s="281"/>
      <c r="C14" s="281"/>
      <c r="D14" s="281"/>
      <c r="E14" s="282"/>
      <c r="G14" s="277" t="s">
        <v>215</v>
      </c>
      <c r="H14" s="281"/>
      <c r="I14" s="281"/>
      <c r="J14" s="281"/>
      <c r="K14" s="282"/>
      <c r="M14" s="277" t="s">
        <v>215</v>
      </c>
      <c r="N14" s="281"/>
      <c r="O14" s="281"/>
      <c r="P14" s="281"/>
      <c r="Q14" s="282"/>
      <c r="S14" s="277" t="s">
        <v>215</v>
      </c>
      <c r="T14" s="281"/>
      <c r="U14" s="281"/>
      <c r="V14" s="281"/>
      <c r="W14" s="282"/>
      <c r="Y14" s="277" t="s">
        <v>215</v>
      </c>
      <c r="Z14" s="281"/>
      <c r="AA14" s="281"/>
      <c r="AB14" s="281"/>
      <c r="AC14" s="282"/>
    </row>
    <row r="15" spans="1:36" x14ac:dyDescent="0.2">
      <c r="A15" s="280" t="s">
        <v>999</v>
      </c>
      <c r="B15" s="281"/>
      <c r="C15" s="281">
        <f>C3*0.01*0.001</f>
        <v>1.0000000000000001E-5</v>
      </c>
      <c r="D15" s="281" t="s">
        <v>2</v>
      </c>
      <c r="E15" s="282"/>
      <c r="G15" s="280" t="s">
        <v>999</v>
      </c>
      <c r="H15" s="281"/>
      <c r="I15" s="281">
        <f>I3*0.01*0.0001</f>
        <v>1.0000000000000002E-6</v>
      </c>
      <c r="J15" s="281" t="s">
        <v>2</v>
      </c>
      <c r="K15" s="282"/>
      <c r="M15" s="280" t="s">
        <v>999</v>
      </c>
      <c r="N15" s="281"/>
      <c r="O15" s="281">
        <f>O3*0.01*0.01</f>
        <v>1E-4</v>
      </c>
      <c r="P15" s="281" t="s">
        <v>2</v>
      </c>
      <c r="Q15" s="282"/>
      <c r="S15" s="280" t="s">
        <v>999</v>
      </c>
      <c r="T15" s="281"/>
      <c r="U15" s="281">
        <f>U3*0.01*0.001</f>
        <v>1.0000000000000001E-5</v>
      </c>
      <c r="V15" s="281" t="s">
        <v>2</v>
      </c>
      <c r="W15" s="282"/>
      <c r="Y15" s="280" t="s">
        <v>999</v>
      </c>
      <c r="Z15" s="281"/>
      <c r="AA15" s="281">
        <f>AA3*0.01*0.001</f>
        <v>1.0000000000000001E-5</v>
      </c>
      <c r="AB15" s="281" t="s">
        <v>2</v>
      </c>
      <c r="AC15" s="282"/>
    </row>
    <row r="16" spans="1:36" x14ac:dyDescent="0.2">
      <c r="A16" s="280" t="s">
        <v>1000</v>
      </c>
      <c r="B16" s="281"/>
      <c r="C16" s="281">
        <f>C3*0.01*0.001</f>
        <v>1.0000000000000001E-5</v>
      </c>
      <c r="D16" s="281" t="s">
        <v>2</v>
      </c>
      <c r="E16" s="282"/>
      <c r="G16" s="280" t="s">
        <v>1000</v>
      </c>
      <c r="H16" s="281"/>
      <c r="I16" s="281">
        <f>I3*0.01*0.0001</f>
        <v>1.0000000000000002E-6</v>
      </c>
      <c r="J16" s="281" t="s">
        <v>2</v>
      </c>
      <c r="K16" s="282"/>
      <c r="M16" s="280" t="s">
        <v>1000</v>
      </c>
      <c r="N16" s="281"/>
      <c r="O16" s="281">
        <f>O3*0.01*0.01</f>
        <v>1E-4</v>
      </c>
      <c r="P16" s="281" t="s">
        <v>2</v>
      </c>
      <c r="Q16" s="282"/>
      <c r="S16" s="280" t="s">
        <v>1000</v>
      </c>
      <c r="T16" s="281"/>
      <c r="U16" s="281">
        <f>U3*0.01*0.001</f>
        <v>1.0000000000000001E-5</v>
      </c>
      <c r="V16" s="281" t="s">
        <v>2</v>
      </c>
      <c r="W16" s="282"/>
      <c r="Y16" s="280" t="s">
        <v>1000</v>
      </c>
      <c r="Z16" s="281"/>
      <c r="AA16" s="281">
        <f>AA3*0.01*0.001</f>
        <v>1.0000000000000001E-5</v>
      </c>
      <c r="AB16" s="281" t="s">
        <v>2</v>
      </c>
      <c r="AC16" s="282"/>
    </row>
    <row r="17" spans="1:41" ht="13.5" thickBot="1" x14ac:dyDescent="0.25">
      <c r="A17" s="289" t="s">
        <v>1001</v>
      </c>
      <c r="B17" s="290"/>
      <c r="C17" s="290">
        <f>C3*0.01*0.001</f>
        <v>1.0000000000000001E-5</v>
      </c>
      <c r="D17" s="290" t="s">
        <v>2</v>
      </c>
      <c r="E17" s="446"/>
      <c r="F17" s="447" t="s">
        <v>87</v>
      </c>
      <c r="G17" s="289" t="s">
        <v>1001</v>
      </c>
      <c r="H17" s="290"/>
      <c r="I17" s="290">
        <f>I3*0.01*0.0001</f>
        <v>1.0000000000000002E-6</v>
      </c>
      <c r="J17" s="290" t="s">
        <v>2</v>
      </c>
      <c r="K17" s="292"/>
      <c r="M17" s="289" t="s">
        <v>1001</v>
      </c>
      <c r="N17" s="290"/>
      <c r="O17" s="290">
        <f>O3*0.01*0.01</f>
        <v>1E-4</v>
      </c>
      <c r="P17" s="290" t="s">
        <v>2</v>
      </c>
      <c r="Q17" s="292"/>
      <c r="S17" s="289" t="s">
        <v>1001</v>
      </c>
      <c r="T17" s="290"/>
      <c r="U17" s="290">
        <f>U3*0.01*0.001</f>
        <v>1.0000000000000001E-5</v>
      </c>
      <c r="V17" s="290" t="s">
        <v>2</v>
      </c>
      <c r="W17" s="292"/>
      <c r="Y17" s="289" t="s">
        <v>1001</v>
      </c>
      <c r="Z17" s="290"/>
      <c r="AA17" s="290">
        <f>AA3*0.01*0.001</f>
        <v>1.0000000000000001E-5</v>
      </c>
      <c r="AB17" s="290" t="s">
        <v>2</v>
      </c>
      <c r="AC17" s="292"/>
    </row>
    <row r="18" spans="1:41" x14ac:dyDescent="0.2">
      <c r="A18" s="464" t="s">
        <v>1385</v>
      </c>
    </row>
    <row r="22" spans="1:41" s="293" customFormat="1" x14ac:dyDescent="0.2">
      <c r="A22" s="17" t="s">
        <v>708</v>
      </c>
      <c r="U22" s="197" t="s">
        <v>550</v>
      </c>
      <c r="V22" s="198" t="s">
        <v>551</v>
      </c>
      <c r="W22" s="198" t="s">
        <v>550</v>
      </c>
      <c r="X22" s="198" t="s">
        <v>551</v>
      </c>
      <c r="Y22" s="199" t="s">
        <v>552</v>
      </c>
      <c r="Z22" s="294"/>
      <c r="AA22" s="295"/>
      <c r="AB22" s="17" t="s">
        <v>105</v>
      </c>
      <c r="AC22" s="17"/>
      <c r="AD22" s="148" t="s">
        <v>549</v>
      </c>
      <c r="AE22" s="149"/>
      <c r="AF22" s="149"/>
      <c r="AG22" s="149" t="s">
        <v>548</v>
      </c>
      <c r="AH22" s="149"/>
      <c r="AI22" s="149"/>
      <c r="AJ22" s="149" t="s">
        <v>547</v>
      </c>
      <c r="AK22" s="149"/>
      <c r="AL22" s="149"/>
      <c r="AM22" s="296" t="s">
        <v>553</v>
      </c>
      <c r="AN22" s="294"/>
      <c r="AO22" s="295"/>
    </row>
    <row r="23" spans="1:41" s="139" customFormat="1" ht="15" customHeight="1" x14ac:dyDescent="0.2">
      <c r="A23" s="57" t="s">
        <v>58</v>
      </c>
      <c r="B23" s="55" t="s">
        <v>289</v>
      </c>
      <c r="C23" s="56" t="s">
        <v>100</v>
      </c>
      <c r="D23" s="56" t="s">
        <v>11</v>
      </c>
      <c r="E23" s="63" t="s">
        <v>291</v>
      </c>
      <c r="F23" s="63"/>
      <c r="G23" s="66" t="s">
        <v>292</v>
      </c>
      <c r="H23" s="66" t="s">
        <v>8</v>
      </c>
      <c r="I23" s="66" t="s">
        <v>217</v>
      </c>
      <c r="J23" s="66" t="s">
        <v>11</v>
      </c>
      <c r="K23" s="66" t="s">
        <v>291</v>
      </c>
      <c r="L23" s="63"/>
      <c r="M23" s="67" t="s">
        <v>293</v>
      </c>
      <c r="N23" s="67" t="s">
        <v>8</v>
      </c>
      <c r="O23" s="67" t="s">
        <v>217</v>
      </c>
      <c r="P23" s="67" t="s">
        <v>11</v>
      </c>
      <c r="Q23" s="67" t="s">
        <v>291</v>
      </c>
      <c r="R23" s="63"/>
      <c r="S23" s="63"/>
      <c r="T23" s="297" t="s">
        <v>275</v>
      </c>
      <c r="U23" s="126" t="s">
        <v>530</v>
      </c>
      <c r="V23" s="114" t="s">
        <v>531</v>
      </c>
      <c r="W23" s="114" t="s">
        <v>532</v>
      </c>
      <c r="X23" s="114" t="s">
        <v>533</v>
      </c>
      <c r="Y23" s="114" t="s">
        <v>534</v>
      </c>
      <c r="Z23" s="114" t="s">
        <v>535</v>
      </c>
      <c r="AA23" s="131" t="s">
        <v>536</v>
      </c>
      <c r="AB23" s="22" t="s">
        <v>545</v>
      </c>
      <c r="AC23" s="23" t="s">
        <v>546</v>
      </c>
      <c r="AD23" s="148" t="s">
        <v>31</v>
      </c>
      <c r="AE23" s="149" t="s">
        <v>32</v>
      </c>
      <c r="AF23" s="150" t="s">
        <v>33</v>
      </c>
      <c r="AG23" s="148" t="s">
        <v>31</v>
      </c>
      <c r="AH23" s="149" t="s">
        <v>32</v>
      </c>
      <c r="AI23" s="150" t="s">
        <v>33</v>
      </c>
      <c r="AJ23" s="148" t="s">
        <v>31</v>
      </c>
      <c r="AK23" s="149" t="s">
        <v>32</v>
      </c>
      <c r="AL23" s="149" t="s">
        <v>33</v>
      </c>
      <c r="AM23" s="298"/>
      <c r="AN23" s="136"/>
      <c r="AO23" s="299"/>
    </row>
    <row r="24" spans="1:41" s="54" customFormat="1" ht="15" customHeight="1" x14ac:dyDescent="0.2">
      <c r="A24" s="50" t="str">
        <f>'36. Generic chemical products'!A100</f>
        <v>Monomer/oligomer, adipic acid</v>
      </c>
      <c r="B24" s="50" t="str">
        <f>'36. Generic chemical products'!B100</f>
        <v>Adipic acid</v>
      </c>
      <c r="C24" s="50">
        <f>'36. Generic chemical products'!C100</f>
        <v>1</v>
      </c>
      <c r="D24" s="50" t="str">
        <f>'36. Generic chemical products'!D100</f>
        <v>kg</v>
      </c>
      <c r="E24" s="50">
        <f>'36. Generic chemical products'!E100</f>
        <v>1</v>
      </c>
      <c r="F24" s="50"/>
      <c r="G24" s="50" t="str">
        <f>'36. Generic chemical products'!G100</f>
        <v>Adipic acid</v>
      </c>
      <c r="H24" s="50" t="str">
        <f>'36. Generic chemical products'!H100</f>
        <v>high. pop.</v>
      </c>
      <c r="I24" s="50">
        <f>'36. Generic chemical products'!I100</f>
        <v>1</v>
      </c>
      <c r="J24" s="50" t="str">
        <f>'36. Generic chemical products'!J100</f>
        <v>kg</v>
      </c>
      <c r="K24" s="50" t="str">
        <f>'36. Generic chemical products'!K100</f>
        <v>process related</v>
      </c>
      <c r="L24" s="50"/>
      <c r="M24" s="50" t="str">
        <f>'36. Generic chemical products'!M100</f>
        <v>Adipic acid</v>
      </c>
      <c r="N24" s="50" t="str">
        <f>'36. Generic chemical products'!N100</f>
        <v>river</v>
      </c>
      <c r="O24" s="50">
        <f>'36. Generic chemical products'!O100</f>
        <v>0.1</v>
      </c>
      <c r="P24" s="50" t="str">
        <f>'36. Generic chemical products'!P100</f>
        <v>kg</v>
      </c>
      <c r="Q24" s="50"/>
      <c r="R24" s="50"/>
      <c r="S24" s="50"/>
      <c r="T24" s="50" t="str">
        <f>'36. Generic chemical products'!T100</f>
        <v>124-04-9</v>
      </c>
      <c r="U24" s="50">
        <f>'36. Generic chemical products'!U100</f>
        <v>0</v>
      </c>
      <c r="V24" s="50">
        <f>'36. Generic chemical products'!V100</f>
        <v>0</v>
      </c>
      <c r="W24" s="50">
        <f>'36. Generic chemical products'!W100</f>
        <v>0</v>
      </c>
      <c r="X24" s="50">
        <f>'36. Generic chemical products'!X100</f>
        <v>0</v>
      </c>
      <c r="Y24" s="50">
        <f>'36. Generic chemical products'!Y100</f>
        <v>1.8775280625345094</v>
      </c>
      <c r="Z24" s="50">
        <f>'36. Generic chemical products'!Z100</f>
        <v>24.872783622971983</v>
      </c>
      <c r="AA24" s="50" t="str">
        <f>'36. Generic chemical products'!AA100</f>
        <v>USEtox</v>
      </c>
      <c r="AB24" s="327">
        <f>C15*I24</f>
        <v>1.0000000000000001E-5</v>
      </c>
      <c r="AC24" s="445">
        <v>0</v>
      </c>
      <c r="AD24" s="330">
        <f t="shared" ref="AD24:AD25" si="0">AB24*U24+AC24*W24</f>
        <v>0</v>
      </c>
      <c r="AE24" s="330">
        <f t="shared" ref="AE24:AE25" si="1">AB24*V24+AC24*X24</f>
        <v>0</v>
      </c>
      <c r="AF24" s="330">
        <f t="shared" ref="AF24:AF25" si="2">AB24*Y24+AC24*Z24</f>
        <v>1.8775280625345097E-5</v>
      </c>
      <c r="AG24" s="330">
        <f t="shared" ref="AG24:AG25" si="3">AB24*U24</f>
        <v>0</v>
      </c>
      <c r="AH24" s="330">
        <f t="shared" ref="AH24:AH25" si="4">AB24*V24</f>
        <v>0</v>
      </c>
      <c r="AI24" s="330">
        <f t="shared" ref="AI24:AI25" si="5">AB24*Y24</f>
        <v>1.8775280625345097E-5</v>
      </c>
      <c r="AJ24" s="330">
        <f t="shared" ref="AJ24:AJ25" si="6">AC24*W24</f>
        <v>0</v>
      </c>
      <c r="AK24" s="330">
        <f t="shared" ref="AK24:AK25" si="7">AC24*X24</f>
        <v>0</v>
      </c>
      <c r="AL24" s="330">
        <f t="shared" ref="AL24:AL25" si="8">AC24*Z24</f>
        <v>0</v>
      </c>
      <c r="AM24" s="331">
        <f t="shared" ref="AM24:AM25" si="9">AG24+AJ24</f>
        <v>0</v>
      </c>
      <c r="AN24" s="332">
        <f t="shared" ref="AN24:AN25" si="10">AH24+AK24</f>
        <v>0</v>
      </c>
      <c r="AO24" s="333">
        <f t="shared" ref="AO24:AO25" si="11">AI24+AL24</f>
        <v>1.8775280625345097E-5</v>
      </c>
    </row>
    <row r="25" spans="1:41" s="54" customFormat="1" ht="15" customHeight="1" x14ac:dyDescent="0.2">
      <c r="A25" s="50" t="str">
        <f>'36. Generic chemical products'!A101</f>
        <v>Monomer/oligomer, adipic acid, compound with hexane-1,6-diamine (1:1)</v>
      </c>
      <c r="B25" s="50" t="str">
        <f>'36. Generic chemical products'!B101</f>
        <v>Adipic acid, compound with hexane-1,6-diamine (1:1)</v>
      </c>
      <c r="C25" s="50">
        <f>'36. Generic chemical products'!C101</f>
        <v>1</v>
      </c>
      <c r="D25" s="50" t="str">
        <f>'36. Generic chemical products'!D101</f>
        <v>kg</v>
      </c>
      <c r="E25" s="50">
        <f>'36. Generic chemical products'!E101</f>
        <v>1</v>
      </c>
      <c r="F25" s="50"/>
      <c r="G25" s="50" t="str">
        <f>'36. Generic chemical products'!G101</f>
        <v>Adipic acid, compound with hexane-1,6-diamine (1:1)</v>
      </c>
      <c r="H25" s="50" t="str">
        <f>'36. Generic chemical products'!H101</f>
        <v>high. pop.</v>
      </c>
      <c r="I25" s="50">
        <f>'36. Generic chemical products'!I101</f>
        <v>1</v>
      </c>
      <c r="J25" s="50" t="str">
        <f>'36. Generic chemical products'!J101</f>
        <v>kg</v>
      </c>
      <c r="K25" s="50" t="str">
        <f>'36. Generic chemical products'!K101</f>
        <v>process related</v>
      </c>
      <c r="L25" s="50"/>
      <c r="M25" s="50" t="str">
        <f>'36. Generic chemical products'!M101</f>
        <v>Adipic acid, compound with hexane-1,6-diamine (1:1)</v>
      </c>
      <c r="N25" s="50" t="str">
        <f>'36. Generic chemical products'!N101</f>
        <v>river</v>
      </c>
      <c r="O25" s="50">
        <f>'36. Generic chemical products'!O101</f>
        <v>0.1</v>
      </c>
      <c r="P25" s="50" t="str">
        <f>'36. Generic chemical products'!P101</f>
        <v>kg</v>
      </c>
      <c r="Q25" s="50"/>
      <c r="R25" s="50"/>
      <c r="S25" s="50"/>
      <c r="T25" s="50" t="str">
        <f>'36. Generic chemical products'!T101</f>
        <v>3323-53-3</v>
      </c>
      <c r="U25" s="50">
        <f>'36. Generic chemical products'!U101</f>
        <v>0</v>
      </c>
      <c r="V25" s="50">
        <f>'36. Generic chemical products'!V101</f>
        <v>0</v>
      </c>
      <c r="W25" s="50">
        <f>'36. Generic chemical products'!W101</f>
        <v>0</v>
      </c>
      <c r="X25" s="50">
        <f>'36. Generic chemical products'!X101</f>
        <v>0</v>
      </c>
      <c r="Y25" s="50">
        <f>'36. Generic chemical products'!Y101</f>
        <v>5.2534027600618893</v>
      </c>
      <c r="Z25" s="50">
        <f>'36. Generic chemical products'!Z101</f>
        <v>21.109030884458637</v>
      </c>
      <c r="AA25" s="50" t="str">
        <f>'36. Generic chemical products'!AA101</f>
        <v>USEtox</v>
      </c>
      <c r="AB25" s="327">
        <f>C16*I25</f>
        <v>1.0000000000000001E-5</v>
      </c>
      <c r="AC25" s="445">
        <v>0</v>
      </c>
      <c r="AD25" s="330">
        <f t="shared" si="0"/>
        <v>0</v>
      </c>
      <c r="AE25" s="330">
        <f t="shared" si="1"/>
        <v>0</v>
      </c>
      <c r="AF25" s="330">
        <f t="shared" si="2"/>
        <v>5.2534027600618895E-5</v>
      </c>
      <c r="AG25" s="330">
        <f t="shared" si="3"/>
        <v>0</v>
      </c>
      <c r="AH25" s="330">
        <f t="shared" si="4"/>
        <v>0</v>
      </c>
      <c r="AI25" s="330">
        <f t="shared" si="5"/>
        <v>5.2534027600618895E-5</v>
      </c>
      <c r="AJ25" s="330">
        <f t="shared" si="6"/>
        <v>0</v>
      </c>
      <c r="AK25" s="330">
        <f t="shared" si="7"/>
        <v>0</v>
      </c>
      <c r="AL25" s="330">
        <f t="shared" si="8"/>
        <v>0</v>
      </c>
      <c r="AM25" s="331">
        <f t="shared" si="9"/>
        <v>0</v>
      </c>
      <c r="AN25" s="332">
        <f t="shared" si="10"/>
        <v>0</v>
      </c>
      <c r="AO25" s="333">
        <f t="shared" si="11"/>
        <v>5.2534027600618895E-5</v>
      </c>
    </row>
    <row r="26" spans="1:41" s="141" customFormat="1" ht="15" customHeight="1" x14ac:dyDescent="0.2">
      <c r="A26" s="364" t="str">
        <f>'36. Generic chemical products'!A102</f>
        <v>Solvent, average (DMAC)</v>
      </c>
      <c r="B26" s="364" t="str">
        <f>'36. Generic chemical products'!B102</f>
        <v>N,n'-dimethylacetamide</v>
      </c>
      <c r="C26" s="364">
        <f>'36. Generic chemical products'!C102</f>
        <v>1</v>
      </c>
      <c r="D26" s="364" t="str">
        <f>'36. Generic chemical products'!D102</f>
        <v>kg</v>
      </c>
      <c r="E26" s="364">
        <f>'36. Generic chemical products'!E102</f>
        <v>1</v>
      </c>
      <c r="F26" s="364"/>
      <c r="G26" s="364" t="str">
        <f>'36. Generic chemical products'!G102</f>
        <v>N,n'-dimethylacetamide</v>
      </c>
      <c r="H26" s="364" t="str">
        <f>'36. Generic chemical products'!H102</f>
        <v>high. pop.</v>
      </c>
      <c r="I26" s="364">
        <f>'36. Generic chemical products'!I102</f>
        <v>0.05</v>
      </c>
      <c r="J26" s="364" t="str">
        <f>'36. Generic chemical products'!J102</f>
        <v>kg</v>
      </c>
      <c r="K26" s="364">
        <f>'36. Generic chemical products'!K102</f>
        <v>0</v>
      </c>
      <c r="L26" s="364"/>
      <c r="M26" s="364" t="str">
        <f>'36. Generic chemical products'!M102</f>
        <v>N,n'-dimethylacetamide</v>
      </c>
      <c r="N26" s="364" t="str">
        <f>'36. Generic chemical products'!N102</f>
        <v>river</v>
      </c>
      <c r="O26" s="364">
        <f>'36. Generic chemical products'!O102</f>
        <v>0.1</v>
      </c>
      <c r="P26" s="364" t="str">
        <f>'36. Generic chemical products'!P102</f>
        <v>kg</v>
      </c>
      <c r="Q26" s="364"/>
      <c r="R26" s="364"/>
      <c r="S26" s="364"/>
      <c r="T26" s="364" t="str">
        <f>'36. Generic chemical products'!T102</f>
        <v>127-19-5</v>
      </c>
      <c r="U26" s="364">
        <f>'36. Generic chemical products'!U102</f>
        <v>0</v>
      </c>
      <c r="V26" s="364">
        <f>'36. Generic chemical products'!V102</f>
        <v>0</v>
      </c>
      <c r="W26" s="364">
        <f>'36. Generic chemical products'!W102</f>
        <v>0</v>
      </c>
      <c r="X26" s="364">
        <f>'36. Generic chemical products'!X102</f>
        <v>0</v>
      </c>
      <c r="Y26" s="364">
        <f>'36. Generic chemical products'!Y102</f>
        <v>5.738224123021781</v>
      </c>
      <c r="Z26" s="364">
        <f>'36. Generic chemical products'!Z102</f>
        <v>46.889581100152242</v>
      </c>
      <c r="AA26" s="364" t="str">
        <f>'36. Generic chemical products'!AA102</f>
        <v>USEtox</v>
      </c>
      <c r="AB26" s="327">
        <f>C17*I26</f>
        <v>5.0000000000000008E-7</v>
      </c>
      <c r="AC26" s="445">
        <v>0</v>
      </c>
      <c r="AD26" s="330">
        <f>AB26*U26+AC26*W26</f>
        <v>0</v>
      </c>
      <c r="AE26" s="330">
        <f>AB26*V26+AC26*X26</f>
        <v>0</v>
      </c>
      <c r="AF26" s="330">
        <f>AB26*Y26+AC26*Z26</f>
        <v>2.8691120615108911E-6</v>
      </c>
      <c r="AG26" s="330">
        <f>AB26*U26</f>
        <v>0</v>
      </c>
      <c r="AH26" s="330">
        <f>AB26*V26</f>
        <v>0</v>
      </c>
      <c r="AI26" s="330">
        <f>AB26*Y26</f>
        <v>2.8691120615108911E-6</v>
      </c>
      <c r="AJ26" s="330">
        <f>AC26*W26</f>
        <v>0</v>
      </c>
      <c r="AK26" s="330">
        <f>AC26*X26</f>
        <v>0</v>
      </c>
      <c r="AL26" s="330">
        <f>AC26*Z26</f>
        <v>0</v>
      </c>
      <c r="AM26" s="331">
        <f>AG26+AJ26</f>
        <v>0</v>
      </c>
      <c r="AN26" s="332">
        <f t="shared" ref="AN26:AO26" si="12">AH26+AK26</f>
        <v>0</v>
      </c>
      <c r="AO26" s="333">
        <f t="shared" si="12"/>
        <v>2.8691120615108911E-6</v>
      </c>
    </row>
    <row r="27" spans="1:41" x14ac:dyDescent="0.2">
      <c r="AD27" s="177">
        <f>SUM(AD24:AD26)</f>
        <v>0</v>
      </c>
      <c r="AE27" s="177">
        <f>SUM(AE24:AE26)</f>
        <v>0</v>
      </c>
      <c r="AF27" s="177">
        <f>SUM(AF24:AF26)</f>
        <v>7.4178420287474874E-5</v>
      </c>
    </row>
    <row r="36" spans="1:1" x14ac:dyDescent="0.2">
      <c r="A36" s="1" t="s">
        <v>687</v>
      </c>
    </row>
    <row r="37" spans="1:1" x14ac:dyDescent="0.2">
      <c r="A37" t="s">
        <v>1068</v>
      </c>
    </row>
    <row r="38" spans="1:1" x14ac:dyDescent="0.2">
      <c r="A38" s="218" t="s">
        <v>1067</v>
      </c>
    </row>
    <row r="39" spans="1:1" x14ac:dyDescent="0.2">
      <c r="A39" t="s">
        <v>1069</v>
      </c>
    </row>
    <row r="40" spans="1:1" x14ac:dyDescent="0.2">
      <c r="A40" t="s">
        <v>1083</v>
      </c>
    </row>
    <row r="41" spans="1:1" x14ac:dyDescent="0.2">
      <c r="A41" t="s">
        <v>1070</v>
      </c>
    </row>
    <row r="42" spans="1:1" x14ac:dyDescent="0.2">
      <c r="A42" t="s">
        <v>1071</v>
      </c>
    </row>
    <row r="43" spans="1:1" x14ac:dyDescent="0.2">
      <c r="A43" t="s">
        <v>1072</v>
      </c>
    </row>
    <row r="44" spans="1:1" x14ac:dyDescent="0.2">
      <c r="A44" t="s">
        <v>1073</v>
      </c>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40"/>
  <sheetViews>
    <sheetView zoomScale="80" zoomScaleNormal="80" workbookViewId="0">
      <selection activeCell="A13" sqref="A13"/>
    </sheetView>
  </sheetViews>
  <sheetFormatPr defaultRowHeight="12.75" x14ac:dyDescent="0.2"/>
  <cols>
    <col min="1" max="1" width="53.28515625" style="244" bestFit="1" customWidth="1"/>
    <col min="2" max="4" width="9.140625" style="244"/>
    <col min="5" max="5" width="11.5703125" style="244" customWidth="1"/>
    <col min="6" max="29" width="9.140625" style="244"/>
    <col min="30" max="31" width="12.5703125" style="244" bestFit="1" customWidth="1"/>
    <col min="32" max="32" width="12" style="244" bestFit="1" customWidth="1"/>
    <col min="33" max="34" width="10.140625" style="244" bestFit="1" customWidth="1"/>
    <col min="35" max="16384" width="9.140625" style="244"/>
  </cols>
  <sheetData>
    <row r="1" spans="1:36" ht="16.5" thickBot="1" x14ac:dyDescent="0.3">
      <c r="A1" s="37" t="s">
        <v>472</v>
      </c>
      <c r="B1" s="38"/>
      <c r="C1" s="38" t="s">
        <v>217</v>
      </c>
      <c r="D1" s="38" t="s">
        <v>11</v>
      </c>
      <c r="E1" s="39" t="s">
        <v>180</v>
      </c>
      <c r="G1" s="263" t="s">
        <v>473</v>
      </c>
      <c r="H1" s="264"/>
      <c r="I1" s="264" t="s">
        <v>217</v>
      </c>
      <c r="J1" s="264" t="s">
        <v>11</v>
      </c>
      <c r="K1" s="265" t="s">
        <v>180</v>
      </c>
      <c r="M1" s="266" t="s">
        <v>474</v>
      </c>
      <c r="N1" s="267"/>
      <c r="O1" s="268" t="s">
        <v>217</v>
      </c>
      <c r="P1" s="268" t="s">
        <v>11</v>
      </c>
      <c r="Q1" s="269" t="s">
        <v>180</v>
      </c>
      <c r="S1" s="270" t="s">
        <v>475</v>
      </c>
      <c r="T1" s="271"/>
      <c r="U1" s="271" t="s">
        <v>217</v>
      </c>
      <c r="V1" s="271" t="s">
        <v>11</v>
      </c>
      <c r="W1" s="272" t="s">
        <v>180</v>
      </c>
      <c r="Y1" s="273" t="s">
        <v>476</v>
      </c>
      <c r="Z1" s="274"/>
      <c r="AA1" s="274" t="s">
        <v>217</v>
      </c>
      <c r="AB1" s="274" t="s">
        <v>11</v>
      </c>
      <c r="AC1" s="275" t="s">
        <v>180</v>
      </c>
      <c r="AD1" s="260"/>
      <c r="AF1" s="260"/>
      <c r="AG1" s="276" t="s">
        <v>710</v>
      </c>
      <c r="AH1" s="260"/>
      <c r="AI1" s="260"/>
      <c r="AJ1" s="260"/>
    </row>
    <row r="2" spans="1:36" x14ac:dyDescent="0.2">
      <c r="A2" s="277" t="s">
        <v>218</v>
      </c>
      <c r="B2" s="281"/>
      <c r="C2" s="281"/>
      <c r="D2" s="281"/>
      <c r="E2" s="279"/>
      <c r="G2" s="277" t="s">
        <v>218</v>
      </c>
      <c r="H2" s="281"/>
      <c r="I2" s="281"/>
      <c r="J2" s="281"/>
      <c r="K2" s="279"/>
      <c r="M2" s="277" t="s">
        <v>218</v>
      </c>
      <c r="N2" s="281"/>
      <c r="O2" s="281"/>
      <c r="P2" s="281"/>
      <c r="Q2" s="279"/>
      <c r="S2" s="277" t="s">
        <v>218</v>
      </c>
      <c r="T2" s="281"/>
      <c r="U2" s="281"/>
      <c r="V2" s="281"/>
      <c r="W2" s="279"/>
      <c r="Y2" s="277" t="s">
        <v>218</v>
      </c>
      <c r="Z2" s="281"/>
      <c r="AA2" s="281"/>
      <c r="AB2" s="281"/>
      <c r="AC2" s="279"/>
      <c r="AD2" s="260"/>
      <c r="AF2" s="260"/>
      <c r="AG2" s="244" t="s">
        <v>934</v>
      </c>
      <c r="AH2" s="260" t="s">
        <v>916</v>
      </c>
      <c r="AI2" s="260"/>
      <c r="AJ2" s="260"/>
    </row>
    <row r="3" spans="1:36" x14ac:dyDescent="0.2">
      <c r="A3" s="280" t="s">
        <v>482</v>
      </c>
      <c r="B3" s="281"/>
      <c r="C3" s="281">
        <v>1</v>
      </c>
      <c r="D3" s="281" t="s">
        <v>2</v>
      </c>
      <c r="E3" s="282"/>
      <c r="G3" s="280" t="s">
        <v>482</v>
      </c>
      <c r="H3" s="281"/>
      <c r="I3" s="281">
        <v>1</v>
      </c>
      <c r="J3" s="281" t="s">
        <v>2</v>
      </c>
      <c r="K3" s="282"/>
      <c r="M3" s="280" t="s">
        <v>482</v>
      </c>
      <c r="N3" s="281"/>
      <c r="O3" s="281">
        <v>1</v>
      </c>
      <c r="P3" s="281" t="s">
        <v>2</v>
      </c>
      <c r="Q3" s="282"/>
      <c r="S3" s="280" t="s">
        <v>482</v>
      </c>
      <c r="T3" s="281"/>
      <c r="U3" s="281">
        <v>1</v>
      </c>
      <c r="V3" s="281" t="s">
        <v>2</v>
      </c>
      <c r="W3" s="282"/>
      <c r="Y3" s="280" t="s">
        <v>482</v>
      </c>
      <c r="Z3" s="281"/>
      <c r="AA3" s="281">
        <v>1</v>
      </c>
      <c r="AB3" s="281" t="s">
        <v>2</v>
      </c>
      <c r="AC3" s="282"/>
      <c r="AD3" s="260"/>
      <c r="AF3" s="260" t="s">
        <v>260</v>
      </c>
      <c r="AG3" s="284">
        <v>5.0762942539147904</v>
      </c>
      <c r="AH3" s="260"/>
      <c r="AI3" s="260"/>
      <c r="AJ3" s="260"/>
    </row>
    <row r="4" spans="1:36" s="1" customFormat="1" x14ac:dyDescent="0.2">
      <c r="A4" s="277" t="s">
        <v>187</v>
      </c>
      <c r="B4" s="281"/>
      <c r="C4" s="281"/>
      <c r="D4" s="281"/>
      <c r="E4" s="282"/>
      <c r="G4" s="277" t="s">
        <v>187</v>
      </c>
      <c r="H4" s="281"/>
      <c r="I4" s="281"/>
      <c r="J4" s="281"/>
      <c r="K4" s="282"/>
      <c r="M4" s="277" t="s">
        <v>187</v>
      </c>
      <c r="N4" s="281"/>
      <c r="O4" s="281"/>
      <c r="P4" s="281"/>
      <c r="Q4" s="282"/>
      <c r="S4" s="277" t="s">
        <v>187</v>
      </c>
      <c r="T4" s="281"/>
      <c r="U4" s="281"/>
      <c r="V4" s="281"/>
      <c r="W4" s="282"/>
      <c r="Y4" s="277" t="s">
        <v>187</v>
      </c>
      <c r="Z4" s="281"/>
      <c r="AA4" s="281"/>
      <c r="AB4" s="281"/>
      <c r="AC4" s="282"/>
      <c r="AD4" s="18"/>
      <c r="AE4" s="244"/>
      <c r="AF4" s="260" t="s">
        <v>261</v>
      </c>
      <c r="AG4" s="284">
        <v>6.3972752717654795E-4</v>
      </c>
      <c r="AH4" s="18"/>
      <c r="AI4" s="18"/>
      <c r="AJ4" s="18"/>
    </row>
    <row r="5" spans="1:36" x14ac:dyDescent="0.2">
      <c r="A5" s="280" t="s">
        <v>483</v>
      </c>
      <c r="B5" s="281"/>
      <c r="C5" s="281">
        <v>0.06</v>
      </c>
      <c r="D5" s="281" t="s">
        <v>2</v>
      </c>
      <c r="E5" s="282" t="s">
        <v>179</v>
      </c>
      <c r="F5" s="244" t="s">
        <v>179</v>
      </c>
      <c r="G5" s="280" t="s">
        <v>483</v>
      </c>
      <c r="H5" s="281"/>
      <c r="I5" s="281">
        <v>0.06</v>
      </c>
      <c r="J5" s="281" t="s">
        <v>2</v>
      </c>
      <c r="K5" s="282" t="s">
        <v>179</v>
      </c>
      <c r="M5" s="280" t="s">
        <v>483</v>
      </c>
      <c r="N5" s="281"/>
      <c r="O5" s="281">
        <v>0.06</v>
      </c>
      <c r="P5" s="281" t="s">
        <v>2</v>
      </c>
      <c r="Q5" s="282" t="s">
        <v>179</v>
      </c>
      <c r="S5" s="280" t="s">
        <v>483</v>
      </c>
      <c r="T5" s="281"/>
      <c r="U5" s="281">
        <v>0.06</v>
      </c>
      <c r="V5" s="281" t="s">
        <v>2</v>
      </c>
      <c r="W5" s="282" t="s">
        <v>179</v>
      </c>
      <c r="Y5" s="280" t="s">
        <v>483</v>
      </c>
      <c r="Z5" s="281"/>
      <c r="AA5" s="281">
        <v>0.06</v>
      </c>
      <c r="AB5" s="281" t="s">
        <v>2</v>
      </c>
      <c r="AC5" s="282" t="s">
        <v>179</v>
      </c>
      <c r="AD5" s="260"/>
      <c r="AF5" s="260" t="s">
        <v>262</v>
      </c>
      <c r="AG5" s="284">
        <v>4.7044543195768902E-2</v>
      </c>
      <c r="AH5" s="260"/>
      <c r="AI5" s="260"/>
      <c r="AJ5" s="260"/>
    </row>
    <row r="6" spans="1:36" s="1" customFormat="1" x14ac:dyDescent="0.2">
      <c r="A6" s="336" t="s">
        <v>1032</v>
      </c>
      <c r="B6" s="281"/>
      <c r="C6" s="281">
        <v>0.02</v>
      </c>
      <c r="D6" s="281" t="s">
        <v>2</v>
      </c>
      <c r="E6" s="282" t="s">
        <v>179</v>
      </c>
      <c r="G6" s="336" t="s">
        <v>1032</v>
      </c>
      <c r="H6" s="281"/>
      <c r="I6" s="281">
        <v>0.02</v>
      </c>
      <c r="J6" s="281" t="s">
        <v>2</v>
      </c>
      <c r="K6" s="282" t="s">
        <v>179</v>
      </c>
      <c r="M6" s="336" t="s">
        <v>1032</v>
      </c>
      <c r="N6" s="281"/>
      <c r="O6" s="281">
        <v>0.02</v>
      </c>
      <c r="P6" s="281" t="s">
        <v>2</v>
      </c>
      <c r="Q6" s="282" t="s">
        <v>179</v>
      </c>
      <c r="S6" s="336" t="s">
        <v>1032</v>
      </c>
      <c r="T6" s="281"/>
      <c r="U6" s="281">
        <f>C6*0.9</f>
        <v>1.8000000000000002E-2</v>
      </c>
      <c r="V6" s="281" t="s">
        <v>2</v>
      </c>
      <c r="W6" s="353">
        <v>-0.1</v>
      </c>
      <c r="Y6" s="336" t="s">
        <v>1033</v>
      </c>
      <c r="Z6" s="281"/>
      <c r="AA6" s="281">
        <f>C6*1.1</f>
        <v>2.2000000000000002E-2</v>
      </c>
      <c r="AB6" s="281" t="s">
        <v>2</v>
      </c>
      <c r="AC6" s="359" t="s">
        <v>1031</v>
      </c>
      <c r="AD6" s="18"/>
      <c r="AE6" s="244"/>
      <c r="AF6" s="260" t="s">
        <v>263</v>
      </c>
      <c r="AG6" s="284">
        <v>1.7564233187713999E-2</v>
      </c>
      <c r="AH6" s="244"/>
      <c r="AI6" s="18"/>
      <c r="AJ6" s="18"/>
    </row>
    <row r="7" spans="1:36" s="1" customFormat="1" x14ac:dyDescent="0.2">
      <c r="A7" s="336" t="s">
        <v>1034</v>
      </c>
      <c r="B7" s="281"/>
      <c r="C7" s="281">
        <v>0.02</v>
      </c>
      <c r="D7" s="358" t="s">
        <v>2</v>
      </c>
      <c r="E7" s="282"/>
      <c r="G7" s="336" t="s">
        <v>1034</v>
      </c>
      <c r="H7" s="281"/>
      <c r="I7" s="281">
        <v>0.02</v>
      </c>
      <c r="J7" s="281"/>
      <c r="K7" s="282"/>
      <c r="M7" s="336" t="s">
        <v>1034</v>
      </c>
      <c r="N7" s="281"/>
      <c r="O7" s="281">
        <v>0.02</v>
      </c>
      <c r="P7" s="281"/>
      <c r="Q7" s="282"/>
      <c r="S7" s="336" t="s">
        <v>1034</v>
      </c>
      <c r="T7" s="281"/>
      <c r="U7" s="281">
        <f>U6</f>
        <v>1.8000000000000002E-2</v>
      </c>
      <c r="V7" s="281"/>
      <c r="W7" s="353"/>
      <c r="Y7" s="336" t="s">
        <v>1034</v>
      </c>
      <c r="Z7" s="281"/>
      <c r="AA7" s="281">
        <f>AA6</f>
        <v>2.2000000000000002E-2</v>
      </c>
      <c r="AB7" s="281"/>
      <c r="AC7" s="353"/>
      <c r="AD7" s="18"/>
      <c r="AE7" s="244"/>
      <c r="AF7" s="260" t="s">
        <v>264</v>
      </c>
      <c r="AG7" s="284">
        <v>2.2555140094393401E-2</v>
      </c>
      <c r="AH7" s="244"/>
      <c r="AI7" s="18"/>
      <c r="AJ7" s="18"/>
    </row>
    <row r="8" spans="1:36" x14ac:dyDescent="0.2">
      <c r="A8" s="277" t="s">
        <v>205</v>
      </c>
      <c r="B8" s="281"/>
      <c r="C8" s="281"/>
      <c r="D8" s="281"/>
      <c r="E8" s="286"/>
      <c r="G8" s="277" t="s">
        <v>205</v>
      </c>
      <c r="H8" s="281"/>
      <c r="I8" s="281"/>
      <c r="J8" s="281"/>
      <c r="K8" s="286"/>
      <c r="M8" s="277" t="s">
        <v>205</v>
      </c>
      <c r="N8" s="281"/>
      <c r="O8" s="281"/>
      <c r="P8" s="281"/>
      <c r="Q8" s="286"/>
      <c r="S8" s="277" t="s">
        <v>205</v>
      </c>
      <c r="T8" s="281"/>
      <c r="U8" s="281"/>
      <c r="V8" s="281"/>
      <c r="W8" s="286"/>
      <c r="Y8" s="277" t="s">
        <v>205</v>
      </c>
      <c r="Z8" s="281"/>
      <c r="AA8" s="281"/>
      <c r="AB8" s="281"/>
      <c r="AC8" s="286"/>
      <c r="AF8" s="260" t="s">
        <v>266</v>
      </c>
      <c r="AG8" s="284">
        <v>6.4123676650069003E-7</v>
      </c>
      <c r="AH8" s="316">
        <f>AE24</f>
        <v>2.9088270319119213E-9</v>
      </c>
    </row>
    <row r="9" spans="1:36" x14ac:dyDescent="0.2">
      <c r="A9" s="280" t="s">
        <v>206</v>
      </c>
      <c r="B9" s="281"/>
      <c r="C9" s="281">
        <v>1.5</v>
      </c>
      <c r="D9" s="281" t="s">
        <v>207</v>
      </c>
      <c r="E9" s="337" t="s">
        <v>1076</v>
      </c>
      <c r="G9" s="280" t="s">
        <v>206</v>
      </c>
      <c r="H9" s="281"/>
      <c r="I9" s="281">
        <f>0.69+1</f>
        <v>1.69</v>
      </c>
      <c r="J9" s="281" t="s">
        <v>207</v>
      </c>
      <c r="K9" s="353" t="s">
        <v>1080</v>
      </c>
      <c r="L9" s="244" t="s">
        <v>87</v>
      </c>
      <c r="M9" s="280" t="s">
        <v>206</v>
      </c>
      <c r="N9" s="281"/>
      <c r="O9" s="281">
        <v>4.22</v>
      </c>
      <c r="P9" s="281" t="s">
        <v>207</v>
      </c>
      <c r="Q9" s="340"/>
      <c r="S9" s="280" t="s">
        <v>206</v>
      </c>
      <c r="T9" s="281"/>
      <c r="U9" s="281">
        <v>1.5</v>
      </c>
      <c r="V9" s="281" t="s">
        <v>207</v>
      </c>
      <c r="W9" s="353" t="s">
        <v>179</v>
      </c>
      <c r="Y9" s="280" t="s">
        <v>206</v>
      </c>
      <c r="Z9" s="281"/>
      <c r="AA9" s="281">
        <v>1.5</v>
      </c>
      <c r="AB9" s="281" t="s">
        <v>207</v>
      </c>
      <c r="AC9" s="353" t="s">
        <v>179</v>
      </c>
      <c r="AF9" s="260" t="s">
        <v>267</v>
      </c>
      <c r="AG9" s="284">
        <v>1.3148874668484199E-7</v>
      </c>
      <c r="AH9" s="316">
        <f>AD24</f>
        <v>0</v>
      </c>
    </row>
    <row r="10" spans="1:36" x14ac:dyDescent="0.2">
      <c r="A10" s="280" t="s">
        <v>208</v>
      </c>
      <c r="B10" s="281"/>
      <c r="C10" s="281">
        <v>2.2000000000000002</v>
      </c>
      <c r="D10" s="281" t="s">
        <v>455</v>
      </c>
      <c r="E10" s="337" t="s">
        <v>1076</v>
      </c>
      <c r="G10" s="280" t="s">
        <v>1079</v>
      </c>
      <c r="H10" s="281"/>
      <c r="I10" s="281">
        <v>4.75</v>
      </c>
      <c r="J10" s="281" t="s">
        <v>455</v>
      </c>
      <c r="K10" s="353" t="s">
        <v>1080</v>
      </c>
      <c r="L10" s="244" t="s">
        <v>87</v>
      </c>
      <c r="M10" s="280" t="s">
        <v>1082</v>
      </c>
      <c r="N10" s="281"/>
      <c r="O10" s="281">
        <v>14.79</v>
      </c>
      <c r="P10" s="281" t="s">
        <v>455</v>
      </c>
      <c r="Q10" s="340"/>
      <c r="S10" s="280" t="s">
        <v>208</v>
      </c>
      <c r="T10" s="281"/>
      <c r="U10" s="281">
        <v>2.2000000000000002</v>
      </c>
      <c r="V10" s="281" t="s">
        <v>455</v>
      </c>
      <c r="W10" s="353" t="s">
        <v>179</v>
      </c>
      <c r="Y10" s="280" t="s">
        <v>208</v>
      </c>
      <c r="Z10" s="281"/>
      <c r="AA10" s="281">
        <v>2.2000000000000002</v>
      </c>
      <c r="AB10" s="281" t="s">
        <v>455</v>
      </c>
      <c r="AC10" s="353" t="s">
        <v>179</v>
      </c>
      <c r="AF10" s="260" t="s">
        <v>268</v>
      </c>
      <c r="AG10" s="284">
        <v>10.3994046895853</v>
      </c>
      <c r="AH10" s="316">
        <f>AF24</f>
        <v>2.9630849664811517E-4</v>
      </c>
    </row>
    <row r="11" spans="1:36" ht="13.5" thickBot="1" x14ac:dyDescent="0.25">
      <c r="A11" s="289" t="s">
        <v>1081</v>
      </c>
      <c r="B11" s="290"/>
      <c r="C11" s="290">
        <v>0</v>
      </c>
      <c r="D11" s="290" t="s">
        <v>455</v>
      </c>
      <c r="E11" s="375"/>
      <c r="G11" s="289" t="s">
        <v>1081</v>
      </c>
      <c r="H11" s="290"/>
      <c r="I11" s="290">
        <v>0</v>
      </c>
      <c r="J11" s="290" t="s">
        <v>455</v>
      </c>
      <c r="K11" s="343"/>
      <c r="L11" s="244" t="s">
        <v>87</v>
      </c>
      <c r="M11" s="289" t="s">
        <v>1081</v>
      </c>
      <c r="N11" s="290"/>
      <c r="O11" s="290">
        <v>53.76</v>
      </c>
      <c r="P11" s="290" t="s">
        <v>455</v>
      </c>
      <c r="Q11" s="360"/>
      <c r="S11" s="289" t="s">
        <v>1081</v>
      </c>
      <c r="T11" s="290"/>
      <c r="U11" s="290">
        <v>0</v>
      </c>
      <c r="V11" s="290" t="s">
        <v>455</v>
      </c>
      <c r="W11" s="343" t="s">
        <v>179</v>
      </c>
      <c r="Y11" s="289" t="s">
        <v>1081</v>
      </c>
      <c r="Z11" s="290"/>
      <c r="AA11" s="290">
        <v>0</v>
      </c>
      <c r="AB11" s="290" t="s">
        <v>455</v>
      </c>
      <c r="AC11" s="343" t="s">
        <v>179</v>
      </c>
    </row>
    <row r="15" spans="1:36" x14ac:dyDescent="0.2">
      <c r="AF15" s="260"/>
      <c r="AG15" s="284"/>
      <c r="AH15" s="316"/>
    </row>
    <row r="16" spans="1:36" x14ac:dyDescent="0.2">
      <c r="AF16" s="260"/>
      <c r="AG16" s="284"/>
      <c r="AH16" s="316"/>
    </row>
    <row r="17" spans="1:41" x14ac:dyDescent="0.2">
      <c r="AF17" s="260"/>
      <c r="AG17" s="284"/>
      <c r="AH17" s="316"/>
    </row>
    <row r="18" spans="1:41" x14ac:dyDescent="0.2">
      <c r="AF18" s="260"/>
      <c r="AG18" s="284"/>
      <c r="AH18" s="316"/>
    </row>
    <row r="19" spans="1:41" x14ac:dyDescent="0.2">
      <c r="AF19" s="260"/>
      <c r="AG19" s="284"/>
      <c r="AH19" s="316"/>
    </row>
    <row r="20" spans="1:41" s="293" customFormat="1" x14ac:dyDescent="0.2"/>
    <row r="21" spans="1:41" s="293" customFormat="1" x14ac:dyDescent="0.2">
      <c r="A21" s="17" t="s">
        <v>708</v>
      </c>
      <c r="U21" s="197" t="s">
        <v>550</v>
      </c>
      <c r="V21" s="198" t="s">
        <v>551</v>
      </c>
      <c r="W21" s="198" t="s">
        <v>550</v>
      </c>
      <c r="X21" s="198" t="s">
        <v>551</v>
      </c>
      <c r="Y21" s="199" t="s">
        <v>552</v>
      </c>
      <c r="Z21" s="294"/>
      <c r="AA21" s="295"/>
      <c r="AB21" s="17" t="s">
        <v>105</v>
      </c>
      <c r="AC21" s="17"/>
      <c r="AD21" s="148" t="s">
        <v>549</v>
      </c>
      <c r="AE21" s="149"/>
      <c r="AF21" s="149"/>
      <c r="AG21" s="149" t="s">
        <v>548</v>
      </c>
      <c r="AH21" s="149"/>
      <c r="AI21" s="149"/>
      <c r="AJ21" s="149" t="s">
        <v>547</v>
      </c>
      <c r="AK21" s="149"/>
      <c r="AL21" s="149"/>
      <c r="AM21" s="296" t="s">
        <v>553</v>
      </c>
      <c r="AN21" s="294"/>
      <c r="AO21" s="295"/>
    </row>
    <row r="22" spans="1:41" s="139" customFormat="1" ht="15" customHeight="1" x14ac:dyDescent="0.2">
      <c r="A22" s="57" t="s">
        <v>58</v>
      </c>
      <c r="B22" s="55" t="s">
        <v>289</v>
      </c>
      <c r="C22" s="56" t="s">
        <v>100</v>
      </c>
      <c r="D22" s="56" t="s">
        <v>11</v>
      </c>
      <c r="E22" s="63" t="s">
        <v>291</v>
      </c>
      <c r="F22" s="63"/>
      <c r="G22" s="66" t="s">
        <v>292</v>
      </c>
      <c r="H22" s="66" t="s">
        <v>8</v>
      </c>
      <c r="I22" s="66" t="s">
        <v>217</v>
      </c>
      <c r="J22" s="66" t="s">
        <v>11</v>
      </c>
      <c r="K22" s="66" t="s">
        <v>291</v>
      </c>
      <c r="L22" s="63"/>
      <c r="M22" s="67" t="s">
        <v>293</v>
      </c>
      <c r="N22" s="67" t="s">
        <v>8</v>
      </c>
      <c r="O22" s="67" t="s">
        <v>217</v>
      </c>
      <c r="P22" s="67" t="s">
        <v>11</v>
      </c>
      <c r="Q22" s="67" t="s">
        <v>291</v>
      </c>
      <c r="R22" s="63"/>
      <c r="S22" s="63"/>
      <c r="T22" s="297" t="s">
        <v>275</v>
      </c>
      <c r="U22" s="126" t="s">
        <v>530</v>
      </c>
      <c r="V22" s="114" t="s">
        <v>531</v>
      </c>
      <c r="W22" s="114" t="s">
        <v>532</v>
      </c>
      <c r="X22" s="114" t="s">
        <v>533</v>
      </c>
      <c r="Y22" s="114" t="s">
        <v>534</v>
      </c>
      <c r="Z22" s="114" t="s">
        <v>535</v>
      </c>
      <c r="AA22" s="131" t="s">
        <v>536</v>
      </c>
      <c r="AB22" s="22" t="s">
        <v>545</v>
      </c>
      <c r="AC22" s="23" t="s">
        <v>546</v>
      </c>
      <c r="AD22" s="148" t="s">
        <v>31</v>
      </c>
      <c r="AE22" s="149" t="s">
        <v>32</v>
      </c>
      <c r="AF22" s="150" t="s">
        <v>33</v>
      </c>
      <c r="AG22" s="148" t="s">
        <v>31</v>
      </c>
      <c r="AH22" s="149" t="s">
        <v>32</v>
      </c>
      <c r="AI22" s="150" t="s">
        <v>33</v>
      </c>
      <c r="AJ22" s="148" t="s">
        <v>31</v>
      </c>
      <c r="AK22" s="149" t="s">
        <v>32</v>
      </c>
      <c r="AL22" s="149" t="s">
        <v>33</v>
      </c>
      <c r="AM22" s="298"/>
      <c r="AN22" s="136"/>
      <c r="AO22" s="299"/>
    </row>
    <row r="23" spans="1:41" s="195" customFormat="1" ht="15" customHeight="1" x14ac:dyDescent="0.2">
      <c r="A23" s="387" t="str">
        <f>'36. Generic chemical products'!A103</f>
        <v>Solvent, worst case (DMF)</v>
      </c>
      <c r="B23" s="387" t="str">
        <f>'36. Generic chemical products'!B103</f>
        <v>Dimethylformamide</v>
      </c>
      <c r="C23" s="387">
        <f>'36. Generic chemical products'!C103</f>
        <v>1</v>
      </c>
      <c r="D23" s="387" t="str">
        <f>'36. Generic chemical products'!D103</f>
        <v>kg</v>
      </c>
      <c r="E23" s="387">
        <f>'36. Generic chemical products'!E103</f>
        <v>1</v>
      </c>
      <c r="F23" s="387"/>
      <c r="G23" s="387" t="str">
        <f>'36. Generic chemical products'!G103</f>
        <v>Dimethylformamide</v>
      </c>
      <c r="H23" s="387" t="str">
        <f>'36. Generic chemical products'!H103</f>
        <v>high. pop.</v>
      </c>
      <c r="I23" s="387">
        <f>'36. Generic chemical products'!I103</f>
        <v>0.05</v>
      </c>
      <c r="J23" s="387" t="str">
        <f>'36. Generic chemical products'!J103</f>
        <v>kg</v>
      </c>
      <c r="K23" s="387"/>
      <c r="L23" s="387"/>
      <c r="M23" s="387" t="str">
        <f>'36. Generic chemical products'!M103</f>
        <v>Dimethylformamide</v>
      </c>
      <c r="N23" s="387" t="str">
        <f>'36. Generic chemical products'!N103</f>
        <v>river</v>
      </c>
      <c r="O23" s="387">
        <f>'36. Generic chemical products'!O103</f>
        <v>0.1</v>
      </c>
      <c r="P23" s="387" t="str">
        <f>'36. Generic chemical products'!P103</f>
        <v>kg</v>
      </c>
      <c r="Q23" s="387"/>
      <c r="R23" s="387"/>
      <c r="S23" s="387"/>
      <c r="T23" s="387" t="str">
        <f>'36. Generic chemical products'!T103</f>
        <v>68-12-2</v>
      </c>
      <c r="U23" s="387">
        <f>'36. Generic chemical products'!U103</f>
        <v>0</v>
      </c>
      <c r="V23" s="387">
        <f>'36. Generic chemical products'!V103</f>
        <v>2.9088270319119211E-6</v>
      </c>
      <c r="W23" s="387">
        <f>'36. Generic chemical products'!W103</f>
        <v>0</v>
      </c>
      <c r="X23" s="387">
        <f>'36. Generic chemical products'!X103</f>
        <v>3.3008515492724421E-6</v>
      </c>
      <c r="Y23" s="387">
        <f>'36. Generic chemical products'!Y103</f>
        <v>0.29630849664811515</v>
      </c>
      <c r="Z23" s="387">
        <f>'36. Generic chemical products'!Z103</f>
        <v>3.1285323209033384</v>
      </c>
      <c r="AA23" s="387" t="str">
        <f>'36. Generic chemical products'!AA103</f>
        <v>USEtox</v>
      </c>
      <c r="AB23" s="327">
        <f>C7*I23</f>
        <v>1E-3</v>
      </c>
      <c r="AC23" s="445">
        <v>0</v>
      </c>
      <c r="AD23" s="330">
        <f>AB23*U23+AC23*W23</f>
        <v>0</v>
      </c>
      <c r="AE23" s="330">
        <f>AB23*V23+AC23*X23</f>
        <v>2.9088270319119213E-9</v>
      </c>
      <c r="AF23" s="330">
        <f>AB23*Y23+AC23*Z23</f>
        <v>2.9630849664811517E-4</v>
      </c>
      <c r="AG23" s="330">
        <f>AB23*U23</f>
        <v>0</v>
      </c>
      <c r="AH23" s="330">
        <f>AB23*V23</f>
        <v>2.9088270319119213E-9</v>
      </c>
      <c r="AI23" s="330">
        <f>AB23*Y23</f>
        <v>2.9630849664811517E-4</v>
      </c>
      <c r="AJ23" s="330">
        <f>AC23*W23</f>
        <v>0</v>
      </c>
      <c r="AK23" s="330">
        <f>AC23*X23</f>
        <v>0</v>
      </c>
      <c r="AL23" s="330">
        <f>AC23*Z23</f>
        <v>0</v>
      </c>
      <c r="AM23" s="331">
        <f>AG23+AJ23</f>
        <v>0</v>
      </c>
      <c r="AN23" s="332">
        <f t="shared" ref="AN23:AO23" si="0">AH23+AK23</f>
        <v>2.9088270319119213E-9</v>
      </c>
      <c r="AO23" s="333">
        <f t="shared" si="0"/>
        <v>2.9630849664811517E-4</v>
      </c>
    </row>
    <row r="24" spans="1:41" x14ac:dyDescent="0.2">
      <c r="AD24" s="177">
        <f>SUM(AD23:AD23)</f>
        <v>0</v>
      </c>
      <c r="AE24" s="177">
        <f>SUM(AE23:AE23)</f>
        <v>2.9088270319119213E-9</v>
      </c>
      <c r="AF24" s="177">
        <f>SUM(AF23:AF23)</f>
        <v>2.9630849664811517E-4</v>
      </c>
    </row>
    <row r="25" spans="1:41" x14ac:dyDescent="0.2">
      <c r="A25" s="259" t="s">
        <v>736</v>
      </c>
    </row>
    <row r="32" spans="1:41" x14ac:dyDescent="0.2">
      <c r="A32" s="1" t="s">
        <v>687</v>
      </c>
    </row>
    <row r="33" spans="1:1" x14ac:dyDescent="0.2">
      <c r="A33" t="s">
        <v>1068</v>
      </c>
    </row>
    <row r="34" spans="1:1" x14ac:dyDescent="0.2">
      <c r="A34" s="218" t="s">
        <v>1067</v>
      </c>
    </row>
    <row r="35" spans="1:1" x14ac:dyDescent="0.2">
      <c r="A35" t="s">
        <v>1069</v>
      </c>
    </row>
    <row r="36" spans="1:1" x14ac:dyDescent="0.2">
      <c r="A36" t="s">
        <v>1083</v>
      </c>
    </row>
    <row r="37" spans="1:1" x14ac:dyDescent="0.2">
      <c r="A37" t="s">
        <v>1070</v>
      </c>
    </row>
    <row r="38" spans="1:1" x14ac:dyDescent="0.2">
      <c r="A38" t="s">
        <v>1071</v>
      </c>
    </row>
    <row r="39" spans="1:1" x14ac:dyDescent="0.2">
      <c r="A39" t="s">
        <v>1072</v>
      </c>
    </row>
    <row r="40" spans="1:1" x14ac:dyDescent="0.2">
      <c r="A40" t="s">
        <v>1073</v>
      </c>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40"/>
  <sheetViews>
    <sheetView zoomScale="60" zoomScaleNormal="60" workbookViewId="0">
      <selection activeCell="AC23" sqref="AC23"/>
    </sheetView>
  </sheetViews>
  <sheetFormatPr defaultRowHeight="12.75" x14ac:dyDescent="0.2"/>
  <cols>
    <col min="1" max="1" width="63.85546875" style="244" customWidth="1"/>
    <col min="2" max="12" width="9.140625" style="244"/>
    <col min="13" max="13" width="10.85546875" style="244" customWidth="1"/>
    <col min="14" max="29" width="9.140625" style="244"/>
    <col min="30" max="31" width="11.85546875" style="244" bestFit="1" customWidth="1"/>
    <col min="32" max="32" width="16" style="244" customWidth="1"/>
    <col min="33" max="16384" width="9.140625" style="244"/>
  </cols>
  <sheetData>
    <row r="1" spans="1:37" ht="16.5" thickBot="1" x14ac:dyDescent="0.3">
      <c r="A1" s="37" t="s">
        <v>486</v>
      </c>
      <c r="B1" s="38"/>
      <c r="C1" s="38" t="s">
        <v>217</v>
      </c>
      <c r="D1" s="38" t="s">
        <v>11</v>
      </c>
      <c r="E1" s="39" t="s">
        <v>180</v>
      </c>
      <c r="G1" s="263" t="s">
        <v>487</v>
      </c>
      <c r="H1" s="264"/>
      <c r="I1" s="264" t="s">
        <v>217</v>
      </c>
      <c r="J1" s="264" t="s">
        <v>11</v>
      </c>
      <c r="K1" s="265" t="s">
        <v>180</v>
      </c>
      <c r="M1" s="266" t="s">
        <v>488</v>
      </c>
      <c r="N1" s="267"/>
      <c r="O1" s="268" t="s">
        <v>217</v>
      </c>
      <c r="P1" s="268" t="s">
        <v>11</v>
      </c>
      <c r="Q1" s="269" t="s">
        <v>180</v>
      </c>
      <c r="S1" s="270" t="s">
        <v>489</v>
      </c>
      <c r="T1" s="271"/>
      <c r="U1" s="271" t="s">
        <v>217</v>
      </c>
      <c r="V1" s="271" t="s">
        <v>11</v>
      </c>
      <c r="W1" s="272" t="s">
        <v>180</v>
      </c>
      <c r="Y1" s="273" t="s">
        <v>490</v>
      </c>
      <c r="Z1" s="274"/>
      <c r="AA1" s="274" t="s">
        <v>217</v>
      </c>
      <c r="AB1" s="274" t="s">
        <v>11</v>
      </c>
      <c r="AC1" s="275" t="s">
        <v>180</v>
      </c>
      <c r="AD1" s="260"/>
      <c r="AE1" s="260"/>
      <c r="AF1" s="276" t="s">
        <v>710</v>
      </c>
      <c r="AG1" s="260"/>
      <c r="AH1" s="260"/>
      <c r="AI1" s="260"/>
      <c r="AJ1" s="260"/>
    </row>
    <row r="2" spans="1:37" x14ac:dyDescent="0.2">
      <c r="A2" s="277" t="s">
        <v>218</v>
      </c>
      <c r="B2" s="281"/>
      <c r="C2" s="281"/>
      <c r="D2" s="281"/>
      <c r="E2" s="279"/>
      <c r="G2" s="277" t="s">
        <v>218</v>
      </c>
      <c r="H2" s="281"/>
      <c r="I2" s="281"/>
      <c r="J2" s="281"/>
      <c r="K2" s="279"/>
      <c r="M2" s="277" t="s">
        <v>218</v>
      </c>
      <c r="N2" s="281"/>
      <c r="O2" s="281"/>
      <c r="P2" s="281"/>
      <c r="Q2" s="279"/>
      <c r="S2" s="277" t="s">
        <v>218</v>
      </c>
      <c r="T2" s="281"/>
      <c r="U2" s="281"/>
      <c r="V2" s="281"/>
      <c r="W2" s="279"/>
      <c r="Y2" s="277" t="s">
        <v>218</v>
      </c>
      <c r="Z2" s="281"/>
      <c r="AA2" s="281"/>
      <c r="AB2" s="281"/>
      <c r="AC2" s="279"/>
      <c r="AD2" s="260"/>
      <c r="AE2" s="260"/>
      <c r="AF2" s="284" t="s">
        <v>951</v>
      </c>
      <c r="AG2" s="260" t="s">
        <v>916</v>
      </c>
      <c r="AH2" s="260"/>
    </row>
    <row r="3" spans="1:37" x14ac:dyDescent="0.2">
      <c r="A3" s="280" t="s">
        <v>893</v>
      </c>
      <c r="B3" s="281"/>
      <c r="C3" s="281">
        <v>1</v>
      </c>
      <c r="D3" s="281" t="s">
        <v>2</v>
      </c>
      <c r="E3" s="282"/>
      <c r="G3" s="280" t="s">
        <v>893</v>
      </c>
      <c r="H3" s="281"/>
      <c r="I3" s="281">
        <v>1</v>
      </c>
      <c r="J3" s="281" t="s">
        <v>2</v>
      </c>
      <c r="K3" s="282"/>
      <c r="M3" s="280" t="s">
        <v>893</v>
      </c>
      <c r="N3" s="281"/>
      <c r="O3" s="281">
        <v>1</v>
      </c>
      <c r="P3" s="281" t="s">
        <v>2</v>
      </c>
      <c r="Q3" s="282"/>
      <c r="S3" s="280" t="s">
        <v>893</v>
      </c>
      <c r="T3" s="281"/>
      <c r="U3" s="281">
        <v>1</v>
      </c>
      <c r="V3" s="281" t="s">
        <v>2</v>
      </c>
      <c r="W3" s="282"/>
      <c r="Y3" s="280" t="s">
        <v>893</v>
      </c>
      <c r="Z3" s="281"/>
      <c r="AA3" s="281">
        <v>1</v>
      </c>
      <c r="AB3" s="281" t="s">
        <v>2</v>
      </c>
      <c r="AC3" s="282"/>
      <c r="AD3" s="260"/>
      <c r="AE3" s="260" t="s">
        <v>260</v>
      </c>
      <c r="AF3" s="284">
        <v>6.8290409368525902</v>
      </c>
      <c r="AG3" s="260"/>
      <c r="AH3" s="260"/>
      <c r="AI3" s="260"/>
      <c r="AJ3" s="260"/>
    </row>
    <row r="4" spans="1:37" s="1" customFormat="1" x14ac:dyDescent="0.2">
      <c r="A4" s="277" t="s">
        <v>187</v>
      </c>
      <c r="B4" s="281"/>
      <c r="C4" s="281"/>
      <c r="D4" s="281"/>
      <c r="E4" s="282"/>
      <c r="G4" s="277" t="s">
        <v>187</v>
      </c>
      <c r="H4" s="281"/>
      <c r="I4" s="281"/>
      <c r="J4" s="281"/>
      <c r="K4" s="282"/>
      <c r="M4" s="277" t="s">
        <v>187</v>
      </c>
      <c r="N4" s="281"/>
      <c r="O4" s="281"/>
      <c r="P4" s="281"/>
      <c r="Q4" s="282"/>
      <c r="S4" s="338" t="s">
        <v>187</v>
      </c>
      <c r="T4" s="339"/>
      <c r="U4" s="339"/>
      <c r="V4" s="339"/>
      <c r="W4" s="337"/>
      <c r="X4" s="342"/>
      <c r="Y4" s="338" t="s">
        <v>187</v>
      </c>
      <c r="Z4" s="339"/>
      <c r="AA4" s="281"/>
      <c r="AB4" s="281"/>
      <c r="AC4" s="282"/>
      <c r="AD4" s="18"/>
      <c r="AE4" s="260" t="s">
        <v>261</v>
      </c>
      <c r="AF4" s="284">
        <v>8.1782962137769404E-4</v>
      </c>
      <c r="AG4" s="18"/>
      <c r="AH4" s="18"/>
      <c r="AI4" s="18"/>
      <c r="AJ4" s="18"/>
    </row>
    <row r="5" spans="1:37" x14ac:dyDescent="0.2">
      <c r="A5" s="280" t="s">
        <v>141</v>
      </c>
      <c r="B5" s="281"/>
      <c r="C5" s="281">
        <v>1.6000000000000001E-3</v>
      </c>
      <c r="D5" s="281" t="s">
        <v>2</v>
      </c>
      <c r="E5" s="282" t="s">
        <v>179</v>
      </c>
      <c r="F5" s="244" t="s">
        <v>179</v>
      </c>
      <c r="G5" s="280" t="s">
        <v>141</v>
      </c>
      <c r="H5" s="281"/>
      <c r="I5" s="281">
        <f>0.0016*0.9</f>
        <v>1.4400000000000001E-3</v>
      </c>
      <c r="J5" s="281" t="s">
        <v>2</v>
      </c>
      <c r="K5" s="282" t="s">
        <v>891</v>
      </c>
      <c r="M5" s="280" t="s">
        <v>141</v>
      </c>
      <c r="N5" s="281"/>
      <c r="O5" s="281">
        <f>0.0016*1.5</f>
        <v>2.4000000000000002E-3</v>
      </c>
      <c r="P5" s="281" t="s">
        <v>2</v>
      </c>
      <c r="Q5" s="337" t="s">
        <v>892</v>
      </c>
      <c r="R5" t="s">
        <v>87</v>
      </c>
      <c r="S5" s="341" t="s">
        <v>141</v>
      </c>
      <c r="T5" s="339"/>
      <c r="U5" s="339">
        <v>1.6000000000000001E-3</v>
      </c>
      <c r="V5" s="339" t="s">
        <v>2</v>
      </c>
      <c r="W5" s="337" t="s">
        <v>179</v>
      </c>
      <c r="X5" s="218"/>
      <c r="Y5" s="341" t="s">
        <v>141</v>
      </c>
      <c r="Z5" s="339"/>
      <c r="AA5" s="281">
        <v>1.6000000000000001E-3</v>
      </c>
      <c r="AB5" s="281" t="s">
        <v>2</v>
      </c>
      <c r="AC5" s="282" t="s">
        <v>179</v>
      </c>
      <c r="AD5" s="260"/>
      <c r="AE5" s="260" t="s">
        <v>262</v>
      </c>
      <c r="AF5" s="284">
        <v>6.3450594911277705E-2</v>
      </c>
      <c r="AG5" s="260"/>
      <c r="AH5" s="260"/>
      <c r="AI5" s="260"/>
      <c r="AJ5" s="260"/>
    </row>
    <row r="6" spans="1:37" x14ac:dyDescent="0.2">
      <c r="A6" s="280" t="s">
        <v>190</v>
      </c>
      <c r="B6" s="281"/>
      <c r="C6" s="281">
        <v>1.6000000000000001E-3</v>
      </c>
      <c r="D6" s="281" t="s">
        <v>2</v>
      </c>
      <c r="E6" s="286" t="s">
        <v>179</v>
      </c>
      <c r="G6" s="280" t="s">
        <v>190</v>
      </c>
      <c r="H6" s="281"/>
      <c r="I6" s="281">
        <f>0.0016*0.9</f>
        <v>1.4400000000000001E-3</v>
      </c>
      <c r="J6" s="281" t="s">
        <v>2</v>
      </c>
      <c r="K6" s="286" t="s">
        <v>179</v>
      </c>
      <c r="M6" s="280" t="s">
        <v>190</v>
      </c>
      <c r="N6" s="281"/>
      <c r="O6" s="281">
        <f>0.0016*1.5</f>
        <v>2.4000000000000002E-3</v>
      </c>
      <c r="P6" s="281" t="s">
        <v>2</v>
      </c>
      <c r="Q6" s="286" t="s">
        <v>179</v>
      </c>
      <c r="S6" s="280" t="s">
        <v>190</v>
      </c>
      <c r="T6" s="339"/>
      <c r="U6" s="339">
        <v>1.6000000000000001E-3</v>
      </c>
      <c r="V6" s="339" t="s">
        <v>2</v>
      </c>
      <c r="W6" s="337" t="s">
        <v>179</v>
      </c>
      <c r="X6" s="218"/>
      <c r="Y6" s="280" t="s">
        <v>190</v>
      </c>
      <c r="Z6" s="339"/>
      <c r="AA6" s="281">
        <v>1.6000000000000001E-3</v>
      </c>
      <c r="AB6" s="281" t="s">
        <v>2</v>
      </c>
      <c r="AC6" s="286" t="s">
        <v>179</v>
      </c>
      <c r="AE6" s="260" t="s">
        <v>263</v>
      </c>
      <c r="AF6" s="284">
        <v>2.2707876407693402E-2</v>
      </c>
    </row>
    <row r="7" spans="1:37" x14ac:dyDescent="0.2">
      <c r="A7" s="277" t="s">
        <v>205</v>
      </c>
      <c r="B7" s="281"/>
      <c r="C7" s="281"/>
      <c r="D7" s="281"/>
      <c r="E7" s="286"/>
      <c r="G7" s="277" t="s">
        <v>205</v>
      </c>
      <c r="H7" s="281"/>
      <c r="I7" s="281"/>
      <c r="J7" s="281"/>
      <c r="K7" s="286"/>
      <c r="M7" s="277" t="s">
        <v>205</v>
      </c>
      <c r="N7" s="281"/>
      <c r="O7" s="281"/>
      <c r="P7" s="281"/>
      <c r="Q7" s="286"/>
      <c r="S7" s="338" t="s">
        <v>205</v>
      </c>
      <c r="T7" s="339"/>
      <c r="U7" s="339"/>
      <c r="V7" s="339"/>
      <c r="W7" s="337"/>
      <c r="X7" s="218"/>
      <c r="Y7" s="338" t="s">
        <v>205</v>
      </c>
      <c r="Z7" s="339"/>
      <c r="AA7" s="281"/>
      <c r="AB7" s="281"/>
      <c r="AC7" s="286"/>
      <c r="AE7" s="260" t="s">
        <v>264</v>
      </c>
      <c r="AF7" s="284">
        <v>3.0036015403892401E-2</v>
      </c>
    </row>
    <row r="8" spans="1:37" ht="14.25" x14ac:dyDescent="0.2">
      <c r="A8" s="280" t="s">
        <v>206</v>
      </c>
      <c r="B8" s="281"/>
      <c r="C8" s="281">
        <v>6.73</v>
      </c>
      <c r="D8" s="281" t="s">
        <v>207</v>
      </c>
      <c r="E8" s="337" t="s">
        <v>1076</v>
      </c>
      <c r="G8" s="280" t="s">
        <v>206</v>
      </c>
      <c r="H8" s="281"/>
      <c r="I8" s="281">
        <v>3.49</v>
      </c>
      <c r="J8" s="281" t="s">
        <v>207</v>
      </c>
      <c r="K8" s="337" t="s">
        <v>1085</v>
      </c>
      <c r="L8" t="s">
        <v>87</v>
      </c>
      <c r="M8" s="280" t="s">
        <v>206</v>
      </c>
      <c r="N8" s="281"/>
      <c r="O8" s="281">
        <v>11.61</v>
      </c>
      <c r="P8" s="281" t="s">
        <v>207</v>
      </c>
      <c r="Q8" s="337" t="s">
        <v>1086</v>
      </c>
      <c r="S8" s="341" t="s">
        <v>206</v>
      </c>
      <c r="T8" s="339"/>
      <c r="U8" s="281">
        <v>6.73</v>
      </c>
      <c r="V8" s="339" t="s">
        <v>207</v>
      </c>
      <c r="W8" s="337" t="s">
        <v>179</v>
      </c>
      <c r="X8" s="218"/>
      <c r="Y8" s="341" t="s">
        <v>206</v>
      </c>
      <c r="Z8" s="339"/>
      <c r="AA8" s="281">
        <v>6.73</v>
      </c>
      <c r="AB8" s="281" t="s">
        <v>207</v>
      </c>
      <c r="AC8" s="286" t="s">
        <v>179</v>
      </c>
      <c r="AE8" s="260" t="s">
        <v>1020</v>
      </c>
      <c r="AF8" s="284">
        <v>4.1287506214604104</v>
      </c>
    </row>
    <row r="9" spans="1:37" x14ac:dyDescent="0.2">
      <c r="A9" s="277" t="s">
        <v>212</v>
      </c>
      <c r="B9" s="281"/>
      <c r="C9" s="281"/>
      <c r="D9" s="281"/>
      <c r="E9" s="282"/>
      <c r="G9" s="277" t="s">
        <v>212</v>
      </c>
      <c r="H9" s="281"/>
      <c r="I9" s="281"/>
      <c r="J9" s="281"/>
      <c r="K9" s="282"/>
      <c r="M9" s="277" t="s">
        <v>212</v>
      </c>
      <c r="N9" s="281"/>
      <c r="O9" s="281"/>
      <c r="P9" s="281"/>
      <c r="Q9" s="282"/>
      <c r="S9" s="338" t="s">
        <v>212</v>
      </c>
      <c r="T9" s="339"/>
      <c r="U9" s="339"/>
      <c r="V9" s="339"/>
      <c r="W9" s="337"/>
      <c r="X9" s="218"/>
      <c r="Y9" s="338" t="s">
        <v>212</v>
      </c>
      <c r="Z9" s="339"/>
      <c r="AA9" s="281"/>
      <c r="AB9" s="281"/>
      <c r="AC9" s="282"/>
      <c r="AE9" s="260" t="s">
        <v>266</v>
      </c>
      <c r="AF9" s="284">
        <v>8.4260670104835102E-7</v>
      </c>
      <c r="AG9" s="316">
        <f>AE25</f>
        <v>5.9922127789776926E-13</v>
      </c>
    </row>
    <row r="10" spans="1:37" ht="13.5" thickBot="1" x14ac:dyDescent="0.25">
      <c r="A10" s="289" t="s">
        <v>485</v>
      </c>
      <c r="B10" s="290"/>
      <c r="C10" s="290">
        <v>0.08</v>
      </c>
      <c r="D10" s="290" t="s">
        <v>2</v>
      </c>
      <c r="E10" s="343">
        <v>0.08</v>
      </c>
      <c r="G10" s="289" t="s">
        <v>485</v>
      </c>
      <c r="H10" s="290"/>
      <c r="I10" s="290">
        <v>0.06</v>
      </c>
      <c r="J10" s="290" t="s">
        <v>2</v>
      </c>
      <c r="K10" s="343">
        <v>0.06</v>
      </c>
      <c r="M10" s="289" t="s">
        <v>485</v>
      </c>
      <c r="N10" s="290"/>
      <c r="O10" s="290">
        <v>0.1</v>
      </c>
      <c r="P10" s="290" t="s">
        <v>2</v>
      </c>
      <c r="Q10" s="343">
        <v>0.1</v>
      </c>
      <c r="S10" s="289" t="s">
        <v>485</v>
      </c>
      <c r="T10" s="290"/>
      <c r="U10" s="290">
        <v>0.08</v>
      </c>
      <c r="V10" s="290" t="s">
        <v>2</v>
      </c>
      <c r="W10" s="343">
        <v>0.08</v>
      </c>
      <c r="Y10" s="289" t="s">
        <v>485</v>
      </c>
      <c r="Z10" s="290"/>
      <c r="AA10" s="290">
        <v>0.08</v>
      </c>
      <c r="AB10" s="290" t="s">
        <v>2</v>
      </c>
      <c r="AC10" s="343">
        <v>0.08</v>
      </c>
      <c r="AE10" s="260" t="s">
        <v>267</v>
      </c>
      <c r="AF10" s="284">
        <v>1.71535042954171E-7</v>
      </c>
      <c r="AG10" s="316">
        <f>AD25</f>
        <v>1.562122050577087E-13</v>
      </c>
    </row>
    <row r="11" spans="1:37" x14ac:dyDescent="0.2">
      <c r="AE11" s="260" t="s">
        <v>268</v>
      </c>
      <c r="AF11" s="284">
        <v>13.411302767169801</v>
      </c>
      <c r="AG11" s="316">
        <f>AF25</f>
        <v>5.6814801790646992E-8</v>
      </c>
    </row>
    <row r="16" spans="1:37" x14ac:dyDescent="0.2">
      <c r="T16" s="344" t="s">
        <v>274</v>
      </c>
      <c r="U16" s="345"/>
      <c r="V16" s="346"/>
      <c r="AA16" s="260"/>
      <c r="AB16" s="260"/>
      <c r="AC16" s="260"/>
      <c r="AD16" s="260"/>
      <c r="AE16" s="260"/>
      <c r="AF16" s="260"/>
      <c r="AG16" s="260"/>
      <c r="AH16" s="260"/>
      <c r="AI16" s="260"/>
      <c r="AJ16" s="260"/>
      <c r="AK16" s="260"/>
    </row>
    <row r="17" spans="1:41" x14ac:dyDescent="0.2">
      <c r="T17" s="347" t="s">
        <v>278</v>
      </c>
      <c r="U17" s="348"/>
      <c r="V17" s="349"/>
      <c r="AA17" s="260"/>
      <c r="AB17" s="260"/>
      <c r="AC17" s="260"/>
      <c r="AD17" s="260"/>
      <c r="AE17" s="260"/>
      <c r="AF17" s="260"/>
      <c r="AG17" s="260"/>
      <c r="AH17" s="260"/>
      <c r="AI17" s="260"/>
      <c r="AJ17" s="260"/>
      <c r="AK17" s="260"/>
    </row>
    <row r="18" spans="1:41" x14ac:dyDescent="0.2">
      <c r="T18" s="350" t="s">
        <v>276</v>
      </c>
      <c r="U18" s="351"/>
      <c r="V18" s="352"/>
      <c r="AA18" s="260"/>
      <c r="AB18" s="260"/>
      <c r="AC18" s="260"/>
      <c r="AD18" s="260"/>
      <c r="AE18" s="260"/>
      <c r="AF18" s="260"/>
      <c r="AG18" s="260"/>
      <c r="AH18" s="260"/>
      <c r="AI18" s="260"/>
      <c r="AJ18" s="260"/>
      <c r="AK18" s="260"/>
    </row>
    <row r="19" spans="1:41" s="293" customFormat="1" x14ac:dyDescent="0.2">
      <c r="A19" s="17"/>
      <c r="B19" s="17"/>
    </row>
    <row r="20" spans="1:41" s="293" customFormat="1" x14ac:dyDescent="0.2">
      <c r="A20" s="17" t="s">
        <v>708</v>
      </c>
      <c r="U20" s="197" t="s">
        <v>550</v>
      </c>
      <c r="V20" s="198" t="s">
        <v>551</v>
      </c>
      <c r="W20" s="198" t="s">
        <v>550</v>
      </c>
      <c r="X20" s="198" t="s">
        <v>551</v>
      </c>
      <c r="Y20" s="199" t="s">
        <v>552</v>
      </c>
      <c r="Z20" s="294"/>
      <c r="AA20" s="295"/>
      <c r="AB20" s="17" t="s">
        <v>105</v>
      </c>
      <c r="AC20" s="17"/>
      <c r="AD20" s="148" t="s">
        <v>549</v>
      </c>
      <c r="AE20" s="149"/>
      <c r="AF20" s="149"/>
      <c r="AG20" s="149" t="s">
        <v>548</v>
      </c>
      <c r="AH20" s="149"/>
      <c r="AI20" s="149"/>
      <c r="AJ20" s="149" t="s">
        <v>547</v>
      </c>
      <c r="AK20" s="149"/>
      <c r="AL20" s="149"/>
      <c r="AM20" s="296" t="s">
        <v>553</v>
      </c>
      <c r="AN20" s="294"/>
      <c r="AO20" s="295"/>
    </row>
    <row r="21" spans="1:41" s="139" customFormat="1" ht="15" customHeight="1" x14ac:dyDescent="0.2">
      <c r="A21" s="57" t="s">
        <v>58</v>
      </c>
      <c r="B21" s="55" t="s">
        <v>289</v>
      </c>
      <c r="C21" s="56" t="s">
        <v>100</v>
      </c>
      <c r="D21" s="56" t="s">
        <v>11</v>
      </c>
      <c r="E21" s="63" t="s">
        <v>291</v>
      </c>
      <c r="F21" s="63"/>
      <c r="G21" s="66" t="s">
        <v>292</v>
      </c>
      <c r="H21" s="66" t="s">
        <v>8</v>
      </c>
      <c r="I21" s="66" t="s">
        <v>217</v>
      </c>
      <c r="J21" s="66" t="s">
        <v>11</v>
      </c>
      <c r="K21" s="66" t="s">
        <v>291</v>
      </c>
      <c r="L21" s="63"/>
      <c r="M21" s="67" t="s">
        <v>293</v>
      </c>
      <c r="N21" s="67" t="s">
        <v>8</v>
      </c>
      <c r="O21" s="67" t="s">
        <v>217</v>
      </c>
      <c r="P21" s="67" t="s">
        <v>11</v>
      </c>
      <c r="Q21" s="67" t="s">
        <v>291</v>
      </c>
      <c r="R21" s="63"/>
      <c r="S21" s="63"/>
      <c r="T21" s="297" t="s">
        <v>275</v>
      </c>
      <c r="U21" s="126" t="s">
        <v>530</v>
      </c>
      <c r="V21" s="114" t="s">
        <v>531</v>
      </c>
      <c r="W21" s="114" t="s">
        <v>532</v>
      </c>
      <c r="X21" s="114" t="s">
        <v>533</v>
      </c>
      <c r="Y21" s="114" t="s">
        <v>534</v>
      </c>
      <c r="Z21" s="114" t="s">
        <v>535</v>
      </c>
      <c r="AA21" s="131" t="s">
        <v>536</v>
      </c>
      <c r="AB21" s="22" t="s">
        <v>545</v>
      </c>
      <c r="AC21" s="466" t="s">
        <v>546</v>
      </c>
      <c r="AD21" s="148" t="s">
        <v>31</v>
      </c>
      <c r="AE21" s="149" t="s">
        <v>32</v>
      </c>
      <c r="AF21" s="150" t="s">
        <v>33</v>
      </c>
      <c r="AG21" s="148" t="s">
        <v>31</v>
      </c>
      <c r="AH21" s="149" t="s">
        <v>32</v>
      </c>
      <c r="AI21" s="150" t="s">
        <v>33</v>
      </c>
      <c r="AJ21" s="148" t="s">
        <v>31</v>
      </c>
      <c r="AK21" s="149" t="s">
        <v>32</v>
      </c>
      <c r="AL21" s="149" t="s">
        <v>33</v>
      </c>
      <c r="AM21" s="298"/>
      <c r="AN21" s="136"/>
      <c r="AO21" s="299"/>
    </row>
    <row r="22" spans="1:41" s="51" customFormat="1" ht="15" customHeight="1" x14ac:dyDescent="0.2">
      <c r="A22" s="54" t="str">
        <f>'36. Generic chemical products'!A2</f>
        <v>Lubricant, average (Albafluid CD)</v>
      </c>
      <c r="B22" s="54" t="str">
        <f>'36. Generic chemical products'!B2</f>
        <v>Acrylamide/sodium acrylate copolymer</v>
      </c>
      <c r="C22" s="54">
        <f>'36. Generic chemical products'!C2</f>
        <v>0.3</v>
      </c>
      <c r="D22" s="54" t="str">
        <f>'36. Generic chemical products'!D2</f>
        <v>kg</v>
      </c>
      <c r="E22" s="54" t="str">
        <f>'36. Generic chemical products'!E2</f>
        <v>MSDS + Expert estimation for concentration</v>
      </c>
      <c r="F22" s="54">
        <f>'36. Generic chemical products'!F2</f>
        <v>0</v>
      </c>
      <c r="G22" s="54" t="str">
        <f>'36. Generic chemical products'!G2</f>
        <v>-</v>
      </c>
      <c r="H22" s="54">
        <f>'36. Generic chemical products'!H2</f>
        <v>0</v>
      </c>
      <c r="I22" s="54">
        <f>'36. Generic chemical products'!I2</f>
        <v>0</v>
      </c>
      <c r="J22" s="54">
        <f>'36. Generic chemical products'!J2</f>
        <v>0</v>
      </c>
      <c r="K22" s="54">
        <f>'36. Generic chemical products'!K2</f>
        <v>0</v>
      </c>
      <c r="L22" s="54">
        <f>'36. Generic chemical products'!L2</f>
        <v>0</v>
      </c>
      <c r="M22" s="54" t="str">
        <f>'36. Generic chemical products'!M2</f>
        <v>Acrylamide/sodium acrylate copolymer</v>
      </c>
      <c r="N22" s="54" t="str">
        <f>'36. Generic chemical products'!N2</f>
        <v>river</v>
      </c>
      <c r="O22" s="54">
        <f>'36. Generic chemical products'!O2</f>
        <v>2.9700000000000001E-2</v>
      </c>
      <c r="P22" s="54" t="str">
        <f>'36. Generic chemical products'!P2</f>
        <v>kg</v>
      </c>
      <c r="Q22" s="54" t="str">
        <f>'36. Generic chemical products'!Q2</f>
        <v>1% of polymer content remains as monomers from the production process.</v>
      </c>
      <c r="R22" s="54">
        <f>'36. Generic chemical products'!R2</f>
        <v>0</v>
      </c>
      <c r="S22" s="54">
        <f>'36. Generic chemical products'!S2</f>
        <v>0</v>
      </c>
      <c r="T22" s="386" t="str">
        <f>'36. Generic chemical products'!T2</f>
        <v>25085-02-3</v>
      </c>
      <c r="U22" s="386">
        <f>'36. Generic chemical products'!U2</f>
        <v>0</v>
      </c>
      <c r="V22" s="386">
        <f>'36. Generic chemical products'!V2</f>
        <v>1.318367210059499E-10</v>
      </c>
      <c r="W22" s="386">
        <f>'36. Generic chemical products'!W2</f>
        <v>0</v>
      </c>
      <c r="X22" s="386">
        <f>'36. Generic chemical products'!X2</f>
        <v>1.3016448977650344E-10</v>
      </c>
      <c r="Y22" s="386">
        <f>'36. Generic chemical products'!Y2</f>
        <v>1.1181204517092254</v>
      </c>
      <c r="Z22" s="386">
        <f>'36. Generic chemical products'!Z2</f>
        <v>78.957506928451508</v>
      </c>
      <c r="AA22" s="386" t="str">
        <f>'36. Generic chemical products'!AA2</f>
        <v>Roos 2017</v>
      </c>
      <c r="AB22" s="303">
        <f>$C$6*I22</f>
        <v>0</v>
      </c>
      <c r="AC22" s="467">
        <v>0</v>
      </c>
      <c r="AD22" s="283">
        <f>AB22*U22+AC22*W22</f>
        <v>0</v>
      </c>
      <c r="AE22" s="302">
        <f>AB22*V22+AC22*X22</f>
        <v>0</v>
      </c>
      <c r="AF22" s="303">
        <f>AB22*Y22+AC22*Z22</f>
        <v>0</v>
      </c>
      <c r="AG22" s="303">
        <f>AB22*U22</f>
        <v>0</v>
      </c>
      <c r="AH22" s="303">
        <f>AB22*V22</f>
        <v>0</v>
      </c>
      <c r="AI22" s="303">
        <f>AB22*Y22</f>
        <v>0</v>
      </c>
      <c r="AJ22" s="303">
        <f>AC22*W22</f>
        <v>0</v>
      </c>
      <c r="AK22" s="303">
        <f>AC22*X22</f>
        <v>0</v>
      </c>
      <c r="AL22" s="303">
        <f>AC22*Z22</f>
        <v>0</v>
      </c>
      <c r="AM22" s="304">
        <f>AG22+AJ22</f>
        <v>0</v>
      </c>
      <c r="AN22" s="305">
        <f t="shared" ref="AN22:AO24" si="0">AH22+AK22</f>
        <v>0</v>
      </c>
      <c r="AO22" s="306">
        <f t="shared" si="0"/>
        <v>0</v>
      </c>
    </row>
    <row r="23" spans="1:41" s="51" customFormat="1" ht="15" customHeight="1" x14ac:dyDescent="0.2">
      <c r="A23" s="54" t="str">
        <f>'36. Generic chemical products'!A3</f>
        <v>Lubricant, average (Albafluid CD)</v>
      </c>
      <c r="B23" s="54" t="str">
        <f>'36. Generic chemical products'!B3</f>
        <v>Acrylamide</v>
      </c>
      <c r="C23" s="54">
        <f>'36. Generic chemical products'!C3</f>
        <v>0</v>
      </c>
      <c r="D23" s="54">
        <f>'36. Generic chemical products'!D3</f>
        <v>0</v>
      </c>
      <c r="E23" s="54" t="str">
        <f>'36. Generic chemical products'!E3</f>
        <v>Breakdown product (Caulfield, 2002)</v>
      </c>
      <c r="F23" s="54">
        <f>'36. Generic chemical products'!F3</f>
        <v>0</v>
      </c>
      <c r="G23" s="54" t="str">
        <f>'36. Generic chemical products'!G3</f>
        <v>Acrylamide</v>
      </c>
      <c r="H23" s="54" t="str">
        <f>'36. Generic chemical products'!H3</f>
        <v>high. pop.</v>
      </c>
      <c r="I23" s="54">
        <f>'36. Generic chemical products'!I3</f>
        <v>3.0000000000000001E-6</v>
      </c>
      <c r="J23" s="54" t="str">
        <f>'36. Generic chemical products'!J3</f>
        <v>kg</v>
      </c>
      <c r="K23" s="54">
        <f>'36. Generic chemical products'!K3</f>
        <v>0</v>
      </c>
      <c r="L23" s="54">
        <f>'36. Generic chemical products'!L3</f>
        <v>0</v>
      </c>
      <c r="M23" s="54" t="str">
        <f>'36. Generic chemical products'!M3</f>
        <v>Acrylamide</v>
      </c>
      <c r="N23" s="54" t="str">
        <f>'36. Generic chemical products'!N3</f>
        <v>river</v>
      </c>
      <c r="O23" s="54">
        <f>'36. Generic chemical products'!O3</f>
        <v>3.0000000000000004E-5</v>
      </c>
      <c r="P23" s="54" t="str">
        <f>'36. Generic chemical products'!P3</f>
        <v>kg</v>
      </c>
      <c r="Q23" s="54" t="str">
        <f>'36. Generic chemical products'!Q3</f>
        <v xml:space="preserve">90% of reactive chemicals are degraded during operations. </v>
      </c>
      <c r="R23" s="54">
        <f>'36. Generic chemical products'!R3</f>
        <v>0</v>
      </c>
      <c r="S23" s="54">
        <f>'36. Generic chemical products'!S3</f>
        <v>0</v>
      </c>
      <c r="T23" s="385" t="str">
        <f>'36. Generic chemical products'!T3</f>
        <v>79-06-1</v>
      </c>
      <c r="U23" s="385">
        <f>'36. Generic chemical products'!U3</f>
        <v>3.0023364753950555E-5</v>
      </c>
      <c r="V23" s="385">
        <f>'36. Generic chemical products'!V3</f>
        <v>1.2481126126868064E-4</v>
      </c>
      <c r="W23" s="385">
        <f>'36. Generic chemical products'!W3</f>
        <v>1.1959264101490567E-5</v>
      </c>
      <c r="X23" s="385">
        <f>'36. Generic chemical products'!X3</f>
        <v>4.9716307568620708E-5</v>
      </c>
      <c r="Y23" s="385">
        <f>'36. Generic chemical products'!Y3</f>
        <v>10.037499181426883</v>
      </c>
      <c r="Z23" s="385">
        <f>'36. Generic chemical products'!Z3</f>
        <v>119.14199796898779</v>
      </c>
      <c r="AA23" s="385" t="str">
        <f>'36. Generic chemical products'!AA3</f>
        <v>USEtox</v>
      </c>
      <c r="AB23" s="303">
        <f>$C$6*I23</f>
        <v>4.8E-9</v>
      </c>
      <c r="AC23" s="468">
        <v>0</v>
      </c>
      <c r="AD23" s="315">
        <f t="shared" ref="AD23:AD24" si="1">AB23*U23+AC23*W23</f>
        <v>1.4411215081896266E-13</v>
      </c>
      <c r="AE23" s="302">
        <f t="shared" ref="AE23:AE24" si="2">AB23*V23+AC23*X23</f>
        <v>5.9909405408966702E-13</v>
      </c>
      <c r="AF23" s="303">
        <f t="shared" ref="AF23:AF24" si="3">AB23*Y23+AC23*Z23</f>
        <v>4.8179996070849036E-8</v>
      </c>
      <c r="AG23" s="303">
        <f t="shared" ref="AG23:AG24" si="4">AB23*U23</f>
        <v>1.4411215081896266E-13</v>
      </c>
      <c r="AH23" s="303">
        <f t="shared" ref="AH23:AH24" si="5">AB23*V23</f>
        <v>5.9909405408966702E-13</v>
      </c>
      <c r="AI23" s="303">
        <f t="shared" ref="AI23:AI24" si="6">AB23*Y23</f>
        <v>4.8179996070849036E-8</v>
      </c>
      <c r="AJ23" s="303">
        <f t="shared" ref="AJ23:AJ24" si="7">AC23*W23</f>
        <v>0</v>
      </c>
      <c r="AK23" s="303">
        <f t="shared" ref="AK23:AK24" si="8">AC23*X23</f>
        <v>0</v>
      </c>
      <c r="AL23" s="303">
        <f t="shared" ref="AL23:AL24" si="9">AC23*Z23</f>
        <v>0</v>
      </c>
      <c r="AM23" s="304">
        <f t="shared" ref="AM23:AM24" si="10">AG23+AJ23</f>
        <v>1.4411215081896266E-13</v>
      </c>
      <c r="AN23" s="305">
        <f t="shared" si="0"/>
        <v>5.9909405408966702E-13</v>
      </c>
      <c r="AO23" s="306">
        <f t="shared" si="0"/>
        <v>4.8179996070849036E-8</v>
      </c>
    </row>
    <row r="24" spans="1:41" s="139" customFormat="1" ht="15" customHeight="1" x14ac:dyDescent="0.2">
      <c r="A24" s="141" t="str">
        <f>'36. Generic chemical products'!A4</f>
        <v>Lubricant, average (Albafluid CD)</v>
      </c>
      <c r="B24" s="141">
        <f>'36. Generic chemical products'!B4</f>
        <v>0</v>
      </c>
      <c r="C24" s="141">
        <f>'36. Generic chemical products'!C4</f>
        <v>0</v>
      </c>
      <c r="D24" s="141">
        <f>'36. Generic chemical products'!D4</f>
        <v>0</v>
      </c>
      <c r="E24" s="141" t="str">
        <f>'36. Generic chemical products'!E4</f>
        <v>Common breakdown product of of acrylics, 0.001 % assumed</v>
      </c>
      <c r="F24" s="141">
        <f>'36. Generic chemical products'!F4</f>
        <v>0</v>
      </c>
      <c r="G24" s="141" t="str">
        <f>'36. Generic chemical products'!G4</f>
        <v>Formaldehyde</v>
      </c>
      <c r="H24" s="141" t="str">
        <f>'36. Generic chemical products'!H4</f>
        <v>high. pop.</v>
      </c>
      <c r="I24" s="141">
        <f>'36. Generic chemical products'!I4</f>
        <v>2.9999999999999999E-7</v>
      </c>
      <c r="J24" s="141" t="str">
        <f>'36. Generic chemical products'!J4</f>
        <v>kg</v>
      </c>
      <c r="K24" s="141">
        <f>'36. Generic chemical products'!K4</f>
        <v>0</v>
      </c>
      <c r="L24" s="141">
        <f>'36. Generic chemical products'!L4</f>
        <v>0</v>
      </c>
      <c r="M24" s="141" t="str">
        <f>'36. Generic chemical products'!M4</f>
        <v>Formaldehyde</v>
      </c>
      <c r="N24" s="141" t="str">
        <f>'36. Generic chemical products'!N4</f>
        <v>river</v>
      </c>
      <c r="O24" s="141">
        <f>'36. Generic chemical products'!O4</f>
        <v>3.0000000000000001E-6</v>
      </c>
      <c r="P24" s="141" t="str">
        <f>'36. Generic chemical products'!P4</f>
        <v>kg</v>
      </c>
      <c r="Q24" s="141" t="str">
        <f>'36. Generic chemical products'!Q4</f>
        <v xml:space="preserve">0.1 % of the content is degraded to common breakdown products. 90% of reactive chemicals are degraded during operations. </v>
      </c>
      <c r="R24" s="141">
        <f>'36. Generic chemical products'!R4</f>
        <v>0</v>
      </c>
      <c r="S24" s="141">
        <f>'36. Generic chemical products'!S4</f>
        <v>0</v>
      </c>
      <c r="T24" s="388" t="str">
        <f>'36. Generic chemical products'!T4</f>
        <v>50-00-0</v>
      </c>
      <c r="U24" s="388">
        <f>'36. Generic chemical products'!U4</f>
        <v>2.5208446330720887E-5</v>
      </c>
      <c r="V24" s="388">
        <f>'36. Generic chemical products'!V4</f>
        <v>2.6504960021309262E-7</v>
      </c>
      <c r="W24" s="388">
        <f>'36. Generic chemical products'!W4</f>
        <v>1.4222228897488039E-7</v>
      </c>
      <c r="X24" s="388">
        <f>'36. Generic chemical products'!X4</f>
        <v>3.170874313501273E-7</v>
      </c>
      <c r="Y24" s="388">
        <f>'36. Generic chemical products'!Y4</f>
        <v>17.989178582912412</v>
      </c>
      <c r="Z24" s="388">
        <f>'36. Generic chemical products'!Z4</f>
        <v>290.05086067463066</v>
      </c>
      <c r="AA24" s="388" t="str">
        <f>'36. Generic chemical products'!AA4</f>
        <v>USEtox</v>
      </c>
      <c r="AB24" s="310">
        <f>$C$6*I24</f>
        <v>4.8E-10</v>
      </c>
      <c r="AC24" s="469">
        <v>0</v>
      </c>
      <c r="AD24" s="465">
        <f t="shared" si="1"/>
        <v>1.2100054238746025E-14</v>
      </c>
      <c r="AE24" s="309">
        <f t="shared" si="2"/>
        <v>1.2722380810228446E-16</v>
      </c>
      <c r="AF24" s="310">
        <f t="shared" si="3"/>
        <v>8.6348057197979577E-9</v>
      </c>
      <c r="AG24" s="310">
        <f t="shared" si="4"/>
        <v>1.2100054238746025E-14</v>
      </c>
      <c r="AH24" s="310">
        <f t="shared" si="5"/>
        <v>1.2722380810228446E-16</v>
      </c>
      <c r="AI24" s="310">
        <f t="shared" si="6"/>
        <v>8.6348057197979577E-9</v>
      </c>
      <c r="AJ24" s="310">
        <f t="shared" si="7"/>
        <v>0</v>
      </c>
      <c r="AK24" s="310">
        <f t="shared" si="8"/>
        <v>0</v>
      </c>
      <c r="AL24" s="310">
        <f t="shared" si="9"/>
        <v>0</v>
      </c>
      <c r="AM24" s="311">
        <f t="shared" si="10"/>
        <v>1.2100054238746025E-14</v>
      </c>
      <c r="AN24" s="312">
        <f t="shared" si="0"/>
        <v>1.2722380810228446E-16</v>
      </c>
      <c r="AO24" s="313">
        <f t="shared" si="0"/>
        <v>8.6348057197979577E-9</v>
      </c>
    </row>
    <row r="25" spans="1:41" x14ac:dyDescent="0.2">
      <c r="A25" s="250"/>
      <c r="AD25" s="177">
        <f>SUM(AD22:AD24)</f>
        <v>1.562122050577087E-13</v>
      </c>
      <c r="AE25" s="177">
        <f>SUM(AE22:AE24)</f>
        <v>5.9922127789776926E-13</v>
      </c>
      <c r="AF25" s="177">
        <f>SUM(AF22:AF24)</f>
        <v>5.6814801790646992E-8</v>
      </c>
    </row>
    <row r="26" spans="1:41" x14ac:dyDescent="0.2">
      <c r="A26" s="259" t="s">
        <v>736</v>
      </c>
    </row>
    <row r="30" spans="1:41" x14ac:dyDescent="0.2">
      <c r="A30" s="1" t="s">
        <v>687</v>
      </c>
    </row>
    <row r="31" spans="1:41" x14ac:dyDescent="0.2">
      <c r="A31" t="s">
        <v>1068</v>
      </c>
    </row>
    <row r="32" spans="1:41" x14ac:dyDescent="0.2">
      <c r="A32" t="s">
        <v>1069</v>
      </c>
    </row>
    <row r="33" spans="1:1" x14ac:dyDescent="0.2">
      <c r="A33" t="s">
        <v>1083</v>
      </c>
    </row>
    <row r="34" spans="1:1" x14ac:dyDescent="0.2">
      <c r="A34" t="s">
        <v>1084</v>
      </c>
    </row>
    <row r="35" spans="1:1" x14ac:dyDescent="0.2">
      <c r="A35" t="s">
        <v>1087</v>
      </c>
    </row>
    <row r="36" spans="1:1" x14ac:dyDescent="0.2">
      <c r="A36" t="s">
        <v>1070</v>
      </c>
    </row>
    <row r="37" spans="1:1" x14ac:dyDescent="0.2">
      <c r="A37" t="s">
        <v>1071</v>
      </c>
    </row>
    <row r="38" spans="1:1" x14ac:dyDescent="0.2">
      <c r="A38" t="s">
        <v>1072</v>
      </c>
    </row>
    <row r="39" spans="1:1" x14ac:dyDescent="0.2">
      <c r="A39" t="s">
        <v>1073</v>
      </c>
    </row>
    <row r="40" spans="1:1" x14ac:dyDescent="0.2">
      <c r="A40"/>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42"/>
  <sheetViews>
    <sheetView zoomScale="70" zoomScaleNormal="70" workbookViewId="0">
      <selection activeCell="A5" sqref="A5"/>
    </sheetView>
  </sheetViews>
  <sheetFormatPr defaultRowHeight="12.75" x14ac:dyDescent="0.2"/>
  <cols>
    <col min="1" max="1" width="68.42578125" style="244" customWidth="1"/>
    <col min="2" max="4" width="9.140625" style="244"/>
    <col min="5" max="5" width="10.5703125" style="244" customWidth="1"/>
    <col min="6" max="29" width="9.140625" style="244"/>
    <col min="30" max="30" width="11" style="244" bestFit="1" customWidth="1"/>
    <col min="31" max="31" width="9.140625" style="244"/>
    <col min="32" max="32" width="16" style="244" customWidth="1"/>
    <col min="33" max="16384" width="9.140625" style="244"/>
  </cols>
  <sheetData>
    <row r="1" spans="1:37" ht="16.5" thickBot="1" x14ac:dyDescent="0.3">
      <c r="A1" s="37" t="s">
        <v>491</v>
      </c>
      <c r="B1" s="38"/>
      <c r="C1" s="38" t="s">
        <v>217</v>
      </c>
      <c r="D1" s="38" t="s">
        <v>11</v>
      </c>
      <c r="E1" s="39" t="s">
        <v>180</v>
      </c>
      <c r="G1" s="263" t="s">
        <v>492</v>
      </c>
      <c r="H1" s="264"/>
      <c r="I1" s="264" t="s">
        <v>217</v>
      </c>
      <c r="J1" s="264" t="s">
        <v>11</v>
      </c>
      <c r="K1" s="265" t="s">
        <v>180</v>
      </c>
      <c r="M1" s="266" t="s">
        <v>493</v>
      </c>
      <c r="N1" s="267"/>
      <c r="O1" s="268" t="s">
        <v>217</v>
      </c>
      <c r="P1" s="268" t="s">
        <v>11</v>
      </c>
      <c r="Q1" s="269" t="s">
        <v>180</v>
      </c>
      <c r="S1" s="270" t="s">
        <v>494</v>
      </c>
      <c r="T1" s="271"/>
      <c r="U1" s="271" t="s">
        <v>217</v>
      </c>
      <c r="V1" s="271" t="s">
        <v>11</v>
      </c>
      <c r="W1" s="272" t="s">
        <v>180</v>
      </c>
      <c r="Y1" s="273" t="s">
        <v>495</v>
      </c>
      <c r="Z1" s="274"/>
      <c r="AA1" s="274" t="s">
        <v>217</v>
      </c>
      <c r="AB1" s="274" t="s">
        <v>11</v>
      </c>
      <c r="AC1" s="275" t="s">
        <v>180</v>
      </c>
      <c r="AE1" s="260"/>
      <c r="AF1" s="276" t="s">
        <v>710</v>
      </c>
      <c r="AG1" s="260"/>
      <c r="AH1" s="260"/>
      <c r="AI1" s="260"/>
      <c r="AJ1" s="260"/>
    </row>
    <row r="2" spans="1:37" x14ac:dyDescent="0.2">
      <c r="A2" s="277" t="s">
        <v>218</v>
      </c>
      <c r="B2" s="281"/>
      <c r="C2" s="281"/>
      <c r="D2" s="281"/>
      <c r="E2" s="279"/>
      <c r="G2" s="277" t="s">
        <v>218</v>
      </c>
      <c r="H2" s="281"/>
      <c r="I2" s="281"/>
      <c r="J2" s="281"/>
      <c r="K2" s="279"/>
      <c r="M2" s="277" t="s">
        <v>218</v>
      </c>
      <c r="N2" s="281"/>
      <c r="O2" s="281"/>
      <c r="P2" s="281"/>
      <c r="Q2" s="279"/>
      <c r="S2" s="277" t="s">
        <v>218</v>
      </c>
      <c r="T2" s="281"/>
      <c r="U2" s="281"/>
      <c r="V2" s="281"/>
      <c r="W2" s="279"/>
      <c r="Y2" s="277" t="s">
        <v>218</v>
      </c>
      <c r="Z2" s="281"/>
      <c r="AA2" s="281"/>
      <c r="AB2" s="281"/>
      <c r="AC2" s="279"/>
      <c r="AE2" s="260"/>
      <c r="AF2" s="284" t="s">
        <v>952</v>
      </c>
      <c r="AG2" s="260" t="s">
        <v>916</v>
      </c>
      <c r="AH2" s="260"/>
      <c r="AI2" s="260"/>
    </row>
    <row r="3" spans="1:37" x14ac:dyDescent="0.2">
      <c r="A3" s="280" t="s">
        <v>894</v>
      </c>
      <c r="B3" s="281"/>
      <c r="C3" s="281">
        <v>1</v>
      </c>
      <c r="D3" s="281" t="s">
        <v>2</v>
      </c>
      <c r="E3" s="282"/>
      <c r="G3" s="280" t="s">
        <v>894</v>
      </c>
      <c r="H3" s="281"/>
      <c r="I3" s="281">
        <v>1</v>
      </c>
      <c r="J3" s="281" t="s">
        <v>2</v>
      </c>
      <c r="K3" s="282"/>
      <c r="M3" s="280" t="s">
        <v>894</v>
      </c>
      <c r="N3" s="281"/>
      <c r="O3" s="281">
        <v>1</v>
      </c>
      <c r="P3" s="281" t="s">
        <v>2</v>
      </c>
      <c r="Q3" s="282"/>
      <c r="S3" s="280" t="s">
        <v>894</v>
      </c>
      <c r="T3" s="281"/>
      <c r="U3" s="281">
        <v>1</v>
      </c>
      <c r="V3" s="281" t="s">
        <v>2</v>
      </c>
      <c r="W3" s="282"/>
      <c r="Y3" s="280" t="s">
        <v>894</v>
      </c>
      <c r="Z3" s="281"/>
      <c r="AA3" s="281">
        <v>1</v>
      </c>
      <c r="AB3" s="281" t="s">
        <v>2</v>
      </c>
      <c r="AC3" s="282"/>
      <c r="AE3" s="260" t="s">
        <v>260</v>
      </c>
      <c r="AF3" s="284">
        <v>3.5042580569065098</v>
      </c>
      <c r="AG3" s="260"/>
      <c r="AH3" s="260"/>
      <c r="AI3" s="260"/>
      <c r="AJ3" s="260"/>
    </row>
    <row r="4" spans="1:37" s="1" customFormat="1" x14ac:dyDescent="0.2">
      <c r="A4" s="277" t="s">
        <v>187</v>
      </c>
      <c r="B4" s="281"/>
      <c r="C4" s="281"/>
      <c r="D4" s="281"/>
      <c r="E4" s="282"/>
      <c r="G4" s="277" t="s">
        <v>187</v>
      </c>
      <c r="H4" s="281"/>
      <c r="I4" s="281"/>
      <c r="J4" s="281"/>
      <c r="K4" s="282"/>
      <c r="M4" s="277" t="s">
        <v>187</v>
      </c>
      <c r="N4" s="281"/>
      <c r="O4" s="281"/>
      <c r="P4" s="281"/>
      <c r="Q4" s="282"/>
      <c r="R4" s="342"/>
      <c r="S4" s="338" t="s">
        <v>187</v>
      </c>
      <c r="T4" s="339"/>
      <c r="U4" s="339"/>
      <c r="V4" s="339"/>
      <c r="W4" s="337"/>
      <c r="X4" s="342"/>
      <c r="Y4" s="338" t="s">
        <v>187</v>
      </c>
      <c r="Z4" s="339"/>
      <c r="AA4" s="339"/>
      <c r="AB4" s="281"/>
      <c r="AC4" s="282"/>
      <c r="AE4" s="260" t="s">
        <v>261</v>
      </c>
      <c r="AF4" s="284">
        <v>4.09464575049914E-4</v>
      </c>
      <c r="AG4" s="18"/>
      <c r="AH4" s="18"/>
      <c r="AI4" s="18"/>
      <c r="AJ4" s="18"/>
    </row>
    <row r="5" spans="1:37" x14ac:dyDescent="0.2">
      <c r="A5" s="280" t="s">
        <v>141</v>
      </c>
      <c r="B5" s="281"/>
      <c r="C5" s="281">
        <v>1.6000000000000001E-3</v>
      </c>
      <c r="D5" s="281" t="s">
        <v>2</v>
      </c>
      <c r="E5" s="282" t="s">
        <v>179</v>
      </c>
      <c r="F5" s="244" t="s">
        <v>179</v>
      </c>
      <c r="G5" s="280" t="s">
        <v>141</v>
      </c>
      <c r="H5" s="281"/>
      <c r="I5" s="281">
        <f>0.0016*0.9</f>
        <v>1.4400000000000001E-3</v>
      </c>
      <c r="J5" s="281" t="s">
        <v>2</v>
      </c>
      <c r="K5" s="282" t="s">
        <v>891</v>
      </c>
      <c r="M5" s="280" t="s">
        <v>141</v>
      </c>
      <c r="N5" s="281"/>
      <c r="O5" s="281">
        <f>0.0016*1.5</f>
        <v>2.4000000000000002E-3</v>
      </c>
      <c r="P5" s="281" t="s">
        <v>2</v>
      </c>
      <c r="Q5" s="337" t="s">
        <v>892</v>
      </c>
      <c r="R5" s="218" t="s">
        <v>87</v>
      </c>
      <c r="S5" s="341" t="s">
        <v>141</v>
      </c>
      <c r="T5" s="339"/>
      <c r="U5" s="339">
        <v>1.6000000000000001E-3</v>
      </c>
      <c r="V5" s="339" t="s">
        <v>2</v>
      </c>
      <c r="W5" s="337" t="s">
        <v>179</v>
      </c>
      <c r="X5" s="218"/>
      <c r="Y5" s="341" t="s">
        <v>141</v>
      </c>
      <c r="Z5" s="339"/>
      <c r="AA5" s="339">
        <v>1.6000000000000001E-3</v>
      </c>
      <c r="AB5" s="281" t="s">
        <v>2</v>
      </c>
      <c r="AC5" s="282" t="s">
        <v>179</v>
      </c>
      <c r="AE5" s="260" t="s">
        <v>262</v>
      </c>
      <c r="AF5" s="284">
        <v>3.18719564343116E-2</v>
      </c>
      <c r="AG5" s="260"/>
      <c r="AH5" s="260"/>
      <c r="AI5" s="260"/>
      <c r="AJ5" s="260"/>
    </row>
    <row r="6" spans="1:37" x14ac:dyDescent="0.2">
      <c r="A6" s="280" t="s">
        <v>190</v>
      </c>
      <c r="B6" s="281"/>
      <c r="C6" s="281">
        <f>C5</f>
        <v>1.6000000000000001E-3</v>
      </c>
      <c r="D6" s="281" t="s">
        <v>2</v>
      </c>
      <c r="E6" s="286" t="s">
        <v>179</v>
      </c>
      <c r="G6" s="280" t="s">
        <v>190</v>
      </c>
      <c r="H6" s="281"/>
      <c r="I6" s="281">
        <f>I5</f>
        <v>1.4400000000000001E-3</v>
      </c>
      <c r="J6" s="281" t="s">
        <v>2</v>
      </c>
      <c r="K6" s="286" t="s">
        <v>179</v>
      </c>
      <c r="M6" s="280" t="s">
        <v>190</v>
      </c>
      <c r="N6" s="281"/>
      <c r="O6" s="281">
        <f>O5</f>
        <v>2.4000000000000002E-3</v>
      </c>
      <c r="P6" s="281" t="s">
        <v>2</v>
      </c>
      <c r="Q6" s="286" t="s">
        <v>179</v>
      </c>
      <c r="R6" s="218"/>
      <c r="S6" s="280" t="s">
        <v>190</v>
      </c>
      <c r="T6" s="281"/>
      <c r="U6" s="281">
        <f>U5</f>
        <v>1.6000000000000001E-3</v>
      </c>
      <c r="V6" s="339" t="s">
        <v>2</v>
      </c>
      <c r="W6" s="337" t="s">
        <v>179</v>
      </c>
      <c r="X6" s="218"/>
      <c r="Y6" s="280" t="s">
        <v>190</v>
      </c>
      <c r="Z6" s="281"/>
      <c r="AA6" s="281">
        <f>AA5</f>
        <v>1.6000000000000001E-3</v>
      </c>
      <c r="AB6" s="281" t="s">
        <v>2</v>
      </c>
      <c r="AC6" s="286" t="s">
        <v>179</v>
      </c>
      <c r="AE6" s="260" t="s">
        <v>263</v>
      </c>
      <c r="AF6" s="284">
        <v>1.14753860921989E-2</v>
      </c>
    </row>
    <row r="7" spans="1:37" x14ac:dyDescent="0.2">
      <c r="A7" s="277" t="s">
        <v>205</v>
      </c>
      <c r="B7" s="281"/>
      <c r="C7" s="281"/>
      <c r="D7" s="281"/>
      <c r="E7" s="286"/>
      <c r="G7" s="277" t="s">
        <v>205</v>
      </c>
      <c r="H7" s="281"/>
      <c r="I7" s="281"/>
      <c r="J7" s="281"/>
      <c r="K7" s="286"/>
      <c r="M7" s="277" t="s">
        <v>205</v>
      </c>
      <c r="N7" s="281"/>
      <c r="O7" s="281"/>
      <c r="P7" s="281"/>
      <c r="Q7" s="286"/>
      <c r="R7" s="218"/>
      <c r="S7" s="338" t="s">
        <v>205</v>
      </c>
      <c r="T7" s="339"/>
      <c r="U7" s="339"/>
      <c r="V7" s="339"/>
      <c r="W7" s="337"/>
      <c r="X7" s="218"/>
      <c r="Y7" s="338" t="s">
        <v>205</v>
      </c>
      <c r="Z7" s="339"/>
      <c r="AA7" s="339"/>
      <c r="AB7" s="281"/>
      <c r="AC7" s="286"/>
      <c r="AE7" s="260" t="s">
        <v>264</v>
      </c>
      <c r="AF7" s="284">
        <v>1.5092176904798299E-2</v>
      </c>
    </row>
    <row r="8" spans="1:37" ht="14.25" x14ac:dyDescent="0.2">
      <c r="A8" s="280" t="s">
        <v>206</v>
      </c>
      <c r="B8" s="281"/>
      <c r="C8" s="281">
        <v>3.37</v>
      </c>
      <c r="D8" s="281" t="s">
        <v>207</v>
      </c>
      <c r="E8" s="337" t="s">
        <v>1076</v>
      </c>
      <c r="G8" s="280" t="s">
        <v>206</v>
      </c>
      <c r="H8" s="281"/>
      <c r="I8" s="281">
        <v>3.34</v>
      </c>
      <c r="J8" s="281" t="s">
        <v>207</v>
      </c>
      <c r="K8" s="337" t="s">
        <v>1080</v>
      </c>
      <c r="M8" s="280" t="s">
        <v>206</v>
      </c>
      <c r="N8" s="281"/>
      <c r="O8" s="281">
        <v>11.61</v>
      </c>
      <c r="P8" s="281" t="s">
        <v>207</v>
      </c>
      <c r="Q8" s="337" t="s">
        <v>1086</v>
      </c>
      <c r="R8" s="218"/>
      <c r="S8" s="341" t="s">
        <v>206</v>
      </c>
      <c r="T8" s="339"/>
      <c r="U8" s="339">
        <v>3.37</v>
      </c>
      <c r="V8" s="339" t="s">
        <v>207</v>
      </c>
      <c r="W8" s="337" t="s">
        <v>179</v>
      </c>
      <c r="X8" s="218"/>
      <c r="Y8" s="341" t="s">
        <v>206</v>
      </c>
      <c r="Z8" s="339"/>
      <c r="AA8" s="339">
        <v>3.37</v>
      </c>
      <c r="AB8" s="281" t="s">
        <v>207</v>
      </c>
      <c r="AC8" s="286" t="s">
        <v>179</v>
      </c>
      <c r="AE8" s="260" t="s">
        <v>1020</v>
      </c>
      <c r="AF8" s="284">
        <v>2.0569564819652801</v>
      </c>
    </row>
    <row r="9" spans="1:37" x14ac:dyDescent="0.2">
      <c r="A9" s="277" t="s">
        <v>212</v>
      </c>
      <c r="B9" s="281"/>
      <c r="C9" s="281"/>
      <c r="D9" s="281"/>
      <c r="E9" s="282"/>
      <c r="G9" s="277" t="s">
        <v>212</v>
      </c>
      <c r="H9" s="281"/>
      <c r="I9" s="281"/>
      <c r="J9" s="281"/>
      <c r="K9" s="282"/>
      <c r="M9" s="277" t="s">
        <v>212</v>
      </c>
      <c r="N9" s="281"/>
      <c r="O9" s="281"/>
      <c r="P9" s="281"/>
      <c r="Q9" s="282"/>
      <c r="S9" s="338" t="s">
        <v>212</v>
      </c>
      <c r="T9" s="339"/>
      <c r="U9" s="339"/>
      <c r="V9" s="339"/>
      <c r="W9" s="337"/>
      <c r="X9" s="218"/>
      <c r="Y9" s="338" t="s">
        <v>212</v>
      </c>
      <c r="Z9" s="339"/>
      <c r="AA9" s="281"/>
      <c r="AB9" s="281"/>
      <c r="AC9" s="282"/>
      <c r="AE9" s="260" t="s">
        <v>266</v>
      </c>
      <c r="AF9" s="284">
        <v>4.2377122020321699E-7</v>
      </c>
      <c r="AG9" s="316">
        <f>AE25</f>
        <v>5.9922127789776926E-13</v>
      </c>
    </row>
    <row r="10" spans="1:37" ht="13.5" thickBot="1" x14ac:dyDescent="0.25">
      <c r="A10" s="289" t="s">
        <v>485</v>
      </c>
      <c r="B10" s="290"/>
      <c r="C10" s="290">
        <v>0.08</v>
      </c>
      <c r="D10" s="290" t="s">
        <v>2</v>
      </c>
      <c r="E10" s="343">
        <v>0.08</v>
      </c>
      <c r="G10" s="289" t="s">
        <v>485</v>
      </c>
      <c r="H10" s="290"/>
      <c r="I10" s="290">
        <v>0.06</v>
      </c>
      <c r="J10" s="290" t="s">
        <v>2</v>
      </c>
      <c r="K10" s="343">
        <v>0.06</v>
      </c>
      <c r="M10" s="289" t="s">
        <v>485</v>
      </c>
      <c r="N10" s="290"/>
      <c r="O10" s="290">
        <v>0.1</v>
      </c>
      <c r="P10" s="290" t="s">
        <v>2</v>
      </c>
      <c r="Q10" s="343">
        <v>0.1</v>
      </c>
      <c r="S10" s="289" t="s">
        <v>485</v>
      </c>
      <c r="T10" s="290"/>
      <c r="U10" s="290">
        <v>0.08</v>
      </c>
      <c r="V10" s="290" t="s">
        <v>2</v>
      </c>
      <c r="W10" s="343">
        <v>0.08</v>
      </c>
      <c r="Y10" s="289" t="s">
        <v>485</v>
      </c>
      <c r="Z10" s="290"/>
      <c r="AA10" s="290">
        <v>0.08</v>
      </c>
      <c r="AB10" s="290" t="s">
        <v>2</v>
      </c>
      <c r="AC10" s="343">
        <v>0.08</v>
      </c>
      <c r="AE10" s="260" t="s">
        <v>267</v>
      </c>
      <c r="AF10" s="284">
        <v>8.5897164634694603E-8</v>
      </c>
      <c r="AG10" s="316">
        <f>AD25</f>
        <v>1.562122050577087E-13</v>
      </c>
      <c r="AH10" s="260"/>
      <c r="AI10" s="260"/>
    </row>
    <row r="11" spans="1:37" x14ac:dyDescent="0.2">
      <c r="AE11" s="260" t="s">
        <v>268</v>
      </c>
      <c r="AF11" s="284">
        <v>6.7172062365972902</v>
      </c>
      <c r="AG11" s="316">
        <f>AF25</f>
        <v>5.6814801790646992E-8</v>
      </c>
      <c r="AH11" s="260"/>
      <c r="AI11" s="260"/>
    </row>
    <row r="16" spans="1:37" x14ac:dyDescent="0.2">
      <c r="T16" s="344" t="s">
        <v>274</v>
      </c>
      <c r="U16" s="345"/>
      <c r="V16" s="346"/>
      <c r="AA16" s="260"/>
      <c r="AB16" s="260"/>
      <c r="AC16" s="260"/>
      <c r="AD16" s="260"/>
      <c r="AJ16" s="260"/>
      <c r="AK16" s="260"/>
    </row>
    <row r="17" spans="1:41" x14ac:dyDescent="0.2">
      <c r="T17" s="347" t="s">
        <v>278</v>
      </c>
      <c r="U17" s="348"/>
      <c r="V17" s="349"/>
      <c r="AA17" s="260"/>
      <c r="AB17" s="260"/>
      <c r="AC17" s="260"/>
      <c r="AD17" s="260"/>
      <c r="AJ17" s="260"/>
      <c r="AK17" s="260"/>
    </row>
    <row r="18" spans="1:41" x14ac:dyDescent="0.2">
      <c r="T18" s="350" t="s">
        <v>276</v>
      </c>
      <c r="U18" s="351"/>
      <c r="V18" s="352"/>
      <c r="AA18" s="260"/>
      <c r="AB18" s="260"/>
      <c r="AC18" s="260"/>
      <c r="AD18" s="260"/>
      <c r="AE18" s="260"/>
      <c r="AF18" s="260"/>
      <c r="AG18" s="260"/>
      <c r="AH18" s="260"/>
      <c r="AI18" s="260"/>
      <c r="AJ18" s="260"/>
      <c r="AK18" s="260"/>
    </row>
    <row r="19" spans="1:41" s="293" customFormat="1" x14ac:dyDescent="0.2">
      <c r="A19" s="17"/>
      <c r="B19" s="17"/>
    </row>
    <row r="20" spans="1:41" s="293" customFormat="1" x14ac:dyDescent="0.2">
      <c r="A20" s="17" t="s">
        <v>708</v>
      </c>
      <c r="U20" s="197" t="s">
        <v>550</v>
      </c>
      <c r="V20" s="198" t="s">
        <v>551</v>
      </c>
      <c r="W20" s="198" t="s">
        <v>550</v>
      </c>
      <c r="X20" s="198" t="s">
        <v>551</v>
      </c>
      <c r="Y20" s="199" t="s">
        <v>552</v>
      </c>
      <c r="Z20" s="294"/>
      <c r="AA20" s="295"/>
      <c r="AB20" s="17" t="s">
        <v>105</v>
      </c>
      <c r="AC20" s="17"/>
      <c r="AD20" s="148" t="s">
        <v>549</v>
      </c>
      <c r="AE20" s="149"/>
      <c r="AF20" s="149"/>
      <c r="AG20" s="149" t="s">
        <v>548</v>
      </c>
      <c r="AH20" s="149"/>
      <c r="AI20" s="149"/>
      <c r="AJ20" s="149" t="s">
        <v>547</v>
      </c>
      <c r="AK20" s="149"/>
      <c r="AL20" s="149"/>
      <c r="AM20" s="296" t="s">
        <v>553</v>
      </c>
      <c r="AN20" s="294"/>
      <c r="AO20" s="295"/>
    </row>
    <row r="21" spans="1:41" s="139" customFormat="1" ht="15" customHeight="1" x14ac:dyDescent="0.2">
      <c r="A21" s="57" t="s">
        <v>58</v>
      </c>
      <c r="B21" s="55" t="s">
        <v>289</v>
      </c>
      <c r="C21" s="56" t="s">
        <v>100</v>
      </c>
      <c r="D21" s="56" t="s">
        <v>11</v>
      </c>
      <c r="E21" s="63" t="s">
        <v>291</v>
      </c>
      <c r="F21" s="63"/>
      <c r="G21" s="66" t="s">
        <v>292</v>
      </c>
      <c r="H21" s="66" t="s">
        <v>8</v>
      </c>
      <c r="I21" s="66" t="s">
        <v>217</v>
      </c>
      <c r="J21" s="66" t="s">
        <v>11</v>
      </c>
      <c r="K21" s="66" t="s">
        <v>291</v>
      </c>
      <c r="L21" s="63"/>
      <c r="M21" s="67" t="s">
        <v>293</v>
      </c>
      <c r="N21" s="67" t="s">
        <v>8</v>
      </c>
      <c r="O21" s="67" t="s">
        <v>217</v>
      </c>
      <c r="P21" s="67" t="s">
        <v>11</v>
      </c>
      <c r="Q21" s="67" t="s">
        <v>291</v>
      </c>
      <c r="R21" s="63"/>
      <c r="S21" s="63"/>
      <c r="T21" s="297" t="s">
        <v>275</v>
      </c>
      <c r="U21" s="126" t="s">
        <v>530</v>
      </c>
      <c r="V21" s="114" t="s">
        <v>531</v>
      </c>
      <c r="W21" s="114" t="s">
        <v>532</v>
      </c>
      <c r="X21" s="114" t="s">
        <v>533</v>
      </c>
      <c r="Y21" s="114" t="s">
        <v>534</v>
      </c>
      <c r="Z21" s="114" t="s">
        <v>535</v>
      </c>
      <c r="AA21" s="131" t="s">
        <v>536</v>
      </c>
      <c r="AB21" s="22" t="s">
        <v>545</v>
      </c>
      <c r="AC21" s="23" t="s">
        <v>546</v>
      </c>
      <c r="AD21" s="148" t="s">
        <v>31</v>
      </c>
      <c r="AE21" s="149" t="s">
        <v>32</v>
      </c>
      <c r="AF21" s="150" t="s">
        <v>33</v>
      </c>
      <c r="AG21" s="148" t="s">
        <v>31</v>
      </c>
      <c r="AH21" s="149" t="s">
        <v>32</v>
      </c>
      <c r="AI21" s="150" t="s">
        <v>33</v>
      </c>
      <c r="AJ21" s="148" t="s">
        <v>31</v>
      </c>
      <c r="AK21" s="149" t="s">
        <v>32</v>
      </c>
      <c r="AL21" s="149" t="s">
        <v>33</v>
      </c>
      <c r="AM21" s="298"/>
      <c r="AN21" s="136"/>
      <c r="AO21" s="299"/>
    </row>
    <row r="22" spans="1:41" s="51" customFormat="1" ht="15" customHeight="1" x14ac:dyDescent="0.2">
      <c r="A22" s="54" t="str">
        <f>'36. Generic chemical products'!A2</f>
        <v>Lubricant, average (Albafluid CD)</v>
      </c>
      <c r="B22" s="54" t="str">
        <f>'36. Generic chemical products'!B2</f>
        <v>Acrylamide/sodium acrylate copolymer</v>
      </c>
      <c r="C22" s="54">
        <f>'36. Generic chemical products'!C2</f>
        <v>0.3</v>
      </c>
      <c r="D22" s="54" t="str">
        <f>'36. Generic chemical products'!D2</f>
        <v>kg</v>
      </c>
      <c r="E22" s="54" t="str">
        <f>'36. Generic chemical products'!E2</f>
        <v>MSDS + Expert estimation for concentration</v>
      </c>
      <c r="F22" s="54">
        <f>'36. Generic chemical products'!F2</f>
        <v>0</v>
      </c>
      <c r="G22" s="54" t="str">
        <f>'36. Generic chemical products'!G2</f>
        <v>-</v>
      </c>
      <c r="H22" s="54">
        <f>'36. Generic chemical products'!H2</f>
        <v>0</v>
      </c>
      <c r="I22" s="54">
        <f>'36. Generic chemical products'!I2</f>
        <v>0</v>
      </c>
      <c r="J22" s="54">
        <f>'36. Generic chemical products'!J2</f>
        <v>0</v>
      </c>
      <c r="K22" s="54">
        <f>'36. Generic chemical products'!K2</f>
        <v>0</v>
      </c>
      <c r="L22" s="54">
        <f>'36. Generic chemical products'!L2</f>
        <v>0</v>
      </c>
      <c r="M22" s="54" t="str">
        <f>'36. Generic chemical products'!M2</f>
        <v>Acrylamide/sodium acrylate copolymer</v>
      </c>
      <c r="N22" s="54" t="str">
        <f>'36. Generic chemical products'!N2</f>
        <v>river</v>
      </c>
      <c r="O22" s="54">
        <f>'36. Generic chemical products'!O2</f>
        <v>2.9700000000000001E-2</v>
      </c>
      <c r="P22" s="54" t="str">
        <f>'36. Generic chemical products'!P2</f>
        <v>kg</v>
      </c>
      <c r="Q22" s="54" t="str">
        <f>'36. Generic chemical products'!Q2</f>
        <v>1% of polymer content remains as monomers from the production process.</v>
      </c>
      <c r="R22" s="54">
        <f>'36. Generic chemical products'!R2</f>
        <v>0</v>
      </c>
      <c r="S22" s="54">
        <f>'36. Generic chemical products'!S2</f>
        <v>0</v>
      </c>
      <c r="T22" s="386" t="str">
        <f>'36. Generic chemical products'!T2</f>
        <v>25085-02-3</v>
      </c>
      <c r="U22" s="386">
        <f>'36. Generic chemical products'!U2</f>
        <v>0</v>
      </c>
      <c r="V22" s="386">
        <f>'36. Generic chemical products'!V2</f>
        <v>1.318367210059499E-10</v>
      </c>
      <c r="W22" s="386">
        <f>'36. Generic chemical products'!W2</f>
        <v>0</v>
      </c>
      <c r="X22" s="386">
        <f>'36. Generic chemical products'!X2</f>
        <v>1.3016448977650344E-10</v>
      </c>
      <c r="Y22" s="386">
        <f>'36. Generic chemical products'!Y2</f>
        <v>1.1181204517092254</v>
      </c>
      <c r="Z22" s="386">
        <f>'36. Generic chemical products'!Z2</f>
        <v>78.957506928451508</v>
      </c>
      <c r="AA22" s="386" t="str">
        <f>'36. Generic chemical products'!AA2</f>
        <v>Roos 2017</v>
      </c>
      <c r="AB22" s="300">
        <f>$C$6*I22</f>
        <v>0</v>
      </c>
      <c r="AC22" s="467">
        <v>0</v>
      </c>
      <c r="AD22" s="303">
        <f>AB22*U22+AC22*W22</f>
        <v>0</v>
      </c>
      <c r="AE22" s="302">
        <f>AB22*V22+AC22*X22</f>
        <v>0</v>
      </c>
      <c r="AF22" s="303">
        <f>AB22*Y22+AC22*Z22</f>
        <v>0</v>
      </c>
      <c r="AG22" s="303">
        <f>AB22*U22</f>
        <v>0</v>
      </c>
      <c r="AH22" s="303">
        <f>AB22*V22</f>
        <v>0</v>
      </c>
      <c r="AI22" s="303">
        <f>AB22*Y22</f>
        <v>0</v>
      </c>
      <c r="AJ22" s="303">
        <f>AC22*W22</f>
        <v>0</v>
      </c>
      <c r="AK22" s="303">
        <f>AC22*X22</f>
        <v>0</v>
      </c>
      <c r="AL22" s="303">
        <f>AC22*Z22</f>
        <v>0</v>
      </c>
      <c r="AM22" s="304">
        <f>AG22+AJ22</f>
        <v>0</v>
      </c>
      <c r="AN22" s="305">
        <f t="shared" ref="AN22:AO24" si="0">AH22+AK22</f>
        <v>0</v>
      </c>
      <c r="AO22" s="306">
        <f t="shared" si="0"/>
        <v>0</v>
      </c>
    </row>
    <row r="23" spans="1:41" s="51" customFormat="1" ht="15" customHeight="1" x14ac:dyDescent="0.2">
      <c r="A23" s="54" t="str">
        <f>'36. Generic chemical products'!A3</f>
        <v>Lubricant, average (Albafluid CD)</v>
      </c>
      <c r="B23" s="54" t="str">
        <f>'36. Generic chemical products'!B3</f>
        <v>Acrylamide</v>
      </c>
      <c r="C23" s="54">
        <f>'36. Generic chemical products'!C3</f>
        <v>0</v>
      </c>
      <c r="D23" s="54">
        <f>'36. Generic chemical products'!D3</f>
        <v>0</v>
      </c>
      <c r="E23" s="54" t="str">
        <f>'36. Generic chemical products'!E3</f>
        <v>Breakdown product (Caulfield, 2002)</v>
      </c>
      <c r="F23" s="54">
        <f>'36. Generic chemical products'!F3</f>
        <v>0</v>
      </c>
      <c r="G23" s="54" t="str">
        <f>'36. Generic chemical products'!G3</f>
        <v>Acrylamide</v>
      </c>
      <c r="H23" s="54" t="str">
        <f>'36. Generic chemical products'!H3</f>
        <v>high. pop.</v>
      </c>
      <c r="I23" s="54">
        <f>'36. Generic chemical products'!I3</f>
        <v>3.0000000000000001E-6</v>
      </c>
      <c r="J23" s="54" t="str">
        <f>'36. Generic chemical products'!J3</f>
        <v>kg</v>
      </c>
      <c r="K23" s="54">
        <f>'36. Generic chemical products'!K3</f>
        <v>0</v>
      </c>
      <c r="L23" s="54">
        <f>'36. Generic chemical products'!L3</f>
        <v>0</v>
      </c>
      <c r="M23" s="54" t="str">
        <f>'36. Generic chemical products'!M3</f>
        <v>Acrylamide</v>
      </c>
      <c r="N23" s="54" t="str">
        <f>'36. Generic chemical products'!N3</f>
        <v>river</v>
      </c>
      <c r="O23" s="54">
        <f>'36. Generic chemical products'!O3</f>
        <v>3.0000000000000004E-5</v>
      </c>
      <c r="P23" s="54" t="str">
        <f>'36. Generic chemical products'!P3</f>
        <v>kg</v>
      </c>
      <c r="Q23" s="54" t="str">
        <f>'36. Generic chemical products'!Q3</f>
        <v xml:space="preserve">90% of reactive chemicals are degraded during operations. </v>
      </c>
      <c r="R23" s="54">
        <f>'36. Generic chemical products'!R3</f>
        <v>0</v>
      </c>
      <c r="S23" s="54">
        <f>'36. Generic chemical products'!S3</f>
        <v>0</v>
      </c>
      <c r="T23" s="385" t="str">
        <f>'36. Generic chemical products'!T3</f>
        <v>79-06-1</v>
      </c>
      <c r="U23" s="385">
        <f>'36. Generic chemical products'!U3</f>
        <v>3.0023364753950555E-5</v>
      </c>
      <c r="V23" s="385">
        <f>'36. Generic chemical products'!V3</f>
        <v>1.2481126126868064E-4</v>
      </c>
      <c r="W23" s="385">
        <f>'36. Generic chemical products'!W3</f>
        <v>1.1959264101490567E-5</v>
      </c>
      <c r="X23" s="385">
        <f>'36. Generic chemical products'!X3</f>
        <v>4.9716307568620708E-5</v>
      </c>
      <c r="Y23" s="385">
        <f>'36. Generic chemical products'!Y3</f>
        <v>10.037499181426883</v>
      </c>
      <c r="Z23" s="385">
        <f>'36. Generic chemical products'!Z3</f>
        <v>119.14199796898779</v>
      </c>
      <c r="AA23" s="385" t="str">
        <f>'36. Generic chemical products'!AA3</f>
        <v>USEtox</v>
      </c>
      <c r="AB23" s="300">
        <f>$C$6*I23</f>
        <v>4.8E-9</v>
      </c>
      <c r="AC23" s="468">
        <v>0</v>
      </c>
      <c r="AD23" s="302">
        <f t="shared" ref="AD23:AD24" si="1">AB23*U23+AC23*W23</f>
        <v>1.4411215081896266E-13</v>
      </c>
      <c r="AE23" s="302">
        <f t="shared" ref="AE23:AE24" si="2">AB23*V23+AC23*X23</f>
        <v>5.9909405408966702E-13</v>
      </c>
      <c r="AF23" s="303">
        <f t="shared" ref="AF23:AF24" si="3">AB23*Y23+AC23*Z23</f>
        <v>4.8179996070849036E-8</v>
      </c>
      <c r="AG23" s="303">
        <f t="shared" ref="AG23:AG24" si="4">AB23*U23</f>
        <v>1.4411215081896266E-13</v>
      </c>
      <c r="AH23" s="303">
        <f t="shared" ref="AH23:AH24" si="5">AB23*V23</f>
        <v>5.9909405408966702E-13</v>
      </c>
      <c r="AI23" s="303">
        <f t="shared" ref="AI23:AI24" si="6">AB23*Y23</f>
        <v>4.8179996070849036E-8</v>
      </c>
      <c r="AJ23" s="303">
        <f t="shared" ref="AJ23:AJ24" si="7">AC23*W23</f>
        <v>0</v>
      </c>
      <c r="AK23" s="303">
        <f t="shared" ref="AK23:AK24" si="8">AC23*X23</f>
        <v>0</v>
      </c>
      <c r="AL23" s="303">
        <f t="shared" ref="AL23:AL24" si="9">AC23*Z23</f>
        <v>0</v>
      </c>
      <c r="AM23" s="304">
        <f t="shared" ref="AM23:AM24" si="10">AG23+AJ23</f>
        <v>1.4411215081896266E-13</v>
      </c>
      <c r="AN23" s="305">
        <f t="shared" si="0"/>
        <v>5.9909405408966702E-13</v>
      </c>
      <c r="AO23" s="306">
        <f t="shared" si="0"/>
        <v>4.8179996070849036E-8</v>
      </c>
    </row>
    <row r="24" spans="1:41" s="139" customFormat="1" ht="15" customHeight="1" x14ac:dyDescent="0.2">
      <c r="A24" s="141" t="str">
        <f>'36. Generic chemical products'!A4</f>
        <v>Lubricant, average (Albafluid CD)</v>
      </c>
      <c r="B24" s="141">
        <f>'36. Generic chemical products'!B4</f>
        <v>0</v>
      </c>
      <c r="C24" s="141">
        <f>'36. Generic chemical products'!C4</f>
        <v>0</v>
      </c>
      <c r="D24" s="141">
        <f>'36. Generic chemical products'!D4</f>
        <v>0</v>
      </c>
      <c r="E24" s="141" t="str">
        <f>'36. Generic chemical products'!E4</f>
        <v>Common breakdown product of of acrylics, 0.001 % assumed</v>
      </c>
      <c r="F24" s="141">
        <f>'36. Generic chemical products'!F4</f>
        <v>0</v>
      </c>
      <c r="G24" s="141" t="str">
        <f>'36. Generic chemical products'!G4</f>
        <v>Formaldehyde</v>
      </c>
      <c r="H24" s="141" t="str">
        <f>'36. Generic chemical products'!H4</f>
        <v>high. pop.</v>
      </c>
      <c r="I24" s="141">
        <f>'36. Generic chemical products'!I4</f>
        <v>2.9999999999999999E-7</v>
      </c>
      <c r="J24" s="141" t="str">
        <f>'36. Generic chemical products'!J4</f>
        <v>kg</v>
      </c>
      <c r="K24" s="141">
        <f>'36. Generic chemical products'!K4</f>
        <v>0</v>
      </c>
      <c r="L24" s="141">
        <f>'36. Generic chemical products'!L4</f>
        <v>0</v>
      </c>
      <c r="M24" s="141" t="str">
        <f>'36. Generic chemical products'!M4</f>
        <v>Formaldehyde</v>
      </c>
      <c r="N24" s="141" t="str">
        <f>'36. Generic chemical products'!N4</f>
        <v>river</v>
      </c>
      <c r="O24" s="141">
        <f>'36. Generic chemical products'!O4</f>
        <v>3.0000000000000001E-6</v>
      </c>
      <c r="P24" s="141" t="str">
        <f>'36. Generic chemical products'!P4</f>
        <v>kg</v>
      </c>
      <c r="Q24" s="141" t="str">
        <f>'36. Generic chemical products'!Q4</f>
        <v xml:space="preserve">0.1 % of the content is degraded to common breakdown products. 90% of reactive chemicals are degraded during operations. </v>
      </c>
      <c r="R24" s="141">
        <f>'36. Generic chemical products'!R4</f>
        <v>0</v>
      </c>
      <c r="S24" s="141">
        <f>'36. Generic chemical products'!S4</f>
        <v>0</v>
      </c>
      <c r="T24" s="388" t="str">
        <f>'36. Generic chemical products'!T4</f>
        <v>50-00-0</v>
      </c>
      <c r="U24" s="388">
        <f>'36. Generic chemical products'!U4</f>
        <v>2.5208446330720887E-5</v>
      </c>
      <c r="V24" s="388">
        <f>'36. Generic chemical products'!V4</f>
        <v>2.6504960021309262E-7</v>
      </c>
      <c r="W24" s="388">
        <f>'36. Generic chemical products'!W4</f>
        <v>1.4222228897488039E-7</v>
      </c>
      <c r="X24" s="388">
        <f>'36. Generic chemical products'!X4</f>
        <v>3.170874313501273E-7</v>
      </c>
      <c r="Y24" s="388">
        <f>'36. Generic chemical products'!Y4</f>
        <v>17.989178582912412</v>
      </c>
      <c r="Z24" s="388">
        <f>'36. Generic chemical products'!Z4</f>
        <v>290.05086067463066</v>
      </c>
      <c r="AA24" s="388" t="str">
        <f>'36. Generic chemical products'!AA4</f>
        <v>USEtox</v>
      </c>
      <c r="AB24" s="307">
        <f>$C$6*I24</f>
        <v>4.8E-10</v>
      </c>
      <c r="AC24" s="469">
        <v>0</v>
      </c>
      <c r="AD24" s="309">
        <f t="shared" si="1"/>
        <v>1.2100054238746025E-14</v>
      </c>
      <c r="AE24" s="309">
        <f t="shared" si="2"/>
        <v>1.2722380810228446E-16</v>
      </c>
      <c r="AF24" s="310">
        <f t="shared" si="3"/>
        <v>8.6348057197979577E-9</v>
      </c>
      <c r="AG24" s="310">
        <f t="shared" si="4"/>
        <v>1.2100054238746025E-14</v>
      </c>
      <c r="AH24" s="310">
        <f t="shared" si="5"/>
        <v>1.2722380810228446E-16</v>
      </c>
      <c r="AI24" s="310">
        <f t="shared" si="6"/>
        <v>8.6348057197979577E-9</v>
      </c>
      <c r="AJ24" s="310">
        <f t="shared" si="7"/>
        <v>0</v>
      </c>
      <c r="AK24" s="310">
        <f t="shared" si="8"/>
        <v>0</v>
      </c>
      <c r="AL24" s="310">
        <f t="shared" si="9"/>
        <v>0</v>
      </c>
      <c r="AM24" s="311">
        <f t="shared" si="10"/>
        <v>1.2100054238746025E-14</v>
      </c>
      <c r="AN24" s="312">
        <f t="shared" si="0"/>
        <v>1.2722380810228446E-16</v>
      </c>
      <c r="AO24" s="313">
        <f t="shared" si="0"/>
        <v>8.6348057197979577E-9</v>
      </c>
    </row>
    <row r="25" spans="1:41" x14ac:dyDescent="0.2">
      <c r="AD25" s="177">
        <f>SUM(AD22:AD24)</f>
        <v>1.562122050577087E-13</v>
      </c>
      <c r="AE25" s="177">
        <f t="shared" ref="AE25:AF25" si="11">SUM(AE22:AE24)</f>
        <v>5.9922127789776926E-13</v>
      </c>
      <c r="AF25" s="177">
        <f t="shared" si="11"/>
        <v>5.6814801790646992E-8</v>
      </c>
    </row>
    <row r="26" spans="1:41" x14ac:dyDescent="0.2">
      <c r="A26" s="259" t="s">
        <v>736</v>
      </c>
    </row>
    <row r="29" spans="1:41" x14ac:dyDescent="0.2">
      <c r="AE29" s="260"/>
    </row>
    <row r="30" spans="1:41" x14ac:dyDescent="0.2">
      <c r="A30" s="1" t="s">
        <v>687</v>
      </c>
      <c r="AE30" s="260"/>
    </row>
    <row r="31" spans="1:41" x14ac:dyDescent="0.2">
      <c r="A31" t="s">
        <v>1068</v>
      </c>
      <c r="AD31" s="260"/>
      <c r="AE31" s="260"/>
      <c r="AF31" s="260"/>
    </row>
    <row r="32" spans="1:41" x14ac:dyDescent="0.2">
      <c r="A32" t="s">
        <v>1069</v>
      </c>
      <c r="AD32" s="260"/>
      <c r="AE32" s="260"/>
    </row>
    <row r="33" spans="1:32" x14ac:dyDescent="0.2">
      <c r="A33" t="s">
        <v>1083</v>
      </c>
      <c r="AE33" s="260"/>
      <c r="AF33" s="260"/>
    </row>
    <row r="34" spans="1:32" x14ac:dyDescent="0.2">
      <c r="A34" t="s">
        <v>1084</v>
      </c>
      <c r="AE34" s="1"/>
      <c r="AF34" s="18"/>
    </row>
    <row r="35" spans="1:32" x14ac:dyDescent="0.2">
      <c r="A35" t="s">
        <v>1087</v>
      </c>
      <c r="AE35" s="260"/>
      <c r="AF35" s="260"/>
    </row>
    <row r="36" spans="1:32" x14ac:dyDescent="0.2">
      <c r="A36" t="s">
        <v>1070</v>
      </c>
      <c r="AE36" s="1"/>
      <c r="AF36" s="18"/>
    </row>
    <row r="37" spans="1:32" x14ac:dyDescent="0.2">
      <c r="A37" t="s">
        <v>1071</v>
      </c>
      <c r="AE37" s="260"/>
      <c r="AF37" s="260"/>
    </row>
    <row r="38" spans="1:32" x14ac:dyDescent="0.2">
      <c r="A38" t="s">
        <v>1072</v>
      </c>
      <c r="AE38" s="260"/>
      <c r="AF38" s="260"/>
    </row>
    <row r="39" spans="1:32" x14ac:dyDescent="0.2">
      <c r="A39" t="s">
        <v>1073</v>
      </c>
      <c r="AE39" s="260"/>
      <c r="AF39" s="285"/>
    </row>
    <row r="40" spans="1:32" x14ac:dyDescent="0.2">
      <c r="AE40" s="260"/>
      <c r="AF40" s="285"/>
    </row>
    <row r="41" spans="1:32" x14ac:dyDescent="0.2">
      <c r="AE41" s="260"/>
      <c r="AF41" s="285"/>
    </row>
    <row r="42" spans="1:32" x14ac:dyDescent="0.2">
      <c r="AE42" s="260"/>
      <c r="AF42" s="260"/>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39</vt:i4>
      </vt:variant>
    </vt:vector>
  </HeadingPairs>
  <TitlesOfParts>
    <vt:vector size="39" baseType="lpstr">
      <vt:lpstr>Overview</vt:lpstr>
      <vt:lpstr>Guide to the sheets</vt:lpstr>
      <vt:lpstr>1.Cotton fibre production</vt:lpstr>
      <vt:lpstr>2.Polyester fibre production</vt:lpstr>
      <vt:lpstr>3.Polyamide 6 fibre production</vt:lpstr>
      <vt:lpstr>4.Polyamide 6,6 fibre prod.</vt:lpstr>
      <vt:lpstr>5.Elastane fibre production</vt:lpstr>
      <vt:lpstr>6.Ring spinning CO-EL 150</vt:lpstr>
      <vt:lpstr>7.Ring spinning CO 300</vt:lpstr>
      <vt:lpstr>8.Air-jet spinning CO-PES 150</vt:lpstr>
      <vt:lpstr>9.Air-jet spinning PES 150</vt:lpstr>
      <vt:lpstr>10.Filament yarn production</vt:lpstr>
      <vt:lpstr>11.Circular knitting</vt:lpstr>
      <vt:lpstr>12.Flat knitting</vt:lpstr>
      <vt:lpstr>13.Weaving, 150 dtex</vt:lpstr>
      <vt:lpstr>14.Weaving, 300 dtex</vt:lpstr>
      <vt:lpstr>15.Non woven production</vt:lpstr>
      <vt:lpstr>16.Bleaching cotton fabric</vt:lpstr>
      <vt:lpstr>17.Bleaching cotton yarn</vt:lpstr>
      <vt:lpstr>18.Dyeing denim cotton yarn</vt:lpstr>
      <vt:lpstr>19.Dyeing polyester tricot</vt:lpstr>
      <vt:lpstr>20.Pretreatment of PES weave</vt:lpstr>
      <vt:lpstr>21.Dispersion print PES weave</vt:lpstr>
      <vt:lpstr>22.Dyeing polyamide weave</vt:lpstr>
      <vt:lpstr>23.Dyeing polyester weave</vt:lpstr>
      <vt:lpstr>24.Dyeing cotton tricot</vt:lpstr>
      <vt:lpstr>25.Dyeing cotton&amp;PES weave</vt:lpstr>
      <vt:lpstr>26.Drying cellulosics</vt:lpstr>
      <vt:lpstr>27.Drying synthetics</vt:lpstr>
      <vt:lpstr>28.Cutting</vt:lpstr>
      <vt:lpstr>29.Sewing</vt:lpstr>
      <vt:lpstr>30.Ironing and packaging</vt:lpstr>
      <vt:lpstr>31. T-shirt</vt:lpstr>
      <vt:lpstr>32.Jeans</vt:lpstr>
      <vt:lpstr>33.Dress</vt:lpstr>
      <vt:lpstr>34.Jacket</vt:lpstr>
      <vt:lpstr>35.Hospital uniform</vt:lpstr>
      <vt:lpstr>36. Generic chemical products</vt:lpstr>
      <vt:lpstr>37.USEtox CFs from Roos 2017</vt:lpstr>
    </vt:vector>
  </TitlesOfParts>
  <Company>Axolot Data XLSReadWriteII 4.00.38</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Roos</dc:creator>
  <cp:lastModifiedBy>sandra.roos</cp:lastModifiedBy>
  <cp:lastPrinted>2016-12-14T08:30:15Z</cp:lastPrinted>
  <dcterms:created xsi:type="dcterms:W3CDTF">2013-08-13T16:07:24Z</dcterms:created>
  <dcterms:modified xsi:type="dcterms:W3CDTF">2018-10-09T13:15:18Z</dcterms:modified>
</cp:coreProperties>
</file>